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30-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6" i="1" l="1"/>
  <c r="J175" i="1"/>
  <c r="E8" i="1" l="1"/>
  <c r="E225" i="1" l="1"/>
  <c r="D225" i="1"/>
  <c r="E224" i="1"/>
  <c r="D224" i="1"/>
  <c r="E223" i="1"/>
  <c r="D223" i="1"/>
  <c r="E222" i="1"/>
  <c r="D222" i="1"/>
  <c r="E221" i="1"/>
  <c r="D221" i="1"/>
  <c r="E220" i="1"/>
  <c r="D220" i="1"/>
  <c r="E218" i="1"/>
  <c r="D218" i="1"/>
  <c r="E217" i="1"/>
  <c r="D217" i="1"/>
  <c r="E216" i="1"/>
  <c r="D216" i="1"/>
  <c r="E215" i="1"/>
  <c r="D215" i="1"/>
  <c r="E214" i="1"/>
  <c r="D214" i="1"/>
  <c r="E213" i="1"/>
  <c r="D213" i="1"/>
  <c r="E212" i="1"/>
  <c r="D212" i="1"/>
  <c r="E210" i="1"/>
  <c r="D210" i="1"/>
  <c r="E209" i="1"/>
  <c r="D209" i="1"/>
  <c r="E208" i="1"/>
  <c r="D208" i="1"/>
  <c r="E207" i="1"/>
  <c r="D207" i="1"/>
  <c r="E206" i="1"/>
  <c r="D206" i="1"/>
  <c r="E205" i="1"/>
  <c r="D205" i="1"/>
  <c r="E204" i="1"/>
  <c r="D204" i="1"/>
  <c r="E200" i="1"/>
  <c r="D200" i="1"/>
  <c r="E199" i="1"/>
  <c r="D199" i="1"/>
  <c r="E198" i="1"/>
  <c r="D198" i="1"/>
  <c r="E197" i="1"/>
  <c r="D197" i="1"/>
  <c r="E196" i="1"/>
  <c r="D196" i="1"/>
  <c r="E195" i="1"/>
  <c r="D195" i="1"/>
  <c r="E194" i="1"/>
  <c r="D194" i="1"/>
  <c r="E193" i="1"/>
  <c r="D193" i="1"/>
  <c r="E191" i="1"/>
  <c r="D191" i="1"/>
  <c r="E190" i="1"/>
  <c r="D190" i="1"/>
  <c r="E189" i="1"/>
  <c r="D189" i="1"/>
  <c r="E188" i="1"/>
  <c r="D188" i="1"/>
  <c r="E187" i="1"/>
  <c r="D187" i="1"/>
  <c r="E186" i="1"/>
  <c r="D186" i="1"/>
  <c r="E185" i="1"/>
  <c r="D185" i="1"/>
  <c r="E184" i="1"/>
  <c r="D184" i="1"/>
  <c r="E182" i="1"/>
  <c r="D182" i="1"/>
  <c r="E181" i="1"/>
  <c r="D181" i="1"/>
  <c r="E180" i="1"/>
  <c r="D180" i="1"/>
  <c r="E179" i="1"/>
  <c r="D179" i="1"/>
  <c r="E178" i="1"/>
  <c r="D178" i="1"/>
  <c r="E177" i="1"/>
  <c r="D177" i="1"/>
  <c r="D176" i="1"/>
  <c r="E175" i="1"/>
  <c r="D175" i="1"/>
  <c r="E173" i="1"/>
  <c r="D173" i="1"/>
  <c r="E172" i="1"/>
  <c r="D172" i="1"/>
  <c r="E171" i="1"/>
  <c r="D171" i="1"/>
  <c r="E170" i="1"/>
  <c r="D170" i="1"/>
  <c r="E167" i="1"/>
  <c r="D167" i="1"/>
  <c r="D160" i="1"/>
  <c r="D159" i="1"/>
  <c r="D157" i="1"/>
  <c r="D156" i="1"/>
  <c r="D155" i="1"/>
  <c r="D154" i="1"/>
  <c r="D153" i="1"/>
  <c r="D152" i="1"/>
  <c r="D151" i="1"/>
  <c r="D150" i="1"/>
  <c r="D149" i="1"/>
  <c r="D148" i="1"/>
  <c r="D147" i="1"/>
  <c r="D146" i="1"/>
  <c r="K143" i="1"/>
  <c r="J205" i="1"/>
  <c r="I205" i="1"/>
  <c r="I212" i="1"/>
  <c r="I210" i="1"/>
  <c r="F209" i="1"/>
  <c r="H209" i="1" s="1"/>
  <c r="A205" i="1"/>
  <c r="A206" i="1" s="1"/>
  <c r="A207" i="1" s="1"/>
  <c r="A208" i="1" s="1"/>
  <c r="A209" i="1" s="1"/>
  <c r="A210" i="1" s="1"/>
  <c r="F198" i="1"/>
  <c r="H198" i="1" s="1"/>
  <c r="A194" i="1"/>
  <c r="A195" i="1" s="1"/>
  <c r="A196" i="1" s="1"/>
  <c r="A197" i="1" s="1"/>
  <c r="A198" i="1" s="1"/>
  <c r="A199" i="1" s="1"/>
  <c r="A200" i="1" s="1"/>
  <c r="I191" i="1"/>
  <c r="I184" i="1"/>
  <c r="I182" i="1"/>
  <c r="F218" i="1" l="1"/>
  <c r="H218" i="1" s="1"/>
  <c r="F186" i="1"/>
  <c r="H186" i="1" s="1"/>
  <c r="F199" i="1"/>
  <c r="H199" i="1" s="1"/>
  <c r="F210" i="1"/>
  <c r="H210" i="1" s="1"/>
  <c r="J191" i="1" s="1"/>
  <c r="F220" i="1"/>
  <c r="H220" i="1" s="1"/>
  <c r="C136" i="1"/>
  <c r="F214" i="1"/>
  <c r="H214" i="1" s="1"/>
  <c r="F212" i="1"/>
  <c r="H212" i="1" s="1"/>
  <c r="F216" i="1"/>
  <c r="H216" i="1" s="1"/>
  <c r="C131" i="1"/>
  <c r="F188" i="1"/>
  <c r="H188" i="1" s="1"/>
  <c r="F193" i="1"/>
  <c r="H193" i="1" s="1"/>
  <c r="F197" i="1"/>
  <c r="H197" i="1" s="1"/>
  <c r="F208" i="1"/>
  <c r="H208" i="1" s="1"/>
  <c r="F213" i="1"/>
  <c r="H213" i="1" s="1"/>
  <c r="F217" i="1"/>
  <c r="H217" i="1" s="1"/>
  <c r="F222" i="1"/>
  <c r="H222" i="1" s="1"/>
  <c r="F189" i="1"/>
  <c r="H189" i="1" s="1"/>
  <c r="F194" i="1"/>
  <c r="H194" i="1" s="1"/>
  <c r="F205" i="1"/>
  <c r="H205" i="1" s="1"/>
  <c r="F223" i="1"/>
  <c r="H223" i="1" s="1"/>
  <c r="C137" i="1"/>
  <c r="C132" i="1"/>
  <c r="C133" i="1" s="1"/>
  <c r="F196" i="1"/>
  <c r="H196" i="1" s="1"/>
  <c r="F200" i="1"/>
  <c r="H200" i="1" s="1"/>
  <c r="F225" i="1"/>
  <c r="H225" i="1" s="1"/>
  <c r="F187" i="1"/>
  <c r="H187" i="1" s="1"/>
  <c r="F207" i="1"/>
  <c r="H207" i="1" s="1"/>
  <c r="F221" i="1"/>
  <c r="H221" i="1" s="1"/>
  <c r="J221" i="1" s="1"/>
  <c r="F190" i="1"/>
  <c r="H190" i="1" s="1"/>
  <c r="F195" i="1"/>
  <c r="H195" i="1" s="1"/>
  <c r="F215" i="1"/>
  <c r="H215" i="1" s="1"/>
  <c r="F224" i="1"/>
  <c r="H224" i="1" s="1"/>
  <c r="F204" i="1"/>
  <c r="F184" i="1"/>
  <c r="H184" i="1" s="1"/>
  <c r="F191" i="1"/>
  <c r="H191" i="1" s="1"/>
  <c r="F206" i="1"/>
  <c r="H206" i="1" s="1"/>
  <c r="F185" i="1"/>
  <c r="H185" i="1" s="1"/>
  <c r="C138" i="1" l="1"/>
  <c r="H204" i="1"/>
  <c r="G137" i="1" s="1"/>
  <c r="E137" i="1"/>
  <c r="I175" i="1"/>
  <c r="F179" i="1"/>
  <c r="H179" i="1" s="1"/>
  <c r="F178" i="1"/>
  <c r="H178" i="1" s="1"/>
  <c r="F177" i="1"/>
  <c r="H177" i="1" s="1"/>
  <c r="F175" i="1"/>
  <c r="H175" i="1" s="1"/>
  <c r="F182" i="1"/>
  <c r="H182" i="1" s="1"/>
  <c r="F181" i="1"/>
  <c r="H181" i="1" s="1"/>
  <c r="F180" i="1"/>
  <c r="H180" i="1" s="1"/>
  <c r="I172" i="1"/>
  <c r="I167" i="1"/>
  <c r="F173" i="1"/>
  <c r="H173" i="1" s="1"/>
  <c r="F172" i="1"/>
  <c r="H172" i="1" s="1"/>
  <c r="F171" i="1" l="1"/>
  <c r="H171" i="1" s="1"/>
  <c r="F170" i="1"/>
  <c r="H170" i="1" s="1"/>
  <c r="F176" i="1"/>
  <c r="H176" i="1" s="1"/>
  <c r="F167" i="1"/>
  <c r="I159" i="1"/>
  <c r="F159" i="1"/>
  <c r="F160" i="1"/>
  <c r="H160" i="1" s="1"/>
  <c r="A160" i="1"/>
  <c r="I147" i="1"/>
  <c r="I154" i="1"/>
  <c r="F157" i="1"/>
  <c r="H157" i="1" s="1"/>
  <c r="F156" i="1"/>
  <c r="H156" i="1" s="1"/>
  <c r="F155" i="1"/>
  <c r="H155" i="1" s="1"/>
  <c r="F154" i="1"/>
  <c r="H154" i="1" s="1"/>
  <c r="F152" i="1"/>
  <c r="H152" i="1" s="1"/>
  <c r="F151" i="1"/>
  <c r="H151" i="1" s="1"/>
  <c r="F150" i="1"/>
  <c r="H150" i="1" s="1"/>
  <c r="F153" i="1"/>
  <c r="H153" i="1" s="1"/>
  <c r="E43" i="1"/>
  <c r="H167" i="1" l="1"/>
  <c r="G136" i="1" s="1"/>
  <c r="G138" i="1" s="1"/>
  <c r="E136" i="1"/>
  <c r="E138" i="1" s="1"/>
  <c r="H159" i="1"/>
  <c r="G132" i="1" s="1"/>
  <c r="E132" i="1"/>
  <c r="C102" i="1"/>
  <c r="C88" i="1"/>
  <c r="F146" i="1" l="1"/>
  <c r="H146" i="1" l="1"/>
  <c r="E31" i="1"/>
  <c r="E26" i="1"/>
  <c r="F228" i="1" l="1"/>
  <c r="H228"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E44" i="7"/>
  <c r="D44" i="7" l="1"/>
  <c r="B258" i="1"/>
  <c r="F147" i="1" l="1"/>
  <c r="F148" i="1"/>
  <c r="H148" i="1" s="1"/>
  <c r="F149" i="1"/>
  <c r="H149" i="1" s="1"/>
  <c r="H147" i="1" l="1"/>
  <c r="G131" i="1" s="1"/>
  <c r="G133" i="1" s="1"/>
  <c r="E131" i="1"/>
  <c r="E133" i="1" s="1"/>
  <c r="G58" i="1"/>
  <c r="C58" i="1"/>
  <c r="G56" i="1"/>
  <c r="C56" i="1"/>
  <c r="C54" i="1"/>
  <c r="S33" i="1" l="1"/>
  <c r="F11" i="5" l="1"/>
  <c r="G11" i="5" s="1"/>
  <c r="F10" i="5"/>
  <c r="G10" i="5" s="1"/>
  <c r="F9" i="5"/>
  <c r="G9" i="5" s="1"/>
  <c r="F8" i="5"/>
  <c r="G8" i="5" s="1"/>
  <c r="F7" i="5"/>
  <c r="G7" i="5" s="1"/>
  <c r="F6" i="5"/>
  <c r="G6" i="5" s="1"/>
  <c r="F5" i="5"/>
  <c r="G5" i="5" s="1"/>
  <c r="G12" i="5" s="1"/>
  <c r="D281" i="1"/>
  <c r="B259" i="1"/>
  <c r="F255" i="1"/>
  <c r="H255" i="1" s="1"/>
  <c r="F254" i="1"/>
  <c r="H254" i="1" s="1"/>
  <c r="F253" i="1"/>
  <c r="H253" i="1" s="1"/>
  <c r="F252" i="1"/>
  <c r="H252" i="1" s="1"/>
  <c r="F251" i="1"/>
  <c r="H251" i="1" s="1"/>
  <c r="F249" i="1"/>
  <c r="H249" i="1" s="1"/>
  <c r="F248" i="1"/>
  <c r="H248" i="1" s="1"/>
  <c r="F247" i="1"/>
  <c r="H247" i="1" s="1"/>
  <c r="F246" i="1"/>
  <c r="H246" i="1" s="1"/>
  <c r="F245" i="1"/>
  <c r="H245" i="1" s="1"/>
  <c r="F243" i="1"/>
  <c r="H243" i="1" s="1"/>
  <c r="F242" i="1"/>
  <c r="H242" i="1" s="1"/>
  <c r="F241" i="1"/>
  <c r="H241" i="1" s="1"/>
  <c r="F240" i="1"/>
  <c r="H240" i="1" s="1"/>
  <c r="F239" i="1"/>
  <c r="H239" i="1" s="1"/>
  <c r="F237" i="1"/>
  <c r="H237" i="1" s="1"/>
  <c r="F236" i="1"/>
  <c r="H236" i="1" s="1"/>
  <c r="F235" i="1"/>
  <c r="H235" i="1" s="1"/>
  <c r="F234" i="1"/>
  <c r="H234" i="1" s="1"/>
  <c r="F233" i="1"/>
  <c r="H233" i="1" s="1"/>
  <c r="A233" i="1"/>
  <c r="A234" i="1" s="1"/>
  <c r="A235" i="1" s="1"/>
  <c r="A236" i="1" s="1"/>
  <c r="A237" i="1" s="1"/>
  <c r="F231" i="1"/>
  <c r="H231" i="1" s="1"/>
  <c r="F230" i="1"/>
  <c r="H230" i="1" s="1"/>
  <c r="F229" i="1"/>
  <c r="H229" i="1" s="1"/>
  <c r="A229" i="1"/>
  <c r="A230" i="1" s="1"/>
  <c r="A231" i="1" s="1"/>
  <c r="A147" i="1"/>
  <c r="A148" i="1" s="1"/>
  <c r="A149" i="1" s="1"/>
  <c r="A150" i="1" s="1"/>
  <c r="A151" i="1" s="1"/>
  <c r="A152" i="1" s="1"/>
  <c r="A153" i="1" s="1"/>
  <c r="A154" i="1" s="1"/>
  <c r="A155" i="1" s="1"/>
  <c r="A156" i="1" s="1"/>
  <c r="A157" i="1" s="1"/>
  <c r="G139" i="1"/>
  <c r="E139" i="1"/>
  <c r="C139" i="1"/>
  <c r="F128" i="1"/>
  <c r="C74" i="1"/>
  <c r="B75" i="1" s="1"/>
  <c r="D62" i="1"/>
  <c r="G51" i="1"/>
  <c r="G52" i="1" s="1"/>
  <c r="C51" i="1"/>
  <c r="E44" i="1"/>
  <c r="E45" i="1" s="1"/>
  <c r="E28" i="1"/>
  <c r="C16" i="1"/>
  <c r="I15" i="1"/>
  <c r="Z13" i="1"/>
  <c r="E3" i="1"/>
  <c r="D68" i="1" s="1"/>
  <c r="A239" i="1"/>
  <c r="H75" i="1"/>
  <c r="A245" i="1"/>
  <c r="A251" i="1"/>
  <c r="J74" i="1" l="1"/>
  <c r="J76" i="1" s="1"/>
  <c r="J77" i="1"/>
  <c r="J78" i="1"/>
  <c r="J79" i="1"/>
  <c r="C78" i="1" s="1"/>
  <c r="D82" i="1"/>
  <c r="D84" i="1"/>
  <c r="D83" i="1"/>
  <c r="D87" i="1"/>
  <c r="D81" i="1"/>
  <c r="D86" i="1"/>
  <c r="D80" i="1"/>
  <c r="D85" i="1"/>
  <c r="J80" i="1"/>
  <c r="A240" i="1"/>
  <c r="A252" i="1"/>
  <c r="A246" i="1"/>
  <c r="D78" i="1" l="1"/>
  <c r="J84" i="1"/>
  <c r="J82" i="1"/>
  <c r="J83" i="1"/>
  <c r="J81" i="1"/>
  <c r="J86" i="1" s="1"/>
  <c r="J87" i="1" s="1"/>
  <c r="C79" i="1" s="1"/>
  <c r="J85" i="1"/>
  <c r="A247" i="1"/>
  <c r="A241" i="1"/>
  <c r="A253" i="1"/>
  <c r="B89" i="1" l="1"/>
  <c r="J75" i="1"/>
  <c r="E78" i="1"/>
  <c r="D79" i="1"/>
  <c r="G78" i="1"/>
  <c r="D72" i="1" s="1"/>
  <c r="A254" i="1"/>
  <c r="H89" i="1"/>
  <c r="A248" i="1"/>
  <c r="A242" i="1"/>
  <c r="I75" i="1" l="1"/>
  <c r="I76" i="1" s="1"/>
  <c r="I74" i="1" s="1"/>
  <c r="C76" i="1" s="1"/>
  <c r="J91" i="1"/>
  <c r="D101" i="1"/>
  <c r="D95" i="1"/>
  <c r="J93" i="1"/>
  <c r="C92" i="1" s="1"/>
  <c r="D99" i="1"/>
  <c r="J88" i="1"/>
  <c r="J90" i="1" s="1"/>
  <c r="D96" i="1"/>
  <c r="D100" i="1"/>
  <c r="D94" i="1"/>
  <c r="D98" i="1"/>
  <c r="J92" i="1"/>
  <c r="D97" i="1"/>
  <c r="J94" i="1"/>
  <c r="J95" i="1" s="1"/>
  <c r="J100" i="1" s="1"/>
  <c r="J99" i="1"/>
  <c r="J98" i="1"/>
  <c r="J97" i="1"/>
  <c r="J96" i="1"/>
  <c r="F73" i="1"/>
  <c r="D73" i="1"/>
  <c r="A243" i="1"/>
  <c r="A255" i="1"/>
  <c r="A249" i="1"/>
  <c r="J101" i="1" l="1"/>
  <c r="C93" i="1" s="1"/>
  <c r="E92" i="1" s="1"/>
  <c r="B103" i="1"/>
  <c r="D92" i="1"/>
  <c r="H103" i="1"/>
  <c r="G92" i="1" l="1"/>
  <c r="D93" i="1"/>
  <c r="I89" i="1" s="1"/>
  <c r="I90" i="1" s="1"/>
  <c r="J105" i="1"/>
  <c r="D114" i="1"/>
  <c r="J107" i="1"/>
  <c r="C106" i="1" s="1"/>
  <c r="D106" i="1" s="1"/>
  <c r="D113" i="1"/>
  <c r="D112" i="1"/>
  <c r="J106" i="1"/>
  <c r="J102" i="1"/>
  <c r="J104" i="1" s="1"/>
  <c r="D110" i="1"/>
  <c r="D115" i="1"/>
  <c r="D109" i="1"/>
  <c r="D108" i="1"/>
  <c r="D111" i="1"/>
  <c r="J112" i="1"/>
  <c r="J110" i="1"/>
  <c r="J108" i="1"/>
  <c r="J109" i="1" s="1"/>
  <c r="J114" i="1" s="1"/>
  <c r="J115" i="1" s="1"/>
  <c r="C107" i="1" s="1"/>
  <c r="J113" i="1"/>
  <c r="J111" i="1"/>
  <c r="J89" i="1"/>
  <c r="I88" i="1" l="1"/>
  <c r="C90" i="1" s="1"/>
  <c r="E106" i="1"/>
  <c r="D107" i="1"/>
  <c r="I103" i="1" s="1"/>
  <c r="I104" i="1" s="1"/>
  <c r="J103" i="1"/>
  <c r="G106" i="1"/>
  <c r="I102" i="1" l="1"/>
  <c r="C10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<sst xmlns="http://schemas.openxmlformats.org/spreadsheetml/2006/main" count="744" uniqueCount="413">
  <si>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</si>
  <si>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</si>
  <si>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</si>
  <si>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</si>
  <si>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</si>
  <si>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</si>
  <si>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</si>
  <si>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</si>
  <si>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</si>
  <si>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</si>
  <si>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</si>
  <si>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</si>
  <si>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</si>
  <si>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</si>
  <si>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</si>
  <si>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</si>
  <si>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</si>
  <si>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</si>
  <si>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</si>
  <si>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</si>
  <si>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</si>
  <si>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</si>
  <si>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</si>
  <si>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</si>
  <si>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</si>
  <si>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</si>
  <si>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</si>
  <si>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</si>
  <si>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</si>
  <si>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</si>
  <si>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</si>
  <si>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</si>
  <si>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</si>
  <si>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</si>
  <si>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</si>
  <si>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</si>
  <si>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</si>
  <si>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</si>
  <si>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</si>
  <si>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</si>
  <si>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</si>
  <si>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</si>
  <si>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</si>
  <si>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</si>
  <si>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</si>
  <si>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</si>
  <si>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</si>
  <si>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</si>
  <si>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</si>
  <si>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</si>
  <si>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</si>
  <si>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</si>
  <si>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</si>
  <si>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</si>
  <si>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</si>
  <si>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</si>
  <si>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</si>
  <si>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</si>
  <si>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</si>
  <si>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</si>
  <si>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</si>
  <si>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</si>
  <si>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</si>
  <si>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</si>
  <si>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</si>
  <si>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</si>
  <si>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</si>
  <si>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</si>
  <si>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</si>
  <si>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</si>
  <si>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</si>
  <si>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</si>
  <si>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</si>
  <si>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</si>
  <si>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</si>
  <si>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</si>
  <si>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</si>
  <si>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</si>
  <si>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</si>
  <si>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</si>
  <si>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</si>
  <si>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</si>
  <si>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</si>
  <si>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</si>
  <si>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</si>
  <si>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</si>
  <si>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</si>
  <si>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</si>
  <si>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</si>
  <si>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</si>
  <si>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</si>
  <si>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</si>
  <si>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</si>
  <si>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</si>
  <si>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</si>
  <si>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</si>
  <si>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</si>
  <si>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</si>
  <si>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</si>
  <si>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</si>
  <si>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</si>
  <si>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</si>
  <si>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</si>
  <si>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</si>
  <si>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</si>
  <si>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</si>
  <si>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</si>
  <si>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</si>
  <si>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</si>
  <si>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</si>
  <si>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</si>
  <si>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</si>
  <si>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</si>
  <si>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</si>
  <si>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</si>
  <si>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</si>
  <si>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</si>
  <si>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</si>
  <si>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</si>
  <si>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</si>
  <si>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</si>
  <si>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</si>
  <si>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</si>
  <si>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</si>
  <si>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</si>
  <si>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</si>
  <si>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</si>
  <si>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</si>
  <si>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</si>
  <si>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</si>
  <si>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</si>
  <si>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</si>
  <si>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</si>
  <si>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</si>
  <si>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</si>
  <si>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</si>
  <si>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</si>
  <si>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</si>
  <si>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</si>
  <si>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</si>
  <si>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</si>
  <si>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</si>
  <si>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</si>
  <si>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</si>
  <si>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</si>
  <si>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</si>
  <si>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</si>
  <si>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</si>
  <si>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</si>
  <si>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</si>
  <si>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</si>
  <si>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</si>
  <si>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</si>
  <si>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</si>
  <si>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</si>
  <si>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</si>
  <si>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</si>
  <si>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</si>
  <si>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</si>
  <si>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</si>
  <si>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</si>
  <si>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</si>
  <si>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</si>
  <si>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</si>
  <si>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</si>
  <si>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</si>
  <si>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</si>
  <si>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</si>
  <si>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</si>
  <si>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</si>
  <si>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</si>
  <si>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</si>
  <si>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</si>
  <si>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</si>
  <si>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</si>
  <si>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</si>
  <si>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</si>
  <si>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</si>
  <si>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</si>
  <si>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</si>
  <si>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</si>
  <si>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</si>
  <si>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</si>
  <si>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</si>
  <si>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</si>
  <si>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</si>
  <si>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</si>
  <si>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</si>
  <si>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</si>
  <si>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</si>
  <si>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</si>
  <si>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</si>
  <si>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</si>
  <si>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</si>
  <si>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</si>
  <si>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</si>
  <si>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</si>
  <si>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</si>
  <si>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</si>
  <si>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</si>
  <si>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</si>
  <si>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</si>
  <si>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</si>
  <si>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</si>
  <si>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</si>
  <si>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</si>
  <si>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</si>
  <si>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</si>
  <si>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</si>
  <si>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</si>
  <si>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</si>
  <si>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</si>
  <si>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</si>
  <si>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</si>
  <si>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</si>
  <si>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</si>
  <si>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</si>
  <si>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</si>
  <si>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</si>
  <si>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</si>
  <si>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</si>
  <si>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</si>
  <si>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</si>
  <si>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</si>
  <si>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</si>
  <si>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</si>
  <si>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</si>
  <si>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</si>
  <si>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</si>
  <si>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</si>
  <si>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</si>
  <si>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</si>
  <si>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</si>
  <si>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</si>
  <si>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</si>
  <si>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</si>
  <si>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</si>
  <si>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</si>
  <si>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</si>
  <si>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</si>
  <si>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</si>
  <si>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</si>
  <si>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</si>
  <si>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</si>
  <si>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</si>
  <si>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</si>
  <si>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</si>
  <si>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</si>
  <si>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</si>
  <si>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</si>
  <si>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</si>
  <si>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</si>
  <si>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</si>
  <si>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</si>
  <si>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</si>
  <si>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</si>
  <si>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</si>
  <si>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</si>
  <si>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</si>
  <si>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</si>
  <si>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</si>
  <si>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</si>
  <si>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</si>
  <si>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</si>
  <si>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</si>
  <si>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</si>
  <si>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</si>
  <si>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</si>
  <si>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</si>
  <si>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</si>
  <si>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</si>
  <si>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</si>
  <si>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</si>
  <si>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</si>
  <si>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</si>
  <si>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</si>
  <si>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</si>
  <si>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</si>
  <si>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</si>
  <si>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</si>
  <si>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</si>
  <si>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</si>
  <si>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</si>
  <si>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</si>
  <si>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</si>
  <si>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</si>
  <si>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</si>
  <si>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</si>
  <si>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</si>
  <si>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</si>
  <si>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</si>
  <si>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</si>
  <si>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</si>
  <si>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</si>
  <si>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</si>
  <si>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</si>
  <si>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</si>
  <si>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</si>
  <si>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</si>
  <si>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</si>
  <si>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</si>
  <si>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</si>
  <si>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</si>
  <si>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</si>
  <si>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</si>
  <si>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</si>
  <si>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</si>
  <si>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</si>
  <si>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</si>
  <si>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</si>
  <si>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</si>
  <si>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</si>
  <si>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</si>
  <si>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</si>
  <si>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</si>
  <si>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</si>
  <si>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</si>
  <si>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</si>
  <si>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</si>
  <si>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</si>
  <si>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</si>
  <si>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</si>
  <si>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</si>
  <si>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</si>
  <si>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</si>
  <si>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</si>
  <si>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</si>
  <si>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</si>
  <si>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</si>
  <si>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</si>
  <si>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</si>
  <si>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</si>
  <si>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</si>
  <si>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</si>
  <si>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</si>
  <si>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</si>
  <si>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</si>
  <si>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</si>
  <si>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</si>
  <si>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</si>
  <si>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</si>
  <si>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</si>
  <si>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</si>
  <si>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</si>
  <si>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</si>
  <si>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</si>
  <si>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</si>
  <si>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</si>
  <si>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</si>
  <si>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</si>
  <si>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</si>
  <si>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</si>
  <si>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</si>
  <si>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 xml:space="preserve">Dhanlaxmi Developers
</t>
  </si>
  <si>
    <t>Dhananjay Hill View</t>
  </si>
  <si>
    <t>Wing A &amp; B</t>
  </si>
  <si>
    <t>P99000054332</t>
  </si>
  <si>
    <t>Survey No</t>
  </si>
  <si>
    <t>Nallasopara West</t>
  </si>
  <si>
    <t>02 Wings</t>
  </si>
  <si>
    <t>30 M W Road</t>
  </si>
  <si>
    <t>Other Plot</t>
  </si>
  <si>
    <t>VVCMC/TP/CC/VP/0957/149/2023-24</t>
  </si>
  <si>
    <t>VVCMC/TP/CC/VP-0957/149/2023-24</t>
  </si>
  <si>
    <t>Wing A = St/G + 1st to 20th Floor
Wing B = St + 1st to 19th Floor</t>
  </si>
  <si>
    <t xml:space="preserve">A Wing = G + 1st to 20th Floor
B Wing = G + 1st to 19th Floor
</t>
  </si>
  <si>
    <t xml:space="preserve">As per RERA - 31/12/2028
</t>
  </si>
  <si>
    <t>Wing A</t>
  </si>
  <si>
    <t>Ground Floor For Commercial &amp; Parking</t>
  </si>
  <si>
    <t>Shop</t>
  </si>
  <si>
    <t>1st Floor For Commercial, Residential &amp; Society Office</t>
  </si>
  <si>
    <t>Office</t>
  </si>
  <si>
    <t>1st Floor For Residential, Commercial &amp; Society Office</t>
  </si>
  <si>
    <t>Society Office</t>
  </si>
  <si>
    <t>Commercial</t>
  </si>
  <si>
    <t>2BHK</t>
  </si>
  <si>
    <t>1BHK</t>
  </si>
  <si>
    <t>3BHK</t>
  </si>
  <si>
    <t>2nd to 7th, 9th to 12th, 14th to 17th &amp; 19th Floor For Residential</t>
  </si>
  <si>
    <t>8th, 13th &amp; 18th Floor (Part Refuge Area)</t>
  </si>
  <si>
    <t>20th Floor</t>
  </si>
  <si>
    <t>Wing B</t>
  </si>
  <si>
    <t>Ground Floor For Parking</t>
  </si>
  <si>
    <t>1st Floor For Residential</t>
  </si>
  <si>
    <t>Refuge Area</t>
  </si>
  <si>
    <t>We considered Gross carpet area = Net carpet + Enclose balcony + Balcony + A.P Area.</t>
  </si>
  <si>
    <t xml:space="preserve">Please check for Fire Noc.
</t>
  </si>
  <si>
    <t>In 1st floor Enclosed Balcony was not shown so reffered the 2nd floor plan</t>
  </si>
  <si>
    <t>Shops</t>
  </si>
  <si>
    <t>Offices</t>
  </si>
  <si>
    <t>Residential Area Details : Flats</t>
  </si>
  <si>
    <t>Flats - 287, Shops - 12, Offices - 02</t>
  </si>
  <si>
    <t>Anand Park CHSL</t>
  </si>
  <si>
    <t>273/1, Redevelopement of "Anand Park CHSL "</t>
  </si>
  <si>
    <t>19.4272509,72.8120301</t>
  </si>
  <si>
    <t>https://maps.app.goo.gl/DrKfdJwHjR6YyarB8</t>
  </si>
  <si>
    <t>Nilemore Road</t>
  </si>
  <si>
    <t>Nilemore</t>
  </si>
  <si>
    <t>Trinity Heights</t>
  </si>
  <si>
    <t>Building</t>
  </si>
  <si>
    <t>Open Plot</t>
  </si>
  <si>
    <t>Trinity Heights Building</t>
  </si>
  <si>
    <t>Aakash Nagar</t>
  </si>
  <si>
    <t>2 KM from Nallasopara Railway Station</t>
  </si>
  <si>
    <t>Podium Garden, Vitrified tiles flooring, Granite Kitchen Platform, Decorative Enternace, etc.</t>
  </si>
  <si>
    <t>A Wing = G + 1st to 23rd Floor</t>
  </si>
  <si>
    <t>B Wing = G + 1st to 23rd Floor</t>
  </si>
  <si>
    <t>Construction work is in process at the time of Visit.</t>
  </si>
  <si>
    <r>
      <t xml:space="preserve">Proposed Amenities :                                                                                                                                                                                                                         </t>
    </r>
    <r>
      <rPr>
        <b/>
        <sz val="12"/>
        <rFont val="Times New Roman"/>
        <family val="1"/>
      </rPr>
      <t xml:space="preserve">                                               </t>
    </r>
  </si>
  <si>
    <t>Mr. David : 9028375823</t>
  </si>
  <si>
    <t>Please provide revised approved floor plans &amp; CC.</t>
  </si>
  <si>
    <t>Pooja Kawale</t>
  </si>
  <si>
    <t>Navnath Bhatkar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</si>
</sst>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23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164" fontId="6" fillId="0" borderId="0" xfId="1" applyNumberFormat="1" applyFont="1" applyAlignment="1">
      <alignment horizontal="center" vertical="center"/>
    </xf>
    <xf numFmtId="2" fontId="6" fillId="0" borderId="0" xfId="1" applyNumberFormat="1" applyFont="1" applyAlignment="1">
      <alignment horizontal="center" vertical="center"/>
    </xf>
    <xf numFmtId="168"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left" vertical="top"/>
    </xf>
    <xf numFmtId="1" fontId="6"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2" fillId="0" borderId="4"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7" fillId="0" borderId="16" xfId="1" applyFont="1" applyBorder="1" applyAlignment="1" applyProtection="1">
      <alignment horizontal="left" vertical="top"/>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1" fillId="0" borderId="1" xfId="1" applyFont="1" applyBorder="1" applyAlignment="1" applyProtection="1">
      <alignment horizontal="center" vertical="top"/>
      <protection locked="0"/>
    </xf>
    <xf numFmtId="0" fontId="23" fillId="2" borderId="15" xfId="0" applyFont="1" applyFill="1" applyBorder="1"/>
    <xf numFmtId="0" fontId="24" fillId="0" borderId="9" xfId="0" applyFont="1" applyBorder="1"/>
    <xf numFmtId="0" fontId="7" fillId="0" borderId="35"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6"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449356</xdr:colOff>
      <xdr:row>49</xdr:row>
      <xdr:rowOff>112059</xdr:rowOff>
    </xdr:from>
    <xdr:to>
      <xdr:col>12</xdr:col>
      <xdr:colOff>1293</xdr:colOff>
      <xdr:row>52</xdr:row>
      <xdr:rowOff>396017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58268" y="11217088"/>
          <a:ext cx="3104201" cy="889076"/>
        </a:xfrm>
        <a:prstGeom prst="rect">
          <a:avLst/>
        </a:prstGeom>
      </xdr:spPr>
    </xdr:pic>
    <xdr:clientData/>
  </xdr:twoCellAnchor>
  <xdr:twoCellAnchor>
    <xdr:from>
      <xdr:col>8</xdr:col>
      <xdr:colOff>476250</xdr:colOff>
      <xdr:row>9</xdr:row>
      <xdr:rowOff>104775</xdr:rowOff>
    </xdr:from>
    <xdr:to>
      <xdr:col>15</xdr:col>
      <xdr:colOff>129189</xdr:colOff>
      <xdr:row>18</xdr:row>
      <xdr:rowOff>195900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099300" y="2276475"/>
          <a:ext cx="5926739" cy="2281875"/>
          <a:chOff x="6505575" y="1981200"/>
          <a:chExt cx="5644164" cy="2520000"/>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505575" y="1981200"/>
            <a:ext cx="5644164" cy="2520000"/>
          </a:xfrm>
          <a:prstGeom prst="rect">
            <a:avLst/>
          </a:prstGeom>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a:off x="7477126" y="3114674"/>
            <a:ext cx="2171700"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2</xdr:col>
      <xdr:colOff>60473</xdr:colOff>
      <xdr:row>339</xdr:row>
      <xdr:rowOff>180975</xdr:rowOff>
    </xdr:from>
    <xdr:to>
      <xdr:col>5</xdr:col>
      <xdr:colOff>644120</xdr:colOff>
      <xdr:row>362</xdr:row>
      <xdr:rowOff>114300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668293" y="59700795"/>
          <a:ext cx="3189687" cy="4490085"/>
        </a:xfrm>
        <a:prstGeom prst="rect">
          <a:avLst/>
        </a:prstGeom>
        <a:ln>
          <a:solidFill>
            <a:schemeClr val="tx1"/>
          </a:solidFill>
        </a:ln>
      </xdr:spPr>
    </xdr:pic>
    <xdr:clientData/>
  </xdr:twoCellAnchor>
  <xdr:twoCellAnchor>
    <xdr:from>
      <xdr:col>2</xdr:col>
      <xdr:colOff>19051</xdr:colOff>
      <xdr:row>323</xdr:row>
      <xdr:rowOff>26059</xdr:rowOff>
    </xdr:from>
    <xdr:to>
      <xdr:col>6</xdr:col>
      <xdr:colOff>15799</xdr:colOff>
      <xdr:row>339</xdr:row>
      <xdr:rowOff>65659</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1657351" y="56306109"/>
          <a:ext cx="3444798" cy="3189200"/>
          <a:chOff x="1581151" y="62300509"/>
          <a:chExt cx="3282873" cy="3240000"/>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581151" y="62300509"/>
            <a:ext cx="3282873" cy="3240000"/>
          </a:xfrm>
          <a:prstGeom prst="rect">
            <a:avLst/>
          </a:prstGeom>
          <a:ln>
            <a:solidFill>
              <a:schemeClr val="tx1"/>
            </a:solidFill>
          </a:ln>
        </xdr:spPr>
      </xdr:pic>
      <xdr:sp macro="" textlink="">
        <xdr:nvSpPr>
          <xdr:cNvPr id="9" name="Freeform 8">
            <a:extLst>
              <a:ext uri="{FF2B5EF4-FFF2-40B4-BE49-F238E27FC236}">
                <a16:creationId xmlns:a16="http://schemas.microsoft.com/office/drawing/2014/main" id="{00000000-0008-0000-0000-000009000000}"/>
              </a:ext>
            </a:extLst>
          </xdr:cNvPr>
          <xdr:cNvSpPr/>
        </xdr:nvSpPr>
        <xdr:spPr>
          <a:xfrm>
            <a:off x="2781300" y="63598425"/>
            <a:ext cx="1019175" cy="981075"/>
          </a:xfrm>
          <a:custGeom>
            <a:avLst/>
            <a:gdLst>
              <a:gd name="connsiteX0" fmla="*/ 0 w 1076325"/>
              <a:gd name="connsiteY0" fmla="*/ 981075 h 981075"/>
              <a:gd name="connsiteX1" fmla="*/ 342900 w 1076325"/>
              <a:gd name="connsiteY1" fmla="*/ 0 h 981075"/>
              <a:gd name="connsiteX2" fmla="*/ 1076325 w 1076325"/>
              <a:gd name="connsiteY2" fmla="*/ 180975 h 981075"/>
              <a:gd name="connsiteX3" fmla="*/ 885825 w 1076325"/>
              <a:gd name="connsiteY3" fmla="*/ 590550 h 981075"/>
              <a:gd name="connsiteX4" fmla="*/ 0 w 1076325"/>
              <a:gd name="connsiteY4" fmla="*/ 981075 h 9810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76325" h="981075">
                <a:moveTo>
                  <a:pt x="0" y="981075"/>
                </a:moveTo>
                <a:lnTo>
                  <a:pt x="342900" y="0"/>
                </a:lnTo>
                <a:lnTo>
                  <a:pt x="1076325" y="180975"/>
                </a:lnTo>
                <a:lnTo>
                  <a:pt x="885825" y="590550"/>
                </a:lnTo>
                <a:lnTo>
                  <a:pt x="0" y="981075"/>
                </a:lnTo>
                <a:close/>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xdr:col>
      <xdr:colOff>289361</xdr:colOff>
      <xdr:row>365</xdr:row>
      <xdr:rowOff>58271</xdr:rowOff>
    </xdr:from>
    <xdr:to>
      <xdr:col>6</xdr:col>
      <xdr:colOff>537914</xdr:colOff>
      <xdr:row>384</xdr:row>
      <xdr:rowOff>185859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a:stretch>
          <a:fillRect/>
        </a:stretch>
      </xdr:blipFill>
      <xdr:spPr>
        <a:xfrm>
          <a:off x="1051361" y="71641447"/>
          <a:ext cx="4338700" cy="3960000"/>
        </a:xfrm>
        <a:prstGeom prst="rect">
          <a:avLst/>
        </a:prstGeom>
        <a:ln>
          <a:solidFill>
            <a:schemeClr val="tx1"/>
          </a:solidFill>
        </a:ln>
      </xdr:spPr>
    </xdr:pic>
    <xdr:clientData/>
  </xdr:twoCellAnchor>
  <xdr:twoCellAnchor>
    <xdr:from>
      <xdr:col>1</xdr:col>
      <xdr:colOff>270063</xdr:colOff>
      <xdr:row>385</xdr:row>
      <xdr:rowOff>85132</xdr:rowOff>
    </xdr:from>
    <xdr:to>
      <xdr:col>6</xdr:col>
      <xdr:colOff>556260</xdr:colOff>
      <xdr:row>404</xdr:row>
      <xdr:rowOff>83819</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1070163" y="68569882"/>
          <a:ext cx="4572447" cy="3738837"/>
          <a:chOff x="973792" y="75755766"/>
          <a:chExt cx="4496360" cy="4292973"/>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973792" y="75755766"/>
            <a:ext cx="4496360" cy="4292973"/>
          </a:xfrm>
          <a:prstGeom prst="rect">
            <a:avLst/>
          </a:prstGeom>
          <a:ln>
            <a:solidFill>
              <a:schemeClr val="tx1"/>
            </a:solidFill>
          </a:ln>
        </xdr:spPr>
      </xdr:pic>
      <xdr:sp macro="" textlink="">
        <xdr:nvSpPr>
          <xdr:cNvPr id="13" name="Freeform 12">
            <a:extLst>
              <a:ext uri="{FF2B5EF4-FFF2-40B4-BE49-F238E27FC236}">
                <a16:creationId xmlns:a16="http://schemas.microsoft.com/office/drawing/2014/main" id="{00000000-0008-0000-0000-00000D000000}"/>
              </a:ext>
            </a:extLst>
          </xdr:cNvPr>
          <xdr:cNvSpPr/>
        </xdr:nvSpPr>
        <xdr:spPr>
          <a:xfrm rot="20131970">
            <a:off x="2238329" y="77186578"/>
            <a:ext cx="1302267" cy="1271120"/>
          </a:xfrm>
          <a:custGeom>
            <a:avLst/>
            <a:gdLst>
              <a:gd name="connsiteX0" fmla="*/ 0 w 1076325"/>
              <a:gd name="connsiteY0" fmla="*/ 981075 h 981075"/>
              <a:gd name="connsiteX1" fmla="*/ 342900 w 1076325"/>
              <a:gd name="connsiteY1" fmla="*/ 0 h 981075"/>
              <a:gd name="connsiteX2" fmla="*/ 1076325 w 1076325"/>
              <a:gd name="connsiteY2" fmla="*/ 180975 h 981075"/>
              <a:gd name="connsiteX3" fmla="*/ 885825 w 1076325"/>
              <a:gd name="connsiteY3" fmla="*/ 590550 h 981075"/>
              <a:gd name="connsiteX4" fmla="*/ 0 w 1076325"/>
              <a:gd name="connsiteY4" fmla="*/ 981075 h 9810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76325" h="981075">
                <a:moveTo>
                  <a:pt x="0" y="981075"/>
                </a:moveTo>
                <a:lnTo>
                  <a:pt x="342900" y="0"/>
                </a:lnTo>
                <a:lnTo>
                  <a:pt x="1076325" y="180975"/>
                </a:lnTo>
                <a:lnTo>
                  <a:pt x="885825" y="590550"/>
                </a:lnTo>
                <a:lnTo>
                  <a:pt x="0" y="98107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9</xdr:col>
      <xdr:colOff>705970</xdr:colOff>
      <xdr:row>58</xdr:row>
      <xdr:rowOff>324970</xdr:rowOff>
    </xdr:from>
    <xdr:to>
      <xdr:col>14</xdr:col>
      <xdr:colOff>302107</xdr:colOff>
      <xdr:row>75</xdr:row>
      <xdr:rowOff>98102</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stretch>
          <a:fillRect/>
        </a:stretch>
      </xdr:blipFill>
      <xdr:spPr>
        <a:xfrm>
          <a:off x="8180294" y="14220264"/>
          <a:ext cx="3619048" cy="4076190"/>
        </a:xfrm>
        <a:prstGeom prst="rect">
          <a:avLst/>
        </a:prstGeom>
      </xdr:spPr>
    </xdr:pic>
    <xdr:clientData/>
  </xdr:twoCellAnchor>
  <xdr:twoCellAnchor>
    <xdr:from>
      <xdr:col>8</xdr:col>
      <xdr:colOff>424021</xdr:colOff>
      <xdr:row>281</xdr:row>
      <xdr:rowOff>121884</xdr:rowOff>
    </xdr:from>
    <xdr:to>
      <xdr:col>13</xdr:col>
      <xdr:colOff>714331</xdr:colOff>
      <xdr:row>318</xdr:row>
      <xdr:rowOff>143218</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7047071" y="48140584"/>
          <a:ext cx="4836910" cy="7298434"/>
          <a:chOff x="866254" y="49158625"/>
          <a:chExt cx="4644596" cy="7556290"/>
        </a:xfrm>
      </xdr:grpSpPr>
      <xdr:pic>
        <xdr:nvPicPr>
          <xdr:cNvPr id="16" name="Picture 15" descr="https://vsjcllp.vsjadon.com/upload/insp-195802-1525.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276761" y="54528502"/>
            <a:ext cx="1616211" cy="21864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195802-843.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635618" y="52207707"/>
            <a:ext cx="2875232" cy="21864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195802-845.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503448" y="54528502"/>
            <a:ext cx="1620913" cy="21864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24" name="Group 23">
            <a:extLst>
              <a:ext uri="{FF2B5EF4-FFF2-40B4-BE49-F238E27FC236}">
                <a16:creationId xmlns:a16="http://schemas.microsoft.com/office/drawing/2014/main" id="{00000000-0008-0000-0000-000018000000}"/>
              </a:ext>
            </a:extLst>
          </xdr:cNvPr>
          <xdr:cNvGrpSpPr/>
        </xdr:nvGrpSpPr>
        <xdr:grpSpPr>
          <a:xfrm>
            <a:off x="952805" y="49163107"/>
            <a:ext cx="2160350" cy="2907816"/>
            <a:chOff x="949403" y="50527324"/>
            <a:chExt cx="2157749" cy="2880000"/>
          </a:xfrm>
        </xdr:grpSpPr>
        <xdr:pic>
          <xdr:nvPicPr>
            <xdr:cNvPr id="20" name="Picture 19" descr="https://vsjcllp.vsjadon.com/upload/insp-195802-851.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949403" y="50527324"/>
              <a:ext cx="2157749"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86971" y="50560941"/>
              <a:ext cx="1120588" cy="48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Wing A</a:t>
              </a:r>
            </a:p>
          </xdr:txBody>
        </xdr:sp>
      </xdr:grpSp>
      <xdr:grpSp>
        <xdr:nvGrpSpPr>
          <xdr:cNvPr id="26" name="Group 25">
            <a:extLst>
              <a:ext uri="{FF2B5EF4-FFF2-40B4-BE49-F238E27FC236}">
                <a16:creationId xmlns:a16="http://schemas.microsoft.com/office/drawing/2014/main" id="{00000000-0008-0000-0000-00001A000000}"/>
              </a:ext>
            </a:extLst>
          </xdr:cNvPr>
          <xdr:cNvGrpSpPr/>
        </xdr:nvGrpSpPr>
        <xdr:grpSpPr>
          <a:xfrm>
            <a:off x="866254" y="52140471"/>
            <a:ext cx="1773131" cy="2242443"/>
            <a:chOff x="862852" y="53474471"/>
            <a:chExt cx="1770530" cy="2216030"/>
          </a:xfrm>
        </xdr:grpSpPr>
        <xdr:pic>
          <xdr:nvPicPr>
            <xdr:cNvPr id="21" name="Picture 20" descr="https://vsjcllp.vsjadon.com/upload/insp-195802-860.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862852" y="53530501"/>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512794" y="53474471"/>
              <a:ext cx="1120588" cy="48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Wing A</a:t>
              </a:r>
            </a:p>
          </xdr:txBody>
        </xdr:sp>
      </xdr:grpSp>
      <xdr:grpSp>
        <xdr:nvGrpSpPr>
          <xdr:cNvPr id="25" name="Group 24">
            <a:extLst>
              <a:ext uri="{FF2B5EF4-FFF2-40B4-BE49-F238E27FC236}">
                <a16:creationId xmlns:a16="http://schemas.microsoft.com/office/drawing/2014/main" id="{00000000-0008-0000-0000-000019000000}"/>
              </a:ext>
            </a:extLst>
          </xdr:cNvPr>
          <xdr:cNvGrpSpPr/>
        </xdr:nvGrpSpPr>
        <xdr:grpSpPr>
          <a:xfrm>
            <a:off x="3265555" y="49158625"/>
            <a:ext cx="2155648" cy="2912298"/>
            <a:chOff x="3259552" y="50522842"/>
            <a:chExt cx="2157749" cy="2884482"/>
          </a:xfrm>
        </xdr:grpSpPr>
        <xdr:pic>
          <xdr:nvPicPr>
            <xdr:cNvPr id="19" name="Picture 18" descr="https://vsjcllp.vsjadon.com/upload/insp-195802-847.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259552" y="50527324"/>
              <a:ext cx="2157749"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3525370" y="50522842"/>
              <a:ext cx="1120588" cy="48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Wing B</a:t>
              </a:r>
            </a:p>
          </xdr:txBody>
        </xdr:sp>
      </xdr:grpSp>
    </xdr:grpSp>
    <xdr:clientData/>
  </xdr:twoCellAnchor>
  <xdr:twoCellAnchor>
    <xdr:from>
      <xdr:col>0</xdr:col>
      <xdr:colOff>133350</xdr:colOff>
      <xdr:row>281</xdr:row>
      <xdr:rowOff>69850</xdr:rowOff>
    </xdr:from>
    <xdr:to>
      <xdr:col>7</xdr:col>
      <xdr:colOff>668183</xdr:colOff>
      <xdr:row>321</xdr:row>
      <xdr:rowOff>22486</xdr:rowOff>
    </xdr:to>
    <xdr:grpSp>
      <xdr:nvGrpSpPr>
        <xdr:cNvPr id="28" name="Group 27"/>
        <xdr:cNvGrpSpPr/>
      </xdr:nvGrpSpPr>
      <xdr:grpSpPr>
        <a:xfrm>
          <a:off x="133350" y="48088550"/>
          <a:ext cx="6389533" cy="7820286"/>
          <a:chOff x="133350" y="48088550"/>
          <a:chExt cx="6389533" cy="7820286"/>
        </a:xfrm>
      </xdr:grpSpPr>
      <xdr:pic>
        <xdr:nvPicPr>
          <xdr:cNvPr id="39" name="Picture 3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418001" y="53748836"/>
            <a:ext cx="1618313"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03185" y="48088550"/>
            <a:ext cx="2049863"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33350" y="48088550"/>
            <a:ext cx="2049863"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303184" y="50918693"/>
            <a:ext cx="2049863" cy="273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33350" y="50918693"/>
            <a:ext cx="2049863" cy="273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473020" y="48088550"/>
            <a:ext cx="2049863" cy="2736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679717" y="53748836"/>
            <a:ext cx="1618313" cy="216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473020" y="50918693"/>
            <a:ext cx="2049863" cy="2736000"/>
          </a:xfrm>
          <a:prstGeom prst="rect">
            <a:avLst/>
          </a:prstGeom>
          <a:ln>
            <a:solidFill>
              <a:schemeClr val="tx1"/>
            </a:solidFill>
          </a:ln>
        </xdr:spPr>
      </xdr:pic>
      <xdr:sp macro="" textlink="">
        <xdr:nvSpPr>
          <xdr:cNvPr id="58" name="TextBox 57">
            <a:extLst>
              <a:ext uri="{FF2B5EF4-FFF2-40B4-BE49-F238E27FC236}">
                <a16:creationId xmlns:a16="http://schemas.microsoft.com/office/drawing/2014/main" id="{00000000-0008-0000-0000-000008000000}"/>
              </a:ext>
            </a:extLst>
          </xdr:cNvPr>
          <xdr:cNvSpPr txBox="1"/>
        </xdr:nvSpPr>
        <xdr:spPr>
          <a:xfrm>
            <a:off x="1073150" y="49904651"/>
            <a:ext cx="1009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59" name="TextBox 58">
            <a:extLst>
              <a:ext uri="{FF2B5EF4-FFF2-40B4-BE49-F238E27FC236}">
                <a16:creationId xmlns:a16="http://schemas.microsoft.com/office/drawing/2014/main" id="{00000000-0008-0000-0000-000008000000}"/>
              </a:ext>
            </a:extLst>
          </xdr:cNvPr>
          <xdr:cNvSpPr txBox="1"/>
        </xdr:nvSpPr>
        <xdr:spPr>
          <a:xfrm>
            <a:off x="2754035" y="49771300"/>
            <a:ext cx="1009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60" name="TextBox 59">
            <a:extLst>
              <a:ext uri="{FF2B5EF4-FFF2-40B4-BE49-F238E27FC236}">
                <a16:creationId xmlns:a16="http://schemas.microsoft.com/office/drawing/2014/main" id="{00000000-0008-0000-0000-000008000000}"/>
              </a:ext>
            </a:extLst>
          </xdr:cNvPr>
          <xdr:cNvSpPr txBox="1"/>
        </xdr:nvSpPr>
        <xdr:spPr>
          <a:xfrm>
            <a:off x="5158820" y="49726850"/>
            <a:ext cx="1009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61" name="TextBox 60">
            <a:extLst>
              <a:ext uri="{FF2B5EF4-FFF2-40B4-BE49-F238E27FC236}">
                <a16:creationId xmlns:a16="http://schemas.microsoft.com/office/drawing/2014/main" id="{00000000-0008-0000-0000-000008000000}"/>
              </a:ext>
            </a:extLst>
          </xdr:cNvPr>
          <xdr:cNvSpPr txBox="1"/>
        </xdr:nvSpPr>
        <xdr:spPr>
          <a:xfrm>
            <a:off x="768350" y="53141193"/>
            <a:ext cx="1009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62" name="TextBox 61">
            <a:extLst>
              <a:ext uri="{FF2B5EF4-FFF2-40B4-BE49-F238E27FC236}">
                <a16:creationId xmlns:a16="http://schemas.microsoft.com/office/drawing/2014/main" id="{00000000-0008-0000-0000-000008000000}"/>
              </a:ext>
            </a:extLst>
          </xdr:cNvPr>
          <xdr:cNvSpPr txBox="1"/>
        </xdr:nvSpPr>
        <xdr:spPr>
          <a:xfrm>
            <a:off x="3033434" y="53134843"/>
            <a:ext cx="1009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cap="none" spc="0">
                <a:ln w="0"/>
                <a:solidFill>
                  <a:srgbClr val="FFFF00"/>
                </a:solidFill>
                <a:effectLst>
                  <a:outerShdw blurRad="38100" dist="25400" dir="5400000" algn="ctr" rotWithShape="0">
                    <a:srgbClr val="6E747A">
                      <a:alpha val="43000"/>
                    </a:srgbClr>
                  </a:outerShdw>
                </a:effectLst>
              </a:rPr>
              <a:t>Wing 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100348</xdr:colOff>
      <xdr:row>52</xdr:row>
      <xdr:rowOff>75286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rKfdJwHjR6YyarB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5"/>
  <sheetViews>
    <sheetView tabSelected="1" view="pageBreakPreview" topLeftCell="A75" zoomScaleNormal="100" zoomScaleSheetLayoutView="100" zoomScalePageLayoutView="85" workbookViewId="0">
      <selection activeCell="C81" sqref="C81"/>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58" t="s">
        <v>166</v>
      </c>
      <c r="B1" s="158"/>
      <c r="C1" s="158"/>
      <c r="D1" s="158"/>
      <c r="E1" s="158"/>
      <c r="F1" s="158"/>
      <c r="G1" s="158"/>
      <c r="H1" s="158"/>
    </row>
    <row r="2" spans="1:26" ht="16.5" customHeight="1" x14ac:dyDescent="0.35">
      <c r="A2" s="159" t="s">
        <v>0</v>
      </c>
      <c r="B2" s="159"/>
      <c r="C2" s="159"/>
      <c r="D2" s="159"/>
      <c r="E2" s="159"/>
      <c r="F2" s="159"/>
      <c r="G2" s="159"/>
      <c r="H2" s="159"/>
    </row>
    <row r="3" spans="1:26" x14ac:dyDescent="0.35">
      <c r="A3" s="127" t="s">
        <v>1</v>
      </c>
      <c r="B3" s="127"/>
      <c r="C3" s="127"/>
      <c r="D3" s="127"/>
      <c r="E3" s="127" t="str">
        <f ca="1">TEXT(TODAY(),"DD/MM/YYYY")</f>
        <v>30/09/2025</v>
      </c>
      <c r="F3" s="127"/>
      <c r="G3" s="127"/>
      <c r="H3" s="127"/>
      <c r="K3" s="55" t="s">
        <v>239</v>
      </c>
      <c r="L3" s="54" t="s">
        <v>237</v>
      </c>
      <c r="M3" s="54" t="s">
        <v>242</v>
      </c>
      <c r="N3" s="54" t="s">
        <v>240</v>
      </c>
      <c r="O3" s="54" t="s">
        <v>345</v>
      </c>
      <c r="P3" s="54" t="s">
        <v>243</v>
      </c>
    </row>
    <row r="4" spans="1:26" ht="15" customHeight="1" x14ac:dyDescent="0.35">
      <c r="A4" s="127" t="s">
        <v>236</v>
      </c>
      <c r="B4" s="127"/>
      <c r="C4" s="127"/>
      <c r="D4" s="127"/>
      <c r="E4" s="127" t="s">
        <v>242</v>
      </c>
      <c r="F4" s="127"/>
      <c r="G4" s="127"/>
      <c r="H4" s="127"/>
      <c r="K4" s="53" t="s">
        <v>238</v>
      </c>
      <c r="L4" s="54" t="s">
        <v>172</v>
      </c>
      <c r="M4" s="54" t="s">
        <v>247</v>
      </c>
      <c r="N4" s="54" t="s">
        <v>249</v>
      </c>
      <c r="O4" s="54" t="s">
        <v>346</v>
      </c>
      <c r="P4" s="54"/>
    </row>
    <row r="5" spans="1:26" ht="15" customHeight="1" x14ac:dyDescent="0.35">
      <c r="A5" s="127" t="s">
        <v>2</v>
      </c>
      <c r="B5" s="127"/>
      <c r="C5" s="127"/>
      <c r="D5" s="127"/>
      <c r="E5" s="127" t="s">
        <v>248</v>
      </c>
      <c r="F5" s="127"/>
      <c r="G5" s="127"/>
      <c r="H5" s="127"/>
      <c r="K5" s="53"/>
      <c r="L5" s="54" t="s">
        <v>244</v>
      </c>
      <c r="M5" s="54" t="s">
        <v>248</v>
      </c>
      <c r="N5" s="54" t="s">
        <v>250</v>
      </c>
      <c r="O5" s="54" t="s">
        <v>347</v>
      </c>
      <c r="P5" s="54"/>
    </row>
    <row r="6" spans="1:26" x14ac:dyDescent="0.35">
      <c r="A6" s="127" t="s">
        <v>3</v>
      </c>
      <c r="B6" s="127"/>
      <c r="C6" s="127"/>
      <c r="D6" s="127"/>
      <c r="E6" s="162">
        <v>45930</v>
      </c>
      <c r="F6" s="127"/>
      <c r="G6" s="127"/>
      <c r="H6" s="127"/>
      <c r="K6" s="53"/>
      <c r="L6" s="54" t="s">
        <v>245</v>
      </c>
      <c r="M6" s="54"/>
      <c r="N6" s="54"/>
      <c r="O6" s="54" t="s">
        <v>348</v>
      </c>
      <c r="P6" s="54"/>
    </row>
    <row r="7" spans="1:26" ht="16.5" customHeight="1" x14ac:dyDescent="0.35">
      <c r="A7" s="127" t="s">
        <v>4</v>
      </c>
      <c r="B7" s="127"/>
      <c r="C7" s="127"/>
      <c r="D7" s="127"/>
      <c r="E7" s="163" t="s">
        <v>353</v>
      </c>
      <c r="F7" s="127"/>
      <c r="G7" s="127"/>
      <c r="H7" s="127"/>
      <c r="K7" s="53"/>
      <c r="L7" s="54" t="s">
        <v>246</v>
      </c>
      <c r="M7" s="54"/>
      <c r="N7" s="54"/>
      <c r="O7" s="54" t="s">
        <v>348</v>
      </c>
      <c r="P7" s="54"/>
    </row>
    <row r="8" spans="1:26" ht="15" customHeight="1" x14ac:dyDescent="0.35">
      <c r="A8" s="127" t="s">
        <v>5</v>
      </c>
      <c r="B8" s="127"/>
      <c r="C8" s="127"/>
      <c r="D8" s="127"/>
      <c r="E8" s="127" t="str">
        <f>E7</f>
        <v xml:space="preserve">Dhanlaxmi Developers
</v>
      </c>
      <c r="F8" s="127"/>
      <c r="G8" s="127"/>
      <c r="H8" s="127"/>
      <c r="K8" s="53"/>
      <c r="L8" s="54"/>
      <c r="M8" s="54"/>
      <c r="N8" s="54"/>
      <c r="O8" s="54" t="s">
        <v>349</v>
      </c>
      <c r="P8" s="54"/>
    </row>
    <row r="9" spans="1:26" x14ac:dyDescent="0.35">
      <c r="A9" s="127" t="s">
        <v>6</v>
      </c>
      <c r="B9" s="127"/>
      <c r="C9" s="127"/>
      <c r="D9" s="127"/>
      <c r="E9" s="160" t="s">
        <v>354</v>
      </c>
      <c r="F9" s="161"/>
      <c r="G9" s="161"/>
      <c r="H9" s="161"/>
      <c r="K9" s="53"/>
      <c r="L9" s="54"/>
      <c r="M9" s="54"/>
      <c r="N9" s="54"/>
      <c r="O9" s="54" t="s">
        <v>350</v>
      </c>
      <c r="P9" s="54"/>
    </row>
    <row r="10" spans="1:26" x14ac:dyDescent="0.35">
      <c r="A10" s="127" t="s">
        <v>169</v>
      </c>
      <c r="B10" s="127"/>
      <c r="C10" s="127"/>
      <c r="D10" s="127"/>
      <c r="E10" s="127">
        <v>9028375823</v>
      </c>
      <c r="F10" s="127"/>
      <c r="G10" s="127"/>
      <c r="H10" s="127"/>
      <c r="K10" s="53"/>
      <c r="L10" s="54"/>
      <c r="M10" s="54"/>
      <c r="N10" s="54"/>
      <c r="O10" s="54" t="s">
        <v>351</v>
      </c>
      <c r="P10" s="54"/>
    </row>
    <row r="11" spans="1:26" x14ac:dyDescent="0.35">
      <c r="A11" s="127" t="s">
        <v>170</v>
      </c>
      <c r="B11" s="127"/>
      <c r="C11" s="127"/>
      <c r="D11" s="127"/>
      <c r="E11" s="127" t="s">
        <v>409</v>
      </c>
      <c r="F11" s="127"/>
      <c r="G11" s="127"/>
      <c r="H11" s="127"/>
      <c r="O11" s="54" t="s">
        <v>352</v>
      </c>
    </row>
    <row r="12" spans="1:26" x14ac:dyDescent="0.35">
      <c r="A12" s="127" t="s">
        <v>7</v>
      </c>
      <c r="B12" s="127"/>
      <c r="C12" s="127"/>
      <c r="D12" s="127"/>
      <c r="E12" s="127" t="s">
        <v>355</v>
      </c>
      <c r="F12" s="127"/>
      <c r="G12" s="127"/>
      <c r="H12" s="127"/>
    </row>
    <row r="13" spans="1:26" x14ac:dyDescent="0.35">
      <c r="A13" s="127" t="s">
        <v>173</v>
      </c>
      <c r="B13" s="127"/>
      <c r="C13" s="127"/>
      <c r="D13" s="127"/>
      <c r="E13" s="127" t="s">
        <v>392</v>
      </c>
      <c r="F13" s="127"/>
      <c r="G13" s="127"/>
      <c r="H13" s="127"/>
      <c r="S13" s="54" t="s">
        <v>182</v>
      </c>
      <c r="T13" s="54" t="s">
        <v>191</v>
      </c>
      <c r="U13" s="54" t="s">
        <v>174</v>
      </c>
      <c r="V13" s="54" t="s">
        <v>196</v>
      </c>
      <c r="W13" s="54" t="s">
        <v>214</v>
      </c>
      <c r="X13"/>
      <c r="Y13" t="s">
        <v>196</v>
      </c>
      <c r="Z13" t="e">
        <f ca="1">OFFSET($S$13,1,MATCH($G20,$S$13:$W$13,0)-1,15,1)</f>
        <v>#VALUE!</v>
      </c>
    </row>
    <row r="14" spans="1:26" x14ac:dyDescent="0.35">
      <c r="A14" s="105" t="s">
        <v>282</v>
      </c>
      <c r="B14" s="105"/>
      <c r="C14" s="105"/>
      <c r="D14" s="105"/>
      <c r="E14" s="163" t="s">
        <v>229</v>
      </c>
      <c r="F14" s="163"/>
      <c r="G14" s="163"/>
      <c r="H14" s="163"/>
      <c r="S14" s="54" t="s">
        <v>182</v>
      </c>
      <c r="T14" s="54" t="s">
        <v>189</v>
      </c>
      <c r="U14" s="54" t="s">
        <v>211</v>
      </c>
      <c r="V14" s="54" t="s">
        <v>197</v>
      </c>
      <c r="W14" s="54" t="s">
        <v>215</v>
      </c>
      <c r="X14"/>
      <c r="Y14"/>
      <c r="Z14"/>
    </row>
    <row r="15" spans="1:26" x14ac:dyDescent="0.35">
      <c r="A15" s="105" t="s">
        <v>8</v>
      </c>
      <c r="B15" s="105"/>
      <c r="C15" s="105"/>
      <c r="D15" s="105"/>
      <c r="E15" s="163" t="s">
        <v>356</v>
      </c>
      <c r="F15" s="127"/>
      <c r="G15" s="127"/>
      <c r="H15" s="127"/>
      <c r="I15" s="117" t="e">
        <f ca="1">OFFSET($D$5,1,MATCH($J13,$D$5:$H$5,0)-1,15,1)</f>
        <v>#N/A</v>
      </c>
      <c r="J15" s="118"/>
      <c r="K15" s="118"/>
      <c r="L15" s="118"/>
      <c r="M15" s="118"/>
      <c r="N15" s="118"/>
      <c r="O15" s="118"/>
      <c r="P15" s="118"/>
      <c r="S15" s="54" t="s">
        <v>183</v>
      </c>
      <c r="T15" s="54" t="s">
        <v>190</v>
      </c>
      <c r="U15" s="54" t="s">
        <v>212</v>
      </c>
      <c r="V15" s="54" t="s">
        <v>198</v>
      </c>
      <c r="W15" s="54" t="s">
        <v>228</v>
      </c>
      <c r="X15"/>
      <c r="Y15"/>
      <c r="Z15"/>
    </row>
    <row r="16" spans="1:26" ht="48.75" customHeight="1" x14ac:dyDescent="0.35">
      <c r="A16" s="112" t="s">
        <v>9</v>
      </c>
      <c r="B16" s="112"/>
      <c r="C16" s="112" t="str">
        <f>CONCATENATE((IF(OR(E9="",E9="NA"),"",E9)),", ",(IF(OR(A17="",A17="NA"),"",A17)),".",(IF(OR(C17="",C17="NA"),"",C17)),", near ",(IF(OR(C22="",C22="NA"),"",C22)),", ",(IF(OR(C19="",C19="NA"),"",C19)),", ",(IF(OR(C18="",C18="NA"),"",C18)),", ",(IF(OR(G19="",G19="NA"),"",G19)),", ",(IF(OR(C20="",C20="NA"),"",C20)),", ",(IF(OR(C21="",C21="NA"),"",C21)),", ",(IF(OR(G20="",G20="NA"),"",G20))," - ",(IF(OR(G21="",G21="NA"),"",G21)),".")</f>
        <v>Dhananjay Hill View, Survey No.273/1, Redevelopement of "Anand Park CHSL ", near Trinity Heights Building, Nilemore Road, Aakash Nagar, Nilemore, Nallasopara West, Vasai, Palghar - 401203.</v>
      </c>
      <c r="D16" s="112"/>
      <c r="E16" s="112"/>
      <c r="F16" s="112"/>
      <c r="G16" s="112"/>
      <c r="H16" s="112"/>
      <c r="S16" s="54" t="s">
        <v>184</v>
      </c>
      <c r="T16" s="54" t="s">
        <v>192</v>
      </c>
      <c r="U16" s="54" t="s">
        <v>213</v>
      </c>
      <c r="V16" s="54" t="s">
        <v>199</v>
      </c>
      <c r="W16" s="54" t="s">
        <v>216</v>
      </c>
      <c r="X16"/>
      <c r="Y16"/>
      <c r="Z16"/>
    </row>
    <row r="17" spans="1:26" x14ac:dyDescent="0.35">
      <c r="A17" s="163" t="s">
        <v>357</v>
      </c>
      <c r="B17" s="163"/>
      <c r="C17" s="163" t="s">
        <v>393</v>
      </c>
      <c r="D17" s="163"/>
      <c r="E17" s="163"/>
      <c r="F17" s="163"/>
      <c r="G17" s="163"/>
      <c r="H17" s="163"/>
      <c r="S17" s="54" t="s">
        <v>185</v>
      </c>
      <c r="T17" s="54" t="s">
        <v>193</v>
      </c>
      <c r="U17" s="54" t="s">
        <v>174</v>
      </c>
      <c r="V17" s="54" t="s">
        <v>200</v>
      </c>
      <c r="W17" s="54" t="s">
        <v>217</v>
      </c>
      <c r="X17"/>
      <c r="Y17"/>
      <c r="Z17"/>
    </row>
    <row r="18" spans="1:26" ht="15.75" customHeight="1" x14ac:dyDescent="0.35">
      <c r="A18" s="163" t="s">
        <v>164</v>
      </c>
      <c r="B18" s="163"/>
      <c r="C18" s="163" t="s">
        <v>402</v>
      </c>
      <c r="D18" s="163"/>
      <c r="E18" s="163"/>
      <c r="F18" s="163"/>
      <c r="G18" s="163"/>
      <c r="H18" s="163"/>
      <c r="S18" s="54" t="s">
        <v>186</v>
      </c>
      <c r="T18" s="54" t="s">
        <v>191</v>
      </c>
      <c r="U18" s="54"/>
      <c r="V18" s="54" t="s">
        <v>201</v>
      </c>
      <c r="W18" s="54" t="s">
        <v>218</v>
      </c>
      <c r="X18"/>
      <c r="Y18"/>
      <c r="Z18"/>
    </row>
    <row r="19" spans="1:26" ht="15.75" customHeight="1" x14ac:dyDescent="0.35">
      <c r="A19" s="112" t="s">
        <v>10</v>
      </c>
      <c r="B19" s="112"/>
      <c r="C19" s="127" t="s">
        <v>396</v>
      </c>
      <c r="D19" s="127"/>
      <c r="E19" s="112" t="s">
        <v>69</v>
      </c>
      <c r="F19" s="112"/>
      <c r="G19" s="163" t="s">
        <v>397</v>
      </c>
      <c r="H19" s="163"/>
      <c r="S19" s="54" t="s">
        <v>187</v>
      </c>
      <c r="T19" s="54" t="s">
        <v>194</v>
      </c>
      <c r="U19" s="54"/>
      <c r="V19" s="54" t="s">
        <v>202</v>
      </c>
      <c r="W19" s="54" t="s">
        <v>219</v>
      </c>
      <c r="X19"/>
      <c r="Y19"/>
      <c r="Z19"/>
    </row>
    <row r="20" spans="1:26" x14ac:dyDescent="0.35">
      <c r="A20" s="105" t="s">
        <v>12</v>
      </c>
      <c r="B20" s="105"/>
      <c r="C20" s="163" t="s">
        <v>358</v>
      </c>
      <c r="D20" s="163"/>
      <c r="E20" s="112" t="s">
        <v>11</v>
      </c>
      <c r="F20" s="112"/>
      <c r="G20" s="166" t="s">
        <v>191</v>
      </c>
      <c r="H20" s="166"/>
      <c r="S20" s="54" t="s">
        <v>188</v>
      </c>
      <c r="T20" s="54" t="s">
        <v>195</v>
      </c>
      <c r="U20" s="54"/>
      <c r="V20" s="54" t="s">
        <v>203</v>
      </c>
      <c r="W20" s="54" t="s">
        <v>220</v>
      </c>
      <c r="X20"/>
      <c r="Y20"/>
      <c r="Z20"/>
    </row>
    <row r="21" spans="1:26" x14ac:dyDescent="0.35">
      <c r="A21" s="105" t="s">
        <v>70</v>
      </c>
      <c r="B21" s="105"/>
      <c r="C21" s="163" t="s">
        <v>192</v>
      </c>
      <c r="D21" s="163"/>
      <c r="E21" s="163" t="s">
        <v>13</v>
      </c>
      <c r="F21" s="163"/>
      <c r="G21" s="163">
        <v>401203</v>
      </c>
      <c r="H21" s="163"/>
      <c r="S21" s="54"/>
      <c r="T21" s="54"/>
      <c r="U21" s="54"/>
      <c r="V21" s="54" t="s">
        <v>204</v>
      </c>
      <c r="W21" s="54" t="s">
        <v>221</v>
      </c>
      <c r="X21"/>
      <c r="Y21"/>
      <c r="Z21"/>
    </row>
    <row r="22" spans="1:26" ht="33" customHeight="1" x14ac:dyDescent="0.35">
      <c r="A22" s="105" t="s">
        <v>120</v>
      </c>
      <c r="B22" s="105"/>
      <c r="C22" s="163" t="s">
        <v>401</v>
      </c>
      <c r="D22" s="163"/>
      <c r="E22" s="163" t="s">
        <v>14</v>
      </c>
      <c r="F22" s="163"/>
      <c r="G22" s="163" t="s">
        <v>403</v>
      </c>
      <c r="H22" s="163"/>
      <c r="S22" s="54"/>
      <c r="T22" s="54"/>
      <c r="U22" s="54"/>
      <c r="V22" s="54" t="s">
        <v>205</v>
      </c>
      <c r="W22" s="54" t="s">
        <v>222</v>
      </c>
      <c r="X22"/>
      <c r="Y22"/>
      <c r="Z22"/>
    </row>
    <row r="23" spans="1:26" ht="15" customHeight="1" x14ac:dyDescent="0.35">
      <c r="A23" s="112" t="s">
        <v>72</v>
      </c>
      <c r="B23" s="112"/>
      <c r="C23" s="112"/>
      <c r="D23" s="112"/>
      <c r="E23" s="127" t="s">
        <v>15</v>
      </c>
      <c r="F23" s="127"/>
      <c r="G23" s="127"/>
      <c r="H23" s="127"/>
      <c r="S23" s="54"/>
      <c r="T23" s="54"/>
      <c r="U23" s="54"/>
      <c r="V23" s="54" t="s">
        <v>206</v>
      </c>
      <c r="W23" s="54" t="s">
        <v>223</v>
      </c>
      <c r="X23"/>
      <c r="Y23"/>
      <c r="Z23"/>
    </row>
    <row r="24" spans="1:26" ht="18.75" customHeight="1" x14ac:dyDescent="0.35">
      <c r="A24" s="112"/>
      <c r="B24" s="112"/>
      <c r="C24" s="112"/>
      <c r="D24" s="112"/>
      <c r="E24" s="127"/>
      <c r="F24" s="127"/>
      <c r="G24" s="127"/>
      <c r="H24" s="127"/>
      <c r="S24" s="54"/>
      <c r="T24" s="54"/>
      <c r="U24" s="54"/>
      <c r="V24" s="54" t="s">
        <v>207</v>
      </c>
      <c r="W24" s="54" t="s">
        <v>224</v>
      </c>
      <c r="X24"/>
      <c r="Y24"/>
      <c r="Z24"/>
    </row>
    <row r="25" spans="1:26" ht="15" customHeight="1" x14ac:dyDescent="0.35">
      <c r="A25" s="112" t="s">
        <v>16</v>
      </c>
      <c r="B25" s="112"/>
      <c r="C25" s="112"/>
      <c r="D25" s="112"/>
      <c r="E25" s="163" t="s">
        <v>17</v>
      </c>
      <c r="F25" s="163"/>
      <c r="G25" s="163"/>
      <c r="H25" s="163"/>
      <c r="S25" s="54"/>
      <c r="T25" s="54"/>
      <c r="U25" s="54"/>
      <c r="V25" s="54" t="s">
        <v>208</v>
      </c>
      <c r="W25" s="54" t="s">
        <v>225</v>
      </c>
      <c r="X25"/>
      <c r="Y25"/>
      <c r="Z25"/>
    </row>
    <row r="26" spans="1:26" ht="15" customHeight="1" x14ac:dyDescent="0.35">
      <c r="A26" s="105" t="s">
        <v>18</v>
      </c>
      <c r="B26" s="105"/>
      <c r="C26" s="105"/>
      <c r="D26" s="105"/>
      <c r="E26" s="163" t="str">
        <f>IF(AND(G20="Mumbai"),"Upper Class","Middle Class")</f>
        <v>Middle Class</v>
      </c>
      <c r="F26" s="163"/>
      <c r="G26" s="163"/>
      <c r="H26" s="163"/>
      <c r="S26" s="54"/>
      <c r="T26" s="54"/>
      <c r="U26" s="54"/>
      <c r="V26" s="54" t="s">
        <v>209</v>
      </c>
      <c r="W26" s="54" t="s">
        <v>226</v>
      </c>
      <c r="X26"/>
      <c r="Y26"/>
      <c r="Z26"/>
    </row>
    <row r="27" spans="1:26" x14ac:dyDescent="0.35">
      <c r="A27" s="105" t="s">
        <v>19</v>
      </c>
      <c r="B27" s="105"/>
      <c r="C27" s="105"/>
      <c r="D27" s="105"/>
      <c r="E27" s="163" t="s">
        <v>20</v>
      </c>
      <c r="F27" s="163"/>
      <c r="G27" s="163"/>
      <c r="H27" s="163"/>
      <c r="S27" s="54"/>
      <c r="T27" s="54"/>
      <c r="U27" s="54"/>
      <c r="V27" s="54" t="s">
        <v>210</v>
      </c>
      <c r="W27" s="54" t="s">
        <v>227</v>
      </c>
      <c r="X27"/>
      <c r="Y27"/>
      <c r="Z27"/>
    </row>
    <row r="28" spans="1:26" ht="15.75" customHeight="1" x14ac:dyDescent="0.35">
      <c r="A28" s="105" t="s">
        <v>21</v>
      </c>
      <c r="B28" s="105"/>
      <c r="C28" s="105"/>
      <c r="D28" s="105"/>
      <c r="E28" s="163" t="str">
        <f>IF(AND(G20="Mumbai"),"Developed","Developing")</f>
        <v>Developing</v>
      </c>
      <c r="F28" s="163"/>
      <c r="G28" s="163"/>
      <c r="H28" s="163"/>
    </row>
    <row r="29" spans="1:26" x14ac:dyDescent="0.35">
      <c r="A29" s="105" t="s">
        <v>22</v>
      </c>
      <c r="B29" s="105"/>
      <c r="C29" s="105"/>
      <c r="D29" s="105"/>
      <c r="E29" s="163" t="s">
        <v>23</v>
      </c>
      <c r="F29" s="163"/>
      <c r="G29" s="163"/>
      <c r="H29" s="163"/>
    </row>
    <row r="30" spans="1:26" ht="15.75" customHeight="1" x14ac:dyDescent="0.35">
      <c r="A30" s="105" t="s">
        <v>77</v>
      </c>
      <c r="B30" s="105"/>
      <c r="C30" s="105"/>
      <c r="D30" s="105"/>
      <c r="E30" s="163" t="s">
        <v>78</v>
      </c>
      <c r="F30" s="163"/>
      <c r="G30" s="163"/>
      <c r="H30" s="163"/>
    </row>
    <row r="31" spans="1:26" ht="15" customHeight="1" x14ac:dyDescent="0.35">
      <c r="A31" s="105" t="s">
        <v>30</v>
      </c>
      <c r="B31" s="105"/>
      <c r="C31" s="105"/>
      <c r="D31" s="105"/>
      <c r="E31" s="16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3"/>
      <c r="G31" s="163"/>
      <c r="H31" s="163"/>
    </row>
    <row r="32" spans="1:26" ht="15.75" customHeight="1" x14ac:dyDescent="0.35">
      <c r="A32" s="105" t="s">
        <v>89</v>
      </c>
      <c r="B32" s="105"/>
      <c r="C32" s="105"/>
      <c r="D32" s="105"/>
      <c r="E32" s="163" t="s">
        <v>31</v>
      </c>
      <c r="F32" s="163"/>
      <c r="G32" s="163"/>
      <c r="H32" s="163"/>
    </row>
    <row r="33" spans="1:19" s="22" customFormat="1" x14ac:dyDescent="0.35">
      <c r="A33" s="168" t="s">
        <v>90</v>
      </c>
      <c r="B33" s="168"/>
      <c r="C33" s="120" t="s">
        <v>175</v>
      </c>
      <c r="D33" s="120"/>
      <c r="E33" s="120"/>
      <c r="F33" s="120" t="s">
        <v>29</v>
      </c>
      <c r="G33" s="120"/>
      <c r="H33" s="120"/>
      <c r="S33" s="22" t="e">
        <f ca="1">OFFSET($S$13,1,MATCH($G20,$S$13:$W$13,0)-1,15,1)</f>
        <v>#VALUE!</v>
      </c>
    </row>
    <row r="34" spans="1:19" s="22" customFormat="1" x14ac:dyDescent="0.35">
      <c r="A34" s="167" t="s">
        <v>24</v>
      </c>
      <c r="B34" s="167" t="s">
        <v>28</v>
      </c>
      <c r="C34" s="228" t="s">
        <v>361</v>
      </c>
      <c r="D34" s="228"/>
      <c r="E34" s="228"/>
      <c r="F34" s="228" t="s">
        <v>398</v>
      </c>
      <c r="G34" s="228"/>
      <c r="H34" s="228"/>
    </row>
    <row r="35" spans="1:19" x14ac:dyDescent="0.35">
      <c r="A35" s="167" t="s">
        <v>25</v>
      </c>
      <c r="B35" s="167" t="s">
        <v>28</v>
      </c>
      <c r="C35" s="228" t="s">
        <v>361</v>
      </c>
      <c r="D35" s="228"/>
      <c r="E35" s="228"/>
      <c r="F35" s="228" t="s">
        <v>400</v>
      </c>
      <c r="G35" s="228"/>
      <c r="H35" s="228"/>
    </row>
    <row r="36" spans="1:19" s="22" customFormat="1" x14ac:dyDescent="0.35">
      <c r="A36" s="167" t="s">
        <v>27</v>
      </c>
      <c r="B36" s="167" t="s">
        <v>28</v>
      </c>
      <c r="C36" s="228" t="s">
        <v>360</v>
      </c>
      <c r="D36" s="228"/>
      <c r="E36" s="228"/>
      <c r="F36" s="228" t="s">
        <v>396</v>
      </c>
      <c r="G36" s="228"/>
      <c r="H36" s="228"/>
    </row>
    <row r="37" spans="1:19" x14ac:dyDescent="0.35">
      <c r="A37" s="167" t="s">
        <v>26</v>
      </c>
      <c r="B37" s="167" t="s">
        <v>28</v>
      </c>
      <c r="C37" s="228" t="s">
        <v>361</v>
      </c>
      <c r="D37" s="228"/>
      <c r="E37" s="228"/>
      <c r="F37" s="228" t="s">
        <v>399</v>
      </c>
      <c r="G37" s="228"/>
      <c r="H37" s="228"/>
    </row>
    <row r="38" spans="1:19" x14ac:dyDescent="0.35">
      <c r="A38" s="105" t="s">
        <v>283</v>
      </c>
      <c r="B38" s="105"/>
      <c r="C38" s="105"/>
      <c r="D38" s="105"/>
      <c r="E38" s="105"/>
      <c r="F38" s="105"/>
      <c r="G38" s="105"/>
      <c r="H38" s="105"/>
    </row>
    <row r="39" spans="1:19" ht="15.75" customHeight="1" x14ac:dyDescent="0.35">
      <c r="A39" s="105" t="s">
        <v>167</v>
      </c>
      <c r="B39" s="105"/>
      <c r="C39" s="155" t="s">
        <v>394</v>
      </c>
      <c r="D39" s="155"/>
      <c r="E39" s="155"/>
      <c r="F39" s="155"/>
      <c r="G39" s="155"/>
      <c r="H39" s="155"/>
    </row>
    <row r="40" spans="1:19" x14ac:dyDescent="0.35">
      <c r="A40" s="105" t="s">
        <v>163</v>
      </c>
      <c r="B40" s="105"/>
      <c r="C40" s="201" t="s">
        <v>395</v>
      </c>
      <c r="D40" s="163"/>
      <c r="E40" s="163"/>
      <c r="F40" s="163"/>
      <c r="G40" s="163"/>
      <c r="H40" s="163"/>
    </row>
    <row r="41" spans="1:19" x14ac:dyDescent="0.35">
      <c r="A41" s="155" t="s">
        <v>32</v>
      </c>
      <c r="B41" s="155"/>
      <c r="C41" s="155"/>
      <c r="D41" s="155"/>
      <c r="E41" s="155"/>
      <c r="F41" s="155"/>
      <c r="G41" s="155"/>
      <c r="H41" s="155"/>
    </row>
    <row r="42" spans="1:19" x14ac:dyDescent="0.35">
      <c r="A42" s="105" t="s">
        <v>33</v>
      </c>
      <c r="B42" s="105"/>
      <c r="C42" s="105"/>
      <c r="D42" s="105"/>
      <c r="E42" s="195">
        <v>2493.08</v>
      </c>
      <c r="F42" s="195"/>
      <c r="G42" s="195"/>
      <c r="H42" s="195"/>
    </row>
    <row r="43" spans="1:19" x14ac:dyDescent="0.35">
      <c r="A43" s="105" t="s">
        <v>34</v>
      </c>
      <c r="B43" s="105"/>
      <c r="C43" s="105"/>
      <c r="D43" s="105"/>
      <c r="E43" s="104">
        <f>2742.39/E42</f>
        <v>1.1000008022205465</v>
      </c>
      <c r="F43" s="104"/>
      <c r="G43" s="104"/>
      <c r="H43" s="104"/>
    </row>
    <row r="44" spans="1:19" x14ac:dyDescent="0.35">
      <c r="A44" s="105" t="s">
        <v>35</v>
      </c>
      <c r="B44" s="105"/>
      <c r="C44" s="105"/>
      <c r="D44" s="105"/>
      <c r="E44" s="104">
        <f>E46/E42-E43</f>
        <v>5.2234264443980942</v>
      </c>
      <c r="F44" s="104"/>
      <c r="G44" s="104"/>
      <c r="H44" s="104"/>
    </row>
    <row r="45" spans="1:19" x14ac:dyDescent="0.35">
      <c r="A45" s="105" t="s">
        <v>36</v>
      </c>
      <c r="B45" s="105"/>
      <c r="C45" s="105"/>
      <c r="D45" s="105"/>
      <c r="E45" s="104">
        <f>E43+E44</f>
        <v>6.3234272466186408</v>
      </c>
      <c r="F45" s="104"/>
      <c r="G45" s="104"/>
      <c r="H45" s="104"/>
    </row>
    <row r="46" spans="1:19" x14ac:dyDescent="0.35">
      <c r="A46" s="105" t="s">
        <v>88</v>
      </c>
      <c r="B46" s="105"/>
      <c r="C46" s="105"/>
      <c r="D46" s="105"/>
      <c r="E46" s="177">
        <v>15764.81</v>
      </c>
      <c r="F46" s="177"/>
      <c r="G46" s="177"/>
      <c r="H46" s="177"/>
    </row>
    <row r="47" spans="1:19" x14ac:dyDescent="0.35">
      <c r="A47" s="127" t="s">
        <v>37</v>
      </c>
      <c r="B47" s="127"/>
      <c r="C47" s="127"/>
      <c r="D47" s="127"/>
      <c r="E47" s="127" t="s">
        <v>359</v>
      </c>
      <c r="F47" s="127"/>
      <c r="G47" s="127"/>
      <c r="H47" s="127"/>
    </row>
    <row r="48" spans="1:19" x14ac:dyDescent="0.35">
      <c r="A48" s="155" t="s">
        <v>38</v>
      </c>
      <c r="B48" s="155"/>
      <c r="C48" s="155"/>
      <c r="D48" s="155"/>
      <c r="E48" s="155"/>
      <c r="F48" s="155"/>
      <c r="G48" s="155"/>
      <c r="H48" s="155"/>
    </row>
    <row r="49" spans="1:24" ht="33.75" customHeight="1" x14ac:dyDescent="0.35">
      <c r="A49" s="108" t="s">
        <v>152</v>
      </c>
      <c r="B49" s="109"/>
      <c r="C49" s="182" t="s">
        <v>278</v>
      </c>
      <c r="D49" s="183"/>
      <c r="E49" s="183"/>
      <c r="F49" s="183"/>
      <c r="G49" s="183"/>
      <c r="H49" s="184"/>
      <c r="R49" t="s">
        <v>256</v>
      </c>
      <c r="S49" s="56" t="s">
        <v>174</v>
      </c>
      <c r="T49" s="56" t="s">
        <v>182</v>
      </c>
      <c r="U49" s="56" t="s">
        <v>196</v>
      </c>
      <c r="V49" s="56" t="s">
        <v>191</v>
      </c>
    </row>
    <row r="50" spans="1:24" ht="15.75" customHeight="1" x14ac:dyDescent="0.35">
      <c r="A50" s="108" t="s">
        <v>39</v>
      </c>
      <c r="B50" s="109"/>
      <c r="C50" s="108" t="s">
        <v>362</v>
      </c>
      <c r="D50" s="110"/>
      <c r="E50" s="109"/>
      <c r="F50" s="18" t="s">
        <v>40</v>
      </c>
      <c r="G50" s="193">
        <v>45169</v>
      </c>
      <c r="H50" s="109"/>
      <c r="R50"/>
      <c r="S50" s="56" t="s">
        <v>257</v>
      </c>
      <c r="T50" s="56" t="s">
        <v>262</v>
      </c>
      <c r="U50" s="56" t="s">
        <v>273</v>
      </c>
      <c r="V50" s="56" t="s">
        <v>278</v>
      </c>
    </row>
    <row r="51" spans="1:24" x14ac:dyDescent="0.35">
      <c r="A51" s="108" t="s">
        <v>41</v>
      </c>
      <c r="B51" s="109"/>
      <c r="C51" s="108" t="str">
        <f>C50</f>
        <v>VVCMC/TP/CC/VP/0957/149/2023-24</v>
      </c>
      <c r="D51" s="110"/>
      <c r="E51" s="109"/>
      <c r="F51" s="18" t="s">
        <v>40</v>
      </c>
      <c r="G51" s="193">
        <f>G50</f>
        <v>45169</v>
      </c>
      <c r="H51" s="194"/>
      <c r="R51"/>
      <c r="S51" s="56" t="s">
        <v>258</v>
      </c>
      <c r="T51" s="56" t="s">
        <v>263</v>
      </c>
      <c r="U51" s="56" t="s">
        <v>271</v>
      </c>
      <c r="V51" s="56" t="s">
        <v>279</v>
      </c>
    </row>
    <row r="52" spans="1:24" s="23" customFormat="1" ht="15.75" customHeight="1" x14ac:dyDescent="0.35">
      <c r="A52" s="197" t="s">
        <v>156</v>
      </c>
      <c r="B52" s="198"/>
      <c r="C52" s="108" t="s">
        <v>363</v>
      </c>
      <c r="D52" s="110"/>
      <c r="E52" s="109"/>
      <c r="F52" s="18" t="s">
        <v>40</v>
      </c>
      <c r="G52" s="193">
        <f>G51</f>
        <v>45169</v>
      </c>
      <c r="H52" s="194"/>
      <c r="R52"/>
      <c r="S52" s="56" t="s">
        <v>259</v>
      </c>
      <c r="T52" s="56" t="s">
        <v>264</v>
      </c>
      <c r="U52" s="56" t="s">
        <v>261</v>
      </c>
      <c r="V52" s="56" t="s">
        <v>280</v>
      </c>
    </row>
    <row r="53" spans="1:24" s="23" customFormat="1" ht="31.5" customHeight="1" x14ac:dyDescent="0.35">
      <c r="A53" s="199"/>
      <c r="B53" s="200"/>
      <c r="C53" s="108" t="s">
        <v>364</v>
      </c>
      <c r="D53" s="110"/>
      <c r="E53" s="110"/>
      <c r="F53" s="110"/>
      <c r="G53" s="110"/>
      <c r="H53" s="109"/>
      <c r="R53"/>
      <c r="S53" s="56" t="s">
        <v>260</v>
      </c>
      <c r="T53" s="56" t="s">
        <v>267</v>
      </c>
      <c r="U53" s="56" t="s">
        <v>274</v>
      </c>
      <c r="V53" s="72"/>
    </row>
    <row r="54" spans="1:24" s="23" customFormat="1" hidden="1" x14ac:dyDescent="0.35">
      <c r="A54" s="130" t="s">
        <v>284</v>
      </c>
      <c r="B54" s="131"/>
      <c r="C54" s="108" t="str">
        <f>C53</f>
        <v>Wing A = St/G + 1st to 20th Floor
Wing B = St + 1st to 19th Floor</v>
      </c>
      <c r="D54" s="110"/>
      <c r="E54" s="109"/>
      <c r="F54" s="18" t="s">
        <v>40</v>
      </c>
      <c r="G54" s="108"/>
      <c r="H54" s="109"/>
      <c r="R54"/>
      <c r="S54" s="56" t="s">
        <v>259</v>
      </c>
      <c r="T54" s="56" t="s">
        <v>264</v>
      </c>
      <c r="U54" s="56" t="s">
        <v>261</v>
      </c>
      <c r="V54" s="56" t="s">
        <v>280</v>
      </c>
    </row>
    <row r="55" spans="1:24" s="23" customFormat="1" ht="32.25" hidden="1" customHeight="1" x14ac:dyDescent="0.35">
      <c r="A55" s="132"/>
      <c r="B55" s="133"/>
      <c r="C55" s="208"/>
      <c r="D55" s="209"/>
      <c r="E55" s="209"/>
      <c r="F55" s="209"/>
      <c r="G55" s="209"/>
      <c r="H55" s="210"/>
      <c r="R55"/>
      <c r="S55" s="56" t="s">
        <v>261</v>
      </c>
      <c r="T55" s="56" t="s">
        <v>265</v>
      </c>
      <c r="U55" s="56" t="s">
        <v>275</v>
      </c>
      <c r="V55" s="73"/>
      <c r="W55" s="21"/>
      <c r="X55" s="21"/>
    </row>
    <row r="56" spans="1:24" s="23" customFormat="1" ht="34.5" hidden="1" customHeight="1" x14ac:dyDescent="0.35">
      <c r="A56" s="130" t="s">
        <v>285</v>
      </c>
      <c r="B56" s="131"/>
      <c r="C56" s="108">
        <f>C55</f>
        <v>0</v>
      </c>
      <c r="D56" s="110"/>
      <c r="E56" s="109"/>
      <c r="F56" s="18" t="s">
        <v>40</v>
      </c>
      <c r="G56" s="108">
        <f>G55</f>
        <v>0</v>
      </c>
      <c r="H56" s="109"/>
      <c r="R56"/>
      <c r="S56" s="73"/>
      <c r="T56" s="56" t="s">
        <v>266</v>
      </c>
      <c r="U56" s="56" t="s">
        <v>276</v>
      </c>
      <c r="V56" s="73"/>
      <c r="W56" s="21"/>
      <c r="X56" s="21"/>
    </row>
    <row r="57" spans="1:24" s="23" customFormat="1" ht="41.25" hidden="1" customHeight="1" x14ac:dyDescent="0.35">
      <c r="A57" s="132"/>
      <c r="B57" s="133"/>
      <c r="C57" s="108"/>
      <c r="D57" s="110"/>
      <c r="E57" s="110"/>
      <c r="F57" s="110"/>
      <c r="G57" s="110"/>
      <c r="H57" s="109"/>
      <c r="R57"/>
      <c r="S57" s="73"/>
      <c r="T57" s="56" t="s">
        <v>268</v>
      </c>
      <c r="U57" s="56" t="s">
        <v>277</v>
      </c>
      <c r="V57" s="73"/>
      <c r="W57" s="21"/>
      <c r="X57" s="21"/>
    </row>
    <row r="58" spans="1:24" s="23" customFormat="1" ht="15.75" hidden="1" customHeight="1" x14ac:dyDescent="0.35">
      <c r="A58" s="130" t="s">
        <v>286</v>
      </c>
      <c r="B58" s="131"/>
      <c r="C58" s="108">
        <f>C57</f>
        <v>0</v>
      </c>
      <c r="D58" s="110"/>
      <c r="E58" s="109"/>
      <c r="F58" s="18" t="s">
        <v>40</v>
      </c>
      <c r="G58" s="108">
        <f>G57</f>
        <v>0</v>
      </c>
      <c r="H58" s="109"/>
      <c r="R58"/>
      <c r="S58" s="73"/>
      <c r="T58" s="56" t="s">
        <v>269</v>
      </c>
      <c r="U58" s="73" t="s">
        <v>300</v>
      </c>
      <c r="V58" s="73"/>
      <c r="W58" s="21"/>
      <c r="X58" s="21"/>
    </row>
    <row r="59" spans="1:24" s="23" customFormat="1" ht="33.75" hidden="1" customHeight="1" x14ac:dyDescent="0.35">
      <c r="A59" s="132"/>
      <c r="B59" s="133"/>
      <c r="C59" s="108"/>
      <c r="D59" s="110"/>
      <c r="E59" s="110"/>
      <c r="F59" s="110"/>
      <c r="G59" s="110"/>
      <c r="H59" s="109"/>
      <c r="R59"/>
      <c r="S59" s="73"/>
      <c r="T59" s="56" t="s">
        <v>270</v>
      </c>
      <c r="U59" s="73"/>
      <c r="V59" s="73"/>
      <c r="W59" s="21"/>
      <c r="X59" s="21"/>
    </row>
    <row r="60" spans="1:24" x14ac:dyDescent="0.35">
      <c r="A60" s="122" t="s">
        <v>42</v>
      </c>
      <c r="B60" s="123"/>
      <c r="C60" s="122" t="s">
        <v>102</v>
      </c>
      <c r="D60" s="124"/>
      <c r="E60" s="123"/>
      <c r="F60" s="45" t="s">
        <v>40</v>
      </c>
      <c r="G60" s="128" t="s">
        <v>28</v>
      </c>
      <c r="H60" s="129"/>
      <c r="R60"/>
      <c r="S60" s="73"/>
      <c r="T60" s="56" t="s">
        <v>272</v>
      </c>
      <c r="U60" s="73"/>
      <c r="V60" s="73"/>
    </row>
    <row r="61" spans="1:24" x14ac:dyDescent="0.35">
      <c r="A61" s="157" t="s">
        <v>44</v>
      </c>
      <c r="B61" s="157"/>
      <c r="C61" s="157"/>
      <c r="D61" s="157"/>
      <c r="E61" s="157"/>
      <c r="F61" s="157"/>
      <c r="G61" s="157"/>
      <c r="H61" s="157"/>
      <c r="S61" s="73"/>
      <c r="T61" s="56" t="s">
        <v>281</v>
      </c>
      <c r="U61" s="73"/>
      <c r="V61" s="73"/>
    </row>
    <row r="62" spans="1:24" x14ac:dyDescent="0.35">
      <c r="A62" s="112" t="s">
        <v>87</v>
      </c>
      <c r="B62" s="112"/>
      <c r="C62" s="112"/>
      <c r="D62" s="105">
        <f>E46</f>
        <v>15764.81</v>
      </c>
      <c r="E62" s="105"/>
      <c r="F62" s="105"/>
      <c r="G62" s="105"/>
      <c r="H62" s="105"/>
      <c r="R62"/>
    </row>
    <row r="63" spans="1:24" x14ac:dyDescent="0.35">
      <c r="A63" s="163" t="s">
        <v>45</v>
      </c>
      <c r="B63" s="127"/>
      <c r="C63" s="127"/>
      <c r="D63" s="127" t="s">
        <v>391</v>
      </c>
      <c r="E63" s="127"/>
      <c r="F63" s="127"/>
      <c r="G63" s="127"/>
      <c r="H63" s="127"/>
      <c r="I63" s="24"/>
      <c r="R63"/>
    </row>
    <row r="64" spans="1:24" ht="35.25" customHeight="1" x14ac:dyDescent="0.35">
      <c r="A64" s="179" t="s">
        <v>46</v>
      </c>
      <c r="B64" s="180"/>
      <c r="C64" s="181"/>
      <c r="D64" s="113" t="s">
        <v>365</v>
      </c>
      <c r="E64" s="178"/>
      <c r="F64" s="178"/>
      <c r="G64" s="178"/>
      <c r="H64" s="178"/>
      <c r="R64"/>
    </row>
    <row r="65" spans="1:19" ht="15.75" customHeight="1" x14ac:dyDescent="0.35">
      <c r="A65" s="179" t="s">
        <v>85</v>
      </c>
      <c r="B65" s="180"/>
      <c r="C65" s="180"/>
      <c r="D65" s="187" t="s">
        <v>405</v>
      </c>
      <c r="E65" s="188"/>
      <c r="F65" s="188"/>
      <c r="G65" s="188"/>
      <c r="H65" s="189"/>
      <c r="R65"/>
    </row>
    <row r="66" spans="1:19" ht="15.75" customHeight="1" x14ac:dyDescent="0.35">
      <c r="A66" s="185"/>
      <c r="B66" s="186"/>
      <c r="C66" s="186"/>
      <c r="D66" s="190" t="s">
        <v>406</v>
      </c>
      <c r="E66" s="191"/>
      <c r="F66" s="191"/>
      <c r="G66" s="191"/>
      <c r="H66" s="192"/>
      <c r="R66"/>
    </row>
    <row r="67" spans="1:19" ht="15.75" customHeight="1" x14ac:dyDescent="0.35">
      <c r="A67" s="105" t="s">
        <v>43</v>
      </c>
      <c r="B67" s="105"/>
      <c r="C67" s="105"/>
      <c r="D67" s="196" t="s">
        <v>366</v>
      </c>
      <c r="E67" s="196"/>
      <c r="F67" s="196"/>
      <c r="G67" s="196"/>
      <c r="H67" s="196"/>
      <c r="J67" s="25"/>
      <c r="K67" s="24"/>
      <c r="N67" s="24"/>
      <c r="S67"/>
    </row>
    <row r="68" spans="1:19" ht="15.75" customHeight="1" x14ac:dyDescent="0.35">
      <c r="A68" s="105" t="s">
        <v>83</v>
      </c>
      <c r="B68" s="105"/>
      <c r="C68" s="105"/>
      <c r="D68" s="176" t="str">
        <f>(IF(G60="NA","60 Years After Completion",IF(G60&lt;&gt;"NA",""&amp;60-ROUNDDOWN((E3-G60)/360,0)&amp;" Years"," ")))</f>
        <v>60 Years After Completion</v>
      </c>
      <c r="E68" s="176"/>
      <c r="F68" s="176"/>
      <c r="G68" s="176"/>
      <c r="H68" s="176"/>
      <c r="N68" s="24"/>
      <c r="S68"/>
    </row>
    <row r="69" spans="1:19" ht="15.75" customHeight="1" x14ac:dyDescent="0.35">
      <c r="A69" s="105" t="s">
        <v>84</v>
      </c>
      <c r="B69" s="105"/>
      <c r="C69" s="105"/>
      <c r="D69" s="112" t="s">
        <v>23</v>
      </c>
      <c r="E69" s="112"/>
      <c r="F69" s="112"/>
      <c r="G69" s="112"/>
      <c r="H69" s="112"/>
      <c r="J69" s="26"/>
      <c r="K69" s="26"/>
      <c r="S69"/>
    </row>
    <row r="70" spans="1:19" ht="38.5" customHeight="1" x14ac:dyDescent="0.35">
      <c r="A70" s="127" t="s">
        <v>408</v>
      </c>
      <c r="B70" s="127"/>
      <c r="C70" s="127"/>
      <c r="D70" s="163" t="s">
        <v>404</v>
      </c>
      <c r="E70" s="112"/>
      <c r="F70" s="112"/>
      <c r="G70" s="112"/>
      <c r="H70" s="112"/>
      <c r="S70"/>
    </row>
    <row r="71" spans="1:19" x14ac:dyDescent="0.35">
      <c r="A71" s="112" t="s">
        <v>148</v>
      </c>
      <c r="B71" s="112"/>
      <c r="C71" s="112"/>
      <c r="D71" s="112" t="s">
        <v>28</v>
      </c>
      <c r="E71" s="112"/>
      <c r="F71" s="112"/>
      <c r="G71" s="112"/>
      <c r="H71" s="112"/>
      <c r="I71" s="27"/>
      <c r="J71" s="27"/>
      <c r="K71" s="27"/>
      <c r="L71" s="27"/>
      <c r="M71" s="27"/>
      <c r="N71" s="27"/>
    </row>
    <row r="72" spans="1:19" ht="15.75" customHeight="1" x14ac:dyDescent="0.35">
      <c r="A72" s="105" t="s">
        <v>82</v>
      </c>
      <c r="B72" s="105"/>
      <c r="C72" s="105"/>
      <c r="D72" s="163" t="str">
        <f ca="1">(IF(G78&gt;95%,"Nothing",IF(G78&gt;0%,"Cement, Aggregate, Steel, etc",IF(G78=0%,"Work not yet Started"))))</f>
        <v>Cement, Aggregate, Steel, etc</v>
      </c>
      <c r="E72" s="163"/>
      <c r="F72" s="163"/>
      <c r="G72" s="163"/>
      <c r="H72" s="163"/>
      <c r="J72" s="26"/>
      <c r="S72"/>
    </row>
    <row r="73" spans="1:19" ht="33.75" customHeight="1" thickBot="1" x14ac:dyDescent="0.4">
      <c r="A73" s="112" t="s">
        <v>115</v>
      </c>
      <c r="B73" s="112"/>
      <c r="C73" s="112"/>
      <c r="D73" s="163" t="str">
        <f ca="1">(IF(D72="Nothing","Yes",IF(D72="Cement, Aggregate, Steel, etc","Under Construction",IF(D72="Work not yet Started","Work not yet Started"))))</f>
        <v>Under Construction</v>
      </c>
      <c r="E73" s="163"/>
      <c r="F73" s="163" t="str">
        <f ca="1">(IF(D72="Nothing","Yes",IF(D72="Cement, Aggregate, Steel, etc","Under Construction",IF(D72="Work not yet Started","Work not yet Started"))))</f>
        <v>Under Construction</v>
      </c>
      <c r="G73" s="163"/>
      <c r="H73" s="163"/>
      <c r="S73"/>
    </row>
    <row r="74" spans="1:19" ht="15.75" customHeight="1" x14ac:dyDescent="0.35">
      <c r="A74" s="236" t="s">
        <v>138</v>
      </c>
      <c r="B74" s="236"/>
      <c r="C74" s="236" t="str">
        <f>D65</f>
        <v>A Wing = G + 1st to 23rd Floor</v>
      </c>
      <c r="D74" s="236"/>
      <c r="E74" s="236"/>
      <c r="F74" s="236"/>
      <c r="G74" s="236"/>
      <c r="H74" s="236"/>
      <c r="I74" s="229" t="str">
        <f ca="1">IF(D87=100%,"All work Completed. Possession granted to the Building.",IF(D86=100%,"All work Completed, Waiting for OC",I75&amp;""&amp;I76&amp;""&amp;J75&amp;""&amp;J74&amp;" "&amp;J76))</f>
        <v>Excavation, Plinth Completed, RCC upto 23 Slab, Brickwork upto 19 Floor, Internal Plaster upto 10 Floor, External Plaster upto 4 Floor Completed</v>
      </c>
      <c r="J74" s="50"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23 Slab, Brickwork upto 19 Floor, Internal Plaster upto 10 Floor, External Plaster upto 4 Floor</v>
      </c>
      <c r="S74"/>
    </row>
    <row r="75" spans="1:19" x14ac:dyDescent="0.35">
      <c r="A75" s="47" t="s">
        <v>140</v>
      </c>
      <c r="B75" s="47">
        <f>IF(AND(ISNUMBER(SEARCH("1B",C74))),1,IF(AND(ISNUMBER(SEARCH("2B",C74))),2,IF(AND(ISNUMBER(SEARCH("3B",C74))),3,IF(AND(ISNUMBER(SEARCH("4B",C74))),4,IF(ISNUMBER(SEARCH("5B",C74)),5,0)))))</f>
        <v>0</v>
      </c>
      <c r="C75" s="47" t="s">
        <v>68</v>
      </c>
      <c r="D75" s="47">
        <v>1</v>
      </c>
      <c r="E75" s="47" t="s">
        <v>67</v>
      </c>
      <c r="F75" s="47">
        <v>0</v>
      </c>
      <c r="G75" s="48" t="s">
        <v>76</v>
      </c>
      <c r="H75" s="47">
        <f ca="1">--TRIM(RIGHT(SUBSTITUTE(LEFT(C74,_xlfn.AGGREGATE(16,6,FIND({0,1,2,3,4,5,6,7,8,9},C74,ROW(INDIRECT("1:"&amp;LEN(C74)))),1))," ",REPT(" ",LEN(C74))),LEN(C74)))</f>
        <v>23</v>
      </c>
      <c r="I75" s="230" t="str">
        <f ca="1">IF(D78=100%,"Excavation","")&amp;IF(D79=100%,", Plinth","")&amp;IF(D80=100%,", RCC Slab","")&amp;IF(D81=100%,", Brickwork","")&amp;IF(D82=100%,", Internal Plaster","")&amp;IF(D83=100%,", External Plaster","")&amp;IF(D84=100%,", Flooring","")&amp;IF(D85=100%,", Painting","")&amp;IF(D86=100%,", Building common Amenities","")</f>
        <v>Excavation, Plinth</v>
      </c>
      <c r="J75" s="52"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1.5" customHeight="1" x14ac:dyDescent="0.35">
      <c r="A76" s="161" t="s">
        <v>86</v>
      </c>
      <c r="B76" s="161"/>
      <c r="C76" s="160" t="str">
        <f ca="1">I74</f>
        <v>Excavation, Plinth Completed, RCC upto 23 Slab, Brickwork upto 19 Floor, Internal Plaster upto 10 Floor, External Plaster upto 4 Floor Completed</v>
      </c>
      <c r="D76" s="160"/>
      <c r="E76" s="160"/>
      <c r="F76" s="160"/>
      <c r="G76" s="160"/>
      <c r="H76" s="160"/>
      <c r="I76" s="230" t="str">
        <f ca="1">IF(I75&lt;&gt;""," Completed","")</f>
        <v xml:space="preserve"> Completed</v>
      </c>
      <c r="J76" s="52" t="str">
        <f ca="1">IF(J74&lt;&gt;"","Completed","")</f>
        <v>Completed</v>
      </c>
      <c r="S76"/>
    </row>
    <row r="77" spans="1:19" ht="15.75" customHeight="1" x14ac:dyDescent="0.35">
      <c r="A77" s="107" t="s">
        <v>47</v>
      </c>
      <c r="B77" s="107"/>
      <c r="C77" s="85" t="s">
        <v>137</v>
      </c>
      <c r="D77" s="85" t="s">
        <v>79</v>
      </c>
      <c r="E77" s="107" t="s">
        <v>81</v>
      </c>
      <c r="F77" s="107"/>
      <c r="G77" s="107" t="s">
        <v>80</v>
      </c>
      <c r="H77" s="107"/>
      <c r="I77" s="13" t="s">
        <v>139</v>
      </c>
      <c r="J77" s="28">
        <f ca="1">H75*25%</f>
        <v>5.75</v>
      </c>
      <c r="S77"/>
    </row>
    <row r="78" spans="1:19" x14ac:dyDescent="0.35">
      <c r="A78" s="107" t="s">
        <v>126</v>
      </c>
      <c r="B78" s="107"/>
      <c r="C78" s="82">
        <f ca="1">J79</f>
        <v>23</v>
      </c>
      <c r="D78" s="19">
        <f ca="1">((100/H75)*C78)/100</f>
        <v>1</v>
      </c>
      <c r="E78" s="237">
        <f ca="1">(((C79/H75*10)+(40/(D75+F75+H75)*C80)+(7.5/(H75)*C81)+(7.5/(H75)*C82)+(10/H75*C83)+(10/H75*C84)+(5/H75*C85)+(5/H75*C86)+(5/H75*C87))/100)</f>
        <v>0.59528985507246379</v>
      </c>
      <c r="F78" s="237"/>
      <c r="G78" s="237">
        <f ca="1">((((C78/H75)*20)+((C79/H75)*25)+(30/(H75+F75+D75)*C80)+(5/H75*C81)+(5/H75*C82)+(5/H75*C83)+(5/H75*C84)+(0/H75*C85)+(0/H75*C86)+(5/H75*C87))/100)</f>
        <v>0.80923913043478246</v>
      </c>
      <c r="H78" s="237"/>
      <c r="I78" s="13" t="s">
        <v>97</v>
      </c>
      <c r="J78" s="29">
        <f ca="1">H75*50%</f>
        <v>11.5</v>
      </c>
    </row>
    <row r="79" spans="1:19" x14ac:dyDescent="0.35">
      <c r="A79" s="107" t="s">
        <v>48</v>
      </c>
      <c r="B79" s="107"/>
      <c r="C79" s="85">
        <f ca="1">J87</f>
        <v>23</v>
      </c>
      <c r="D79" s="19">
        <f ca="1">((100/H75)*C79)/100</f>
        <v>1</v>
      </c>
      <c r="E79" s="237"/>
      <c r="F79" s="237"/>
      <c r="G79" s="237"/>
      <c r="H79" s="237"/>
      <c r="I79" s="13" t="s">
        <v>98</v>
      </c>
      <c r="J79" s="29">
        <f ca="1">H75</f>
        <v>23</v>
      </c>
      <c r="S79"/>
    </row>
    <row r="80" spans="1:19" ht="15.75" customHeight="1" x14ac:dyDescent="0.35">
      <c r="A80" s="107" t="s">
        <v>127</v>
      </c>
      <c r="B80" s="107"/>
      <c r="C80" s="85">
        <v>23</v>
      </c>
      <c r="D80" s="19">
        <f ca="1">((100/(D75+F75+H75))*C80)/100</f>
        <v>0.95833333333333348</v>
      </c>
      <c r="E80" s="237"/>
      <c r="F80" s="237"/>
      <c r="G80" s="237"/>
      <c r="H80" s="237"/>
      <c r="I80" s="13" t="s">
        <v>99</v>
      </c>
      <c r="J80" s="30">
        <f ca="1">(IF(B75&gt;1,(H75/(B75+2)),H75/4))</f>
        <v>5.75</v>
      </c>
      <c r="S80"/>
    </row>
    <row r="81" spans="1:19" ht="15.75" customHeight="1" x14ac:dyDescent="0.35">
      <c r="A81" s="107" t="s">
        <v>134</v>
      </c>
      <c r="B81" s="107" t="s">
        <v>128</v>
      </c>
      <c r="C81" s="85">
        <v>19</v>
      </c>
      <c r="D81" s="19">
        <f ca="1">((100/H75)*C81)/100</f>
        <v>0.82608695652173902</v>
      </c>
      <c r="E81" s="237"/>
      <c r="F81" s="237"/>
      <c r="G81" s="237"/>
      <c r="H81" s="237"/>
      <c r="I81" s="13" t="s">
        <v>100</v>
      </c>
      <c r="J81" s="30">
        <f ca="1">(IF(B75&gt;1,(H75/(B75+2)+J80),H75/4+J80))</f>
        <v>11.5</v>
      </c>
    </row>
    <row r="82" spans="1:19" ht="15.75" customHeight="1" x14ac:dyDescent="0.35">
      <c r="A82" s="107" t="s">
        <v>135</v>
      </c>
      <c r="B82" s="107" t="s">
        <v>128</v>
      </c>
      <c r="C82" s="85">
        <v>10</v>
      </c>
      <c r="D82" s="19">
        <f ca="1">((100/H75)*C82)/100</f>
        <v>0.43478260869565216</v>
      </c>
      <c r="E82" s="237"/>
      <c r="F82" s="237"/>
      <c r="G82" s="237"/>
      <c r="H82" s="237"/>
      <c r="I82" s="13" t="s">
        <v>146</v>
      </c>
      <c r="J82" s="30">
        <f>(IF(B75&gt;1,(H75/(B75+2)+J81),0))</f>
        <v>0</v>
      </c>
    </row>
    <row r="83" spans="1:19" ht="15" customHeight="1" x14ac:dyDescent="0.35">
      <c r="A83" s="107" t="s">
        <v>133</v>
      </c>
      <c r="B83" s="107" t="s">
        <v>130</v>
      </c>
      <c r="C83" s="85">
        <v>4</v>
      </c>
      <c r="D83" s="19">
        <f ca="1">((100/(H75))*C83)/100</f>
        <v>0.17391304347826086</v>
      </c>
      <c r="E83" s="237"/>
      <c r="F83" s="237"/>
      <c r="G83" s="237"/>
      <c r="H83" s="237"/>
      <c r="I83" s="13" t="s">
        <v>141</v>
      </c>
      <c r="J83" s="30">
        <f>(IF(B75&gt;2,(H75/(B75+2)+J82),0))</f>
        <v>0</v>
      </c>
    </row>
    <row r="84" spans="1:19" ht="15.75" customHeight="1" x14ac:dyDescent="0.35">
      <c r="A84" s="107" t="s">
        <v>129</v>
      </c>
      <c r="B84" s="107" t="s">
        <v>129</v>
      </c>
      <c r="C84" s="85">
        <v>0</v>
      </c>
      <c r="D84" s="19">
        <f ca="1">((100/H75)*C84)/100</f>
        <v>0</v>
      </c>
      <c r="E84" s="237"/>
      <c r="F84" s="237"/>
      <c r="G84" s="237"/>
      <c r="H84" s="237"/>
      <c r="I84" s="13" t="s">
        <v>142</v>
      </c>
      <c r="J84" s="31">
        <f>(IF(B75&gt;3,(H75/(B75+2)+J83),0))</f>
        <v>0</v>
      </c>
    </row>
    <row r="85" spans="1:19" ht="15.75" customHeight="1" x14ac:dyDescent="0.35">
      <c r="A85" s="107" t="s">
        <v>136</v>
      </c>
      <c r="B85" s="107"/>
      <c r="C85" s="85">
        <v>0</v>
      </c>
      <c r="D85" s="19">
        <f ca="1">((100/H75)*C85)/100</f>
        <v>0</v>
      </c>
      <c r="E85" s="237"/>
      <c r="F85" s="237"/>
      <c r="G85" s="237"/>
      <c r="H85" s="237"/>
      <c r="I85" s="13" t="s">
        <v>143</v>
      </c>
      <c r="J85" s="30">
        <f>(IF(B75&gt;4,(H75/(B75+2)+J84),0))</f>
        <v>0</v>
      </c>
    </row>
    <row r="86" spans="1:19" ht="15.75" customHeight="1" x14ac:dyDescent="0.35">
      <c r="A86" s="107" t="s">
        <v>131</v>
      </c>
      <c r="B86" s="107" t="s">
        <v>131</v>
      </c>
      <c r="C86" s="85">
        <v>0</v>
      </c>
      <c r="D86" s="19">
        <f ca="1">((100/(H75))*C86)/100</f>
        <v>0</v>
      </c>
      <c r="E86" s="237"/>
      <c r="F86" s="237"/>
      <c r="G86" s="237"/>
      <c r="H86" s="237"/>
      <c r="I86" s="13" t="s">
        <v>147</v>
      </c>
      <c r="J86" s="30">
        <f ca="1">(IF(B75=1,(H75/(B75+3)+J81),IF(B75=0,(H75/4+J81),IF(B75&gt;1,0))))</f>
        <v>17.25</v>
      </c>
    </row>
    <row r="87" spans="1:19" ht="16" thickBot="1" x14ac:dyDescent="0.4">
      <c r="A87" s="107" t="s">
        <v>132</v>
      </c>
      <c r="B87" s="107"/>
      <c r="C87" s="85">
        <v>0</v>
      </c>
      <c r="D87" s="19">
        <f ca="1">((100/(H75))*C87)/100</f>
        <v>0</v>
      </c>
      <c r="E87" s="237"/>
      <c r="F87" s="237"/>
      <c r="G87" s="237"/>
      <c r="H87" s="237"/>
      <c r="I87" s="15" t="s">
        <v>101</v>
      </c>
      <c r="J87" s="32">
        <f ca="1">(IF(B75&gt;1.5,(H75/(B75+2)+J81+MAX(0,J82-J81)+MAX(0,J83-J82)+MAX(0,J84-J83)+MAX(0,J85-J84)+MAX(0,J86-J85)),IF(B75=1,(H75/(B75+3)+J86),IF(B75=0,H75/4+J86))))</f>
        <v>23</v>
      </c>
    </row>
    <row r="88" spans="1:19" ht="15.75" customHeight="1" x14ac:dyDescent="0.35">
      <c r="A88" s="231" t="s">
        <v>138</v>
      </c>
      <c r="B88" s="232"/>
      <c r="C88" s="233" t="str">
        <f>D66</f>
        <v>B Wing = G + 1st to 23rd Floor</v>
      </c>
      <c r="D88" s="234"/>
      <c r="E88" s="234"/>
      <c r="F88" s="234"/>
      <c r="G88" s="234"/>
      <c r="H88" s="235"/>
      <c r="I88" s="49" t="str">
        <f ca="1">IF(D101=100%,"All work Completed. Possession granted to the Building.",IF(D100=100%,"All work Completed, Waiting for OC",I89&amp;""&amp;I90&amp;""&amp;J89&amp;""&amp;J88&amp;" "&amp;J90))</f>
        <v>Excavation, Plinth Completed, RCC upto 22 Slab, Brickwork upto 19 Floor, Internal Plaster upto 10 Floor, External Plaster upto 4 Floor Completed</v>
      </c>
      <c r="J88" s="50"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22 Slab, Brickwork upto 19 Floor, Internal Plaster upto 10 Floor, External Plaster upto 4 Floor</v>
      </c>
      <c r="S88"/>
    </row>
    <row r="89" spans="1:19" x14ac:dyDescent="0.35">
      <c r="A89" s="16" t="s">
        <v>140</v>
      </c>
      <c r="B89" s="47">
        <f>IF(AND(ISNUMBER(SEARCH("1B",C88))),1,IF(AND(ISNUMBER(SEARCH("2B",C88))),2,IF(AND(ISNUMBER(SEARCH("3B",C88))),3,IF(AND(ISNUMBER(SEARCH("4B",C88))),4,IF(ISNUMBER(SEARCH("5B",C88)),5,0)))))</f>
        <v>0</v>
      </c>
      <c r="C89" s="47" t="s">
        <v>68</v>
      </c>
      <c r="D89" s="47">
        <v>1</v>
      </c>
      <c r="E89" s="47" t="s">
        <v>67</v>
      </c>
      <c r="F89" s="47">
        <v>0</v>
      </c>
      <c r="G89" s="48" t="s">
        <v>76</v>
      </c>
      <c r="H89" s="17">
        <f ca="1">--TRIM(RIGHT(SUBSTITUTE(LEFT(C88,_xlfn.AGGREGATE(16,6,FIND({0,1,2,3,4,5,6,7,8,9},C88,ROW(INDIRECT("1:"&amp;LEN(C88)))),1))," ",REPT(" ",LEN(C88))),LEN(C88)))</f>
        <v>23</v>
      </c>
      <c r="I89" s="51" t="str">
        <f ca="1">IF(D92=100%,"Excavation","")&amp;IF(D93=100%,", Plinth","")&amp;IF(D94=100%,", RCC Slab","")&amp;IF(D95=100%,", Brickwork","")&amp;IF(D96=100%,", Internal Plaster","")&amp;IF(D97=100%,", External Plaster","")&amp;IF(D98=100%,", Flooring","")&amp;IF(D99=100%,", Painting","")&amp;IF(D100=100%,", Building common Amenities","")</f>
        <v>Excavation, Plinth</v>
      </c>
      <c r="J89" s="52"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ht="31.5" customHeight="1" x14ac:dyDescent="0.35">
      <c r="A90" s="169" t="s">
        <v>86</v>
      </c>
      <c r="B90" s="161"/>
      <c r="C90" s="160" t="str">
        <f ca="1">I88</f>
        <v>Excavation, Plinth Completed, RCC upto 22 Slab, Brickwork upto 19 Floor, Internal Plaster upto 10 Floor, External Plaster upto 4 Floor Completed</v>
      </c>
      <c r="D90" s="160"/>
      <c r="E90" s="160"/>
      <c r="F90" s="160"/>
      <c r="G90" s="160"/>
      <c r="H90" s="175"/>
      <c r="I90" s="51" t="str">
        <f ca="1">IF(I89&lt;&gt;""," Completed","")</f>
        <v xml:space="preserve"> Completed</v>
      </c>
      <c r="J90" s="52" t="str">
        <f ca="1">IF(J88&lt;&gt;"","Completed","")</f>
        <v>Completed</v>
      </c>
      <c r="S90"/>
    </row>
    <row r="91" spans="1:19" ht="15.75" customHeight="1" x14ac:dyDescent="0.35">
      <c r="A91" s="106" t="s">
        <v>47</v>
      </c>
      <c r="B91" s="107"/>
      <c r="C91" s="43" t="s">
        <v>137</v>
      </c>
      <c r="D91" s="43" t="s">
        <v>79</v>
      </c>
      <c r="E91" s="107" t="s">
        <v>81</v>
      </c>
      <c r="F91" s="107"/>
      <c r="G91" s="107" t="s">
        <v>80</v>
      </c>
      <c r="H91" s="114"/>
      <c r="I91" s="13" t="s">
        <v>139</v>
      </c>
      <c r="J91" s="28">
        <f ca="1">H89*25%</f>
        <v>5.75</v>
      </c>
      <c r="S91"/>
    </row>
    <row r="92" spans="1:19" x14ac:dyDescent="0.35">
      <c r="A92" s="106" t="s">
        <v>126</v>
      </c>
      <c r="B92" s="107"/>
      <c r="C92" s="82">
        <f ca="1">J93</f>
        <v>23</v>
      </c>
      <c r="D92" s="19">
        <f ca="1">((100/H89)*C92)/100</f>
        <v>1</v>
      </c>
      <c r="E92" s="211">
        <f ca="1">(((C93/H89*10)+(40/(D89+F89+H89)*C94)+(7.5/(H89)*C95)+(7.5/(H89)*C96)+(10/H89*C97)+(10/H89*C98)+(5/H89*C99)+(5/H89*C100)+(5/H89*C101))/100)</f>
        <v>0.57862318840579718</v>
      </c>
      <c r="F92" s="212"/>
      <c r="G92" s="211">
        <f ca="1">((((C92/H89)*20)+((C93/H89)*25)+(30/(H89+F89+D89)*C94)+(5/H89*C95)+(5/H89*C96)+(5/H89*C97)+(5/H89*C98)+(0/H89*C99)+(0/H89*C100)+(5/H89*C101))/100)</f>
        <v>0.79673913043478251</v>
      </c>
      <c r="H92" s="217"/>
      <c r="I92" s="13" t="s">
        <v>97</v>
      </c>
      <c r="J92" s="29">
        <f ca="1">H89*50%</f>
        <v>11.5</v>
      </c>
    </row>
    <row r="93" spans="1:19" x14ac:dyDescent="0.35">
      <c r="A93" s="106" t="s">
        <v>48</v>
      </c>
      <c r="B93" s="107"/>
      <c r="C93" s="81">
        <f ca="1">J101</f>
        <v>23</v>
      </c>
      <c r="D93" s="19">
        <f ca="1">((100/H89)*C93)/100</f>
        <v>1</v>
      </c>
      <c r="E93" s="213"/>
      <c r="F93" s="214"/>
      <c r="G93" s="213"/>
      <c r="H93" s="218"/>
      <c r="I93" s="13" t="s">
        <v>98</v>
      </c>
      <c r="J93" s="29">
        <f ca="1">H89</f>
        <v>23</v>
      </c>
      <c r="S93"/>
    </row>
    <row r="94" spans="1:19" ht="15.75" customHeight="1" x14ac:dyDescent="0.35">
      <c r="A94" s="106" t="s">
        <v>127</v>
      </c>
      <c r="B94" s="107"/>
      <c r="C94" s="43">
        <v>22</v>
      </c>
      <c r="D94" s="19">
        <f ca="1">((100/(D89+F89+H89))*C94)/100</f>
        <v>0.91666666666666674</v>
      </c>
      <c r="E94" s="213"/>
      <c r="F94" s="214"/>
      <c r="G94" s="213"/>
      <c r="H94" s="218"/>
      <c r="I94" s="13" t="s">
        <v>99</v>
      </c>
      <c r="J94" s="30">
        <f ca="1">(IF(B89&gt;1,(H89/(B89+2)),H89/4))</f>
        <v>5.75</v>
      </c>
      <c r="S94"/>
    </row>
    <row r="95" spans="1:19" ht="15.75" customHeight="1" x14ac:dyDescent="0.35">
      <c r="A95" s="106" t="s">
        <v>134</v>
      </c>
      <c r="B95" s="107" t="s">
        <v>128</v>
      </c>
      <c r="C95" s="43">
        <v>19</v>
      </c>
      <c r="D95" s="19">
        <f ca="1">((100/H89)*C95)/100</f>
        <v>0.82608695652173902</v>
      </c>
      <c r="E95" s="213"/>
      <c r="F95" s="214"/>
      <c r="G95" s="213"/>
      <c r="H95" s="218"/>
      <c r="I95" s="13" t="s">
        <v>100</v>
      </c>
      <c r="J95" s="30">
        <f ca="1">(IF(B89&gt;1,(H89/(B89+2)+J94),H89/4+J94))</f>
        <v>11.5</v>
      </c>
    </row>
    <row r="96" spans="1:19" ht="15.75" customHeight="1" x14ac:dyDescent="0.35">
      <c r="A96" s="106" t="s">
        <v>135</v>
      </c>
      <c r="B96" s="107" t="s">
        <v>128</v>
      </c>
      <c r="C96" s="43">
        <v>10</v>
      </c>
      <c r="D96" s="19">
        <f ca="1">((100/H89)*C96)/100</f>
        <v>0.43478260869565216</v>
      </c>
      <c r="E96" s="213"/>
      <c r="F96" s="214"/>
      <c r="G96" s="213"/>
      <c r="H96" s="218"/>
      <c r="I96" s="13" t="s">
        <v>146</v>
      </c>
      <c r="J96" s="30">
        <f>(IF(B89&gt;1,(H89/(B89+2)+J95),0))</f>
        <v>0</v>
      </c>
    </row>
    <row r="97" spans="1:19" ht="15" customHeight="1" x14ac:dyDescent="0.35">
      <c r="A97" s="106" t="s">
        <v>133</v>
      </c>
      <c r="B97" s="107" t="s">
        <v>130</v>
      </c>
      <c r="C97" s="43">
        <v>4</v>
      </c>
      <c r="D97" s="19">
        <f ca="1">((100/(H89))*C97)/100</f>
        <v>0.17391304347826086</v>
      </c>
      <c r="E97" s="213"/>
      <c r="F97" s="214"/>
      <c r="G97" s="213"/>
      <c r="H97" s="218"/>
      <c r="I97" s="13" t="s">
        <v>141</v>
      </c>
      <c r="J97" s="30">
        <f>(IF(B89&gt;2,(H89/(B89+2)+J96),0))</f>
        <v>0</v>
      </c>
    </row>
    <row r="98" spans="1:19" ht="15.75" customHeight="1" x14ac:dyDescent="0.35">
      <c r="A98" s="106" t="s">
        <v>129</v>
      </c>
      <c r="B98" s="107" t="s">
        <v>129</v>
      </c>
      <c r="C98" s="43">
        <v>0</v>
      </c>
      <c r="D98" s="19">
        <f ca="1">((100/H89)*C98)/100</f>
        <v>0</v>
      </c>
      <c r="E98" s="213"/>
      <c r="F98" s="214"/>
      <c r="G98" s="213"/>
      <c r="H98" s="218"/>
      <c r="I98" s="13" t="s">
        <v>142</v>
      </c>
      <c r="J98" s="31">
        <f>(IF(B89&gt;3,(H89/(B89+2)+J97),0))</f>
        <v>0</v>
      </c>
    </row>
    <row r="99" spans="1:19" ht="15.75" customHeight="1" x14ac:dyDescent="0.35">
      <c r="A99" s="106" t="s">
        <v>136</v>
      </c>
      <c r="B99" s="107"/>
      <c r="C99" s="43">
        <v>0</v>
      </c>
      <c r="D99" s="19">
        <f ca="1">((100/H89)*C99)/100</f>
        <v>0</v>
      </c>
      <c r="E99" s="213"/>
      <c r="F99" s="214"/>
      <c r="G99" s="213"/>
      <c r="H99" s="218"/>
      <c r="I99" s="13" t="s">
        <v>143</v>
      </c>
      <c r="J99" s="30">
        <f>(IF(B89&gt;4,(H89/(B89+2)+J98),0))</f>
        <v>0</v>
      </c>
    </row>
    <row r="100" spans="1:19" ht="15.75" customHeight="1" x14ac:dyDescent="0.35">
      <c r="A100" s="106" t="s">
        <v>131</v>
      </c>
      <c r="B100" s="107" t="s">
        <v>131</v>
      </c>
      <c r="C100" s="43">
        <v>0</v>
      </c>
      <c r="D100" s="19">
        <f ca="1">((100/(H89))*C100)/100</f>
        <v>0</v>
      </c>
      <c r="E100" s="213"/>
      <c r="F100" s="214"/>
      <c r="G100" s="213"/>
      <c r="H100" s="218"/>
      <c r="I100" s="13" t="s">
        <v>147</v>
      </c>
      <c r="J100" s="30">
        <f ca="1">(IF(B89=1,(H89/(B89+3)+J95),IF(B89=0,(H89/4+J95),IF(B89&gt;1,0))))</f>
        <v>17.25</v>
      </c>
    </row>
    <row r="101" spans="1:19" ht="16" thickBot="1" x14ac:dyDescent="0.4">
      <c r="A101" s="115" t="s">
        <v>132</v>
      </c>
      <c r="B101" s="116"/>
      <c r="C101" s="44">
        <v>0</v>
      </c>
      <c r="D101" s="20">
        <f ca="1">((100/(H89))*C101)/100</f>
        <v>0</v>
      </c>
      <c r="E101" s="215"/>
      <c r="F101" s="216"/>
      <c r="G101" s="215"/>
      <c r="H101" s="219"/>
      <c r="I101" s="15" t="s">
        <v>101</v>
      </c>
      <c r="J101" s="32">
        <f ca="1">(IF(B89&gt;1.5,(H89/(B89+2)+J95+MAX(0,J96-J95)+MAX(0,J97-J96)+MAX(0,J98-J97)+MAX(0,J99-J98)+MAX(0,J100-J99)),IF(B89=1,(H89/(B89+3)+J100),IF(B89=0,H89/4+J100))))</f>
        <v>23</v>
      </c>
    </row>
    <row r="102" spans="1:19" ht="15.75" hidden="1" customHeight="1" x14ac:dyDescent="0.35">
      <c r="A102" s="170" t="s">
        <v>138</v>
      </c>
      <c r="B102" s="171"/>
      <c r="C102" s="172" t="e">
        <f>#REF!</f>
        <v>#REF!</v>
      </c>
      <c r="D102" s="173"/>
      <c r="E102" s="173"/>
      <c r="F102" s="173"/>
      <c r="G102" s="173"/>
      <c r="H102" s="174"/>
      <c r="I102" s="49" t="e">
        <f ca="1">IF(D115=100%,"All work Completed. Possession granted to the Building.",IF(D114=100%,"All work Completed, Waiting for OC",I103&amp;""&amp;I104&amp;""&amp;J103&amp;""&amp;J102&amp;" "&amp;J104))</f>
        <v>#REF!</v>
      </c>
      <c r="J102" s="50"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35">
      <c r="A103" s="16" t="s">
        <v>140</v>
      </c>
      <c r="B103" s="47">
        <f>IF(AND(ISNUMBER(SEARCH("1B",C102))),1,IF(AND(ISNUMBER(SEARCH("2B",C102))),2,IF(AND(ISNUMBER(SEARCH("3B",C102))),3,IF(AND(ISNUMBER(SEARCH("4B",C102))),4,IF(ISNUMBER(SEARCH("5B",C102)),5,0)))))</f>
        <v>0</v>
      </c>
      <c r="C103" s="47" t="s">
        <v>68</v>
      </c>
      <c r="D103" s="47">
        <v>1</v>
      </c>
      <c r="E103" s="47" t="s">
        <v>67</v>
      </c>
      <c r="F103" s="14">
        <v>0</v>
      </c>
      <c r="G103" s="48" t="s">
        <v>76</v>
      </c>
      <c r="H103" s="17" t="e">
        <f ca="1">--TRIM(RIGHT(SUBSTITUTE(LEFT(C102,_xlfn.AGGREGATE(16,6,FIND({0,1,2,3,4,5,6,7,8,9},C102,ROW(INDIRECT("1:"&amp;LEN(C102)))),1))," ",REPT(" ",LEN(C102))),LEN(C102)))</f>
        <v>#REF!</v>
      </c>
      <c r="I103" s="51" t="e">
        <f ca="1">IF(D106=100%,"Excavation","")&amp;IF(D107=100%,", Plinth","")&amp;IF(D108=100%,", RCC Slab","")&amp;IF(D109=100%,", Brickwork","")&amp;IF(D110=100%,", Internal Plaster","")&amp;IF(D111=100%,", External Plaster","")&amp;IF(D112=100%,", Flooring","")&amp;IF(D113=100%,", Painting","")&amp;IF(D114=100%,", Building common Amenities","")</f>
        <v>#REF!</v>
      </c>
      <c r="J103" s="52"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t="36.75" hidden="1" customHeight="1" x14ac:dyDescent="0.35">
      <c r="A104" s="169" t="s">
        <v>86</v>
      </c>
      <c r="B104" s="161"/>
      <c r="C104" s="160" t="e">
        <f ca="1">I102</f>
        <v>#REF!</v>
      </c>
      <c r="D104" s="160"/>
      <c r="E104" s="160"/>
      <c r="F104" s="160"/>
      <c r="G104" s="160"/>
      <c r="H104" s="175"/>
      <c r="I104" s="51" t="e">
        <f ca="1">IF(I103&lt;&gt;""," Completed","")</f>
        <v>#REF!</v>
      </c>
      <c r="J104" s="52" t="e">
        <f ca="1">IF(J102&lt;&gt;"","Completed","")</f>
        <v>#REF!</v>
      </c>
      <c r="S104"/>
    </row>
    <row r="105" spans="1:19" ht="15.75" hidden="1" customHeight="1" x14ac:dyDescent="0.35">
      <c r="A105" s="106" t="s">
        <v>47</v>
      </c>
      <c r="B105" s="107"/>
      <c r="C105" s="43" t="s">
        <v>137</v>
      </c>
      <c r="D105" s="43" t="s">
        <v>79</v>
      </c>
      <c r="E105" s="107" t="s">
        <v>81</v>
      </c>
      <c r="F105" s="107"/>
      <c r="G105" s="107" t="s">
        <v>80</v>
      </c>
      <c r="H105" s="114"/>
      <c r="I105" s="13" t="s">
        <v>139</v>
      </c>
      <c r="J105" s="28" t="e">
        <f ca="1">H103*25%</f>
        <v>#REF!</v>
      </c>
      <c r="S105"/>
    </row>
    <row r="106" spans="1:19" hidden="1" x14ac:dyDescent="0.35">
      <c r="A106" s="106" t="s">
        <v>126</v>
      </c>
      <c r="B106" s="107"/>
      <c r="C106" s="59" t="e">
        <f ca="1">J107</f>
        <v>#REF!</v>
      </c>
      <c r="D106" s="19" t="e">
        <f ca="1">((100/H103)*C106)/100</f>
        <v>#REF!</v>
      </c>
      <c r="E106" s="211" t="e">
        <f ca="1">(((C107/H103*10)+(40/(D103+F103+H103)*C108)+(7.5/(H103)*C109)+(7.5/(H103)*C110)+(10/H103*C111)+(10/H103*C112)+(5/H103*C113)+(5/H103*C114)+(5/H103*C115))/100)</f>
        <v>#REF!</v>
      </c>
      <c r="F106" s="212"/>
      <c r="G106" s="211" t="e">
        <f ca="1">((((C106/H103)*20)+((C107/H103)*25)+(30/(H103+F103+D103)*C108)+(5/H103*C109)+(5/H103*C110)+(5/H103*C111)+(5/H103*C112)+(0/H103*C113)+(0/H103*C114)+(5/H103*C115))/100)</f>
        <v>#REF!</v>
      </c>
      <c r="H106" s="217"/>
      <c r="I106" s="13" t="s">
        <v>97</v>
      </c>
      <c r="J106" s="29" t="e">
        <f ca="1">H103*50%</f>
        <v>#REF!</v>
      </c>
    </row>
    <row r="107" spans="1:19" hidden="1" x14ac:dyDescent="0.35">
      <c r="A107" s="106" t="s">
        <v>48</v>
      </c>
      <c r="B107" s="107"/>
      <c r="C107" s="43" t="e">
        <f ca="1">J115</f>
        <v>#REF!</v>
      </c>
      <c r="D107" s="19" t="e">
        <f ca="1">((100/H103)*C107)/100</f>
        <v>#REF!</v>
      </c>
      <c r="E107" s="213"/>
      <c r="F107" s="214"/>
      <c r="G107" s="213"/>
      <c r="H107" s="218"/>
      <c r="I107" s="13" t="s">
        <v>98</v>
      </c>
      <c r="J107" s="29" t="e">
        <f ca="1">H103</f>
        <v>#REF!</v>
      </c>
      <c r="S107"/>
    </row>
    <row r="108" spans="1:19" ht="15.75" hidden="1" customHeight="1" x14ac:dyDescent="0.35">
      <c r="A108" s="106" t="s">
        <v>127</v>
      </c>
      <c r="B108" s="107"/>
      <c r="C108" s="43">
        <v>0</v>
      </c>
      <c r="D108" s="19" t="e">
        <f ca="1">((100/(D103+F103+H103))*C108)/100</f>
        <v>#REF!</v>
      </c>
      <c r="E108" s="213"/>
      <c r="F108" s="214"/>
      <c r="G108" s="213"/>
      <c r="H108" s="218"/>
      <c r="I108" s="13" t="s">
        <v>99</v>
      </c>
      <c r="J108" s="30" t="e">
        <f ca="1">(IF(B103&gt;1,(H103/(B103+2)),H103/4))</f>
        <v>#REF!</v>
      </c>
      <c r="S108"/>
    </row>
    <row r="109" spans="1:19" ht="15.75" hidden="1" customHeight="1" x14ac:dyDescent="0.35">
      <c r="A109" s="106" t="s">
        <v>134</v>
      </c>
      <c r="B109" s="107" t="s">
        <v>128</v>
      </c>
      <c r="C109" s="43">
        <v>0</v>
      </c>
      <c r="D109" s="19" t="e">
        <f ca="1">((100/H103)*C109)/100</f>
        <v>#REF!</v>
      </c>
      <c r="E109" s="213"/>
      <c r="F109" s="214"/>
      <c r="G109" s="213"/>
      <c r="H109" s="218"/>
      <c r="I109" s="13" t="s">
        <v>100</v>
      </c>
      <c r="J109" s="30" t="e">
        <f ca="1">(IF(B103&gt;1,(H103/(B103+2)+J108),H103/4+J108))</f>
        <v>#REF!</v>
      </c>
    </row>
    <row r="110" spans="1:19" ht="15.75" hidden="1" customHeight="1" x14ac:dyDescent="0.35">
      <c r="A110" s="106" t="s">
        <v>135</v>
      </c>
      <c r="B110" s="107" t="s">
        <v>128</v>
      </c>
      <c r="C110" s="43">
        <v>0</v>
      </c>
      <c r="D110" s="19" t="e">
        <f ca="1">((100/H103)*C110)/100</f>
        <v>#REF!</v>
      </c>
      <c r="E110" s="213"/>
      <c r="F110" s="214"/>
      <c r="G110" s="213"/>
      <c r="H110" s="218"/>
      <c r="I110" s="13" t="s">
        <v>146</v>
      </c>
      <c r="J110" s="30">
        <f>(IF(B103&gt;1,(H103/(B103+2)+J109),0))</f>
        <v>0</v>
      </c>
    </row>
    <row r="111" spans="1:19" ht="15" hidden="1" customHeight="1" x14ac:dyDescent="0.35">
      <c r="A111" s="106" t="s">
        <v>133</v>
      </c>
      <c r="B111" s="107" t="s">
        <v>130</v>
      </c>
      <c r="C111" s="43">
        <v>0</v>
      </c>
      <c r="D111" s="19" t="e">
        <f ca="1">((100/(H103))*C111)/100</f>
        <v>#REF!</v>
      </c>
      <c r="E111" s="213"/>
      <c r="F111" s="214"/>
      <c r="G111" s="213"/>
      <c r="H111" s="218"/>
      <c r="I111" s="13" t="s">
        <v>141</v>
      </c>
      <c r="J111" s="30">
        <f>(IF(B103&gt;2,(H103/(B103+2)+J110),0))</f>
        <v>0</v>
      </c>
    </row>
    <row r="112" spans="1:19" ht="15.75" hidden="1" customHeight="1" x14ac:dyDescent="0.35">
      <c r="A112" s="106" t="s">
        <v>129</v>
      </c>
      <c r="B112" s="107" t="s">
        <v>129</v>
      </c>
      <c r="C112" s="43">
        <v>0</v>
      </c>
      <c r="D112" s="19" t="e">
        <f ca="1">((100/H103)*C112)/100</f>
        <v>#REF!</v>
      </c>
      <c r="E112" s="213"/>
      <c r="F112" s="214"/>
      <c r="G112" s="213"/>
      <c r="H112" s="218"/>
      <c r="I112" s="13" t="s">
        <v>142</v>
      </c>
      <c r="J112" s="31">
        <f>(IF(B103&gt;3,(H103/(B103+2)+J111),0))</f>
        <v>0</v>
      </c>
    </row>
    <row r="113" spans="1:22" ht="15.75" hidden="1" customHeight="1" x14ac:dyDescent="0.35">
      <c r="A113" s="106" t="s">
        <v>136</v>
      </c>
      <c r="B113" s="107"/>
      <c r="C113" s="43">
        <v>0</v>
      </c>
      <c r="D113" s="19" t="e">
        <f ca="1">((100/H103)*C113)/100</f>
        <v>#REF!</v>
      </c>
      <c r="E113" s="213"/>
      <c r="F113" s="214"/>
      <c r="G113" s="213"/>
      <c r="H113" s="218"/>
      <c r="I113" s="13" t="s">
        <v>143</v>
      </c>
      <c r="J113" s="30">
        <f>(IF(B103&gt;4,(H103/(B103+2)+J112),0))</f>
        <v>0</v>
      </c>
    </row>
    <row r="114" spans="1:22" ht="15.75" hidden="1" customHeight="1" x14ac:dyDescent="0.35">
      <c r="A114" s="106" t="s">
        <v>131</v>
      </c>
      <c r="B114" s="107" t="s">
        <v>131</v>
      </c>
      <c r="C114" s="43">
        <v>0</v>
      </c>
      <c r="D114" s="19" t="e">
        <f ca="1">((100/(H103))*C114)/100</f>
        <v>#REF!</v>
      </c>
      <c r="E114" s="213"/>
      <c r="F114" s="214"/>
      <c r="G114" s="213"/>
      <c r="H114" s="218"/>
      <c r="I114" s="13" t="s">
        <v>147</v>
      </c>
      <c r="J114" s="30" t="e">
        <f ca="1">(IF(B103=1,(H103/(B103+3)+J109),IF(B103=0,(H103/4+J109),IF(B103&gt;1,0))))</f>
        <v>#REF!</v>
      </c>
    </row>
    <row r="115" spans="1:22" ht="16" hidden="1" thickBot="1" x14ac:dyDescent="0.4">
      <c r="A115" s="115" t="s">
        <v>132</v>
      </c>
      <c r="B115" s="116"/>
      <c r="C115" s="44">
        <v>0</v>
      </c>
      <c r="D115" s="20" t="e">
        <f ca="1">((100/(H103))*C115)/100</f>
        <v>#REF!</v>
      </c>
      <c r="E115" s="215"/>
      <c r="F115" s="216"/>
      <c r="G115" s="215"/>
      <c r="H115" s="219"/>
      <c r="I115" s="15" t="s">
        <v>101</v>
      </c>
      <c r="J115" s="32" t="e">
        <f ca="1">(IF(B103&gt;1.5,(H103/(B103+2)+J109+MAX(0,J110-J109)+MAX(0,J111-J110)+MAX(0,J112-J111)+MAX(0,J113-J112)+MAX(0,J114-J113)),IF(B103=1,(H103/(B103+3)+J114),IF(B103=0,H103/4+J114))))</f>
        <v>#REF!</v>
      </c>
    </row>
    <row r="116" spans="1:22" x14ac:dyDescent="0.35">
      <c r="A116" s="222" t="s">
        <v>158</v>
      </c>
      <c r="B116" s="222"/>
      <c r="C116" s="222"/>
      <c r="D116" s="222"/>
      <c r="E116" s="222"/>
      <c r="F116" s="134" t="s">
        <v>162</v>
      </c>
      <c r="G116" s="134"/>
      <c r="H116" s="134"/>
      <c r="R116" t="s">
        <v>256</v>
      </c>
      <c r="S116" t="s">
        <v>174</v>
      </c>
      <c r="T116" t="s">
        <v>182</v>
      </c>
      <c r="U116" t="s">
        <v>196</v>
      </c>
      <c r="V116" t="s">
        <v>191</v>
      </c>
    </row>
    <row r="117" spans="1:22" x14ac:dyDescent="0.35">
      <c r="A117" s="105" t="s">
        <v>160</v>
      </c>
      <c r="B117" s="105"/>
      <c r="C117" s="105"/>
      <c r="D117" s="105"/>
      <c r="E117" s="105"/>
      <c r="F117" s="119">
        <v>5800</v>
      </c>
      <c r="G117" s="119"/>
      <c r="H117" s="119"/>
      <c r="R117"/>
      <c r="S117">
        <v>800000</v>
      </c>
      <c r="T117">
        <v>150000</v>
      </c>
      <c r="U117">
        <v>100000</v>
      </c>
      <c r="V117">
        <v>100000</v>
      </c>
    </row>
    <row r="118" spans="1:22" hidden="1" x14ac:dyDescent="0.35">
      <c r="A118" s="105" t="s">
        <v>159</v>
      </c>
      <c r="B118" s="105"/>
      <c r="C118" s="105"/>
      <c r="D118" s="105"/>
      <c r="E118" s="105"/>
      <c r="F118" s="119"/>
      <c r="G118" s="119"/>
      <c r="H118" s="119"/>
      <c r="R118"/>
      <c r="S118">
        <v>900000</v>
      </c>
      <c r="T118">
        <v>200000</v>
      </c>
      <c r="U118">
        <v>150000</v>
      </c>
      <c r="V118">
        <v>150000</v>
      </c>
    </row>
    <row r="119" spans="1:22" hidden="1" x14ac:dyDescent="0.35">
      <c r="A119" s="105" t="s">
        <v>161</v>
      </c>
      <c r="B119" s="105"/>
      <c r="C119" s="105"/>
      <c r="D119" s="105"/>
      <c r="E119" s="105"/>
      <c r="F119" s="119"/>
      <c r="G119" s="119"/>
      <c r="H119" s="119"/>
      <c r="R119"/>
      <c r="S119">
        <v>1000000</v>
      </c>
      <c r="T119">
        <v>250000</v>
      </c>
      <c r="U119">
        <v>200000</v>
      </c>
      <c r="V119">
        <v>200000</v>
      </c>
    </row>
    <row r="120" spans="1:22" s="33" customFormat="1" hidden="1" x14ac:dyDescent="0.35">
      <c r="A120" s="105" t="s">
        <v>177</v>
      </c>
      <c r="B120" s="105"/>
      <c r="C120" s="105"/>
      <c r="D120" s="105"/>
      <c r="E120" s="105"/>
      <c r="F120" s="119"/>
      <c r="G120" s="119"/>
      <c r="H120" s="119"/>
      <c r="R120"/>
      <c r="S120">
        <v>1100000</v>
      </c>
      <c r="T120">
        <v>300000</v>
      </c>
      <c r="U120">
        <v>250000</v>
      </c>
      <c r="V120" s="23">
        <v>250000</v>
      </c>
    </row>
    <row r="121" spans="1:22" s="33" customFormat="1" hidden="1" x14ac:dyDescent="0.35">
      <c r="A121" s="105" t="s">
        <v>91</v>
      </c>
      <c r="B121" s="105"/>
      <c r="C121" s="105"/>
      <c r="D121" s="105"/>
      <c r="E121" s="105"/>
      <c r="F121" s="119"/>
      <c r="G121" s="119"/>
      <c r="H121" s="119"/>
      <c r="R121"/>
      <c r="S121">
        <v>1200000</v>
      </c>
      <c r="T121">
        <v>350000</v>
      </c>
      <c r="U121">
        <v>300000</v>
      </c>
      <c r="V121">
        <v>300000</v>
      </c>
    </row>
    <row r="122" spans="1:22" s="33" customFormat="1" hidden="1" x14ac:dyDescent="0.35">
      <c r="A122" s="105" t="s">
        <v>92</v>
      </c>
      <c r="B122" s="105"/>
      <c r="C122" s="105"/>
      <c r="D122" s="105"/>
      <c r="E122" s="105"/>
      <c r="F122" s="119"/>
      <c r="G122" s="119"/>
      <c r="H122" s="119"/>
      <c r="R122"/>
      <c r="S122">
        <v>1300000</v>
      </c>
      <c r="T122">
        <v>400000</v>
      </c>
      <c r="U122">
        <v>350000</v>
      </c>
      <c r="V122" s="23">
        <v>400000</v>
      </c>
    </row>
    <row r="123" spans="1:22" s="33" customFormat="1" hidden="1" x14ac:dyDescent="0.35">
      <c r="A123" s="105" t="s">
        <v>93</v>
      </c>
      <c r="B123" s="105"/>
      <c r="C123" s="105"/>
      <c r="D123" s="105"/>
      <c r="E123" s="105"/>
      <c r="F123" s="119"/>
      <c r="G123" s="119"/>
      <c r="H123" s="119"/>
      <c r="R123"/>
      <c r="S123">
        <v>1400000</v>
      </c>
      <c r="T123">
        <v>500000</v>
      </c>
      <c r="U123">
        <v>400000</v>
      </c>
      <c r="V123"/>
    </row>
    <row r="124" spans="1:22" s="33" customFormat="1" hidden="1" x14ac:dyDescent="0.35">
      <c r="A124" s="105" t="s">
        <v>94</v>
      </c>
      <c r="B124" s="105"/>
      <c r="C124" s="105"/>
      <c r="D124" s="105"/>
      <c r="E124" s="105"/>
      <c r="F124" s="119"/>
      <c r="G124" s="119"/>
      <c r="H124" s="119"/>
      <c r="R124"/>
      <c r="S124">
        <v>1500000</v>
      </c>
      <c r="T124">
        <v>600000</v>
      </c>
      <c r="U124">
        <v>500000</v>
      </c>
      <c r="V124" s="23"/>
    </row>
    <row r="125" spans="1:22" s="33" customFormat="1" hidden="1" x14ac:dyDescent="0.35">
      <c r="A125" s="105" t="s">
        <v>95</v>
      </c>
      <c r="B125" s="105"/>
      <c r="C125" s="105"/>
      <c r="D125" s="105"/>
      <c r="E125" s="105"/>
      <c r="F125" s="119"/>
      <c r="G125" s="119"/>
      <c r="H125" s="119"/>
      <c r="R125"/>
      <c r="S125">
        <v>1600000</v>
      </c>
      <c r="T125">
        <v>700000</v>
      </c>
      <c r="U125">
        <v>600000</v>
      </c>
      <c r="V125"/>
    </row>
    <row r="126" spans="1:22" s="33" customFormat="1" hidden="1" x14ac:dyDescent="0.35">
      <c r="A126" s="105" t="s">
        <v>96</v>
      </c>
      <c r="B126" s="105"/>
      <c r="C126" s="105"/>
      <c r="D126" s="105"/>
      <c r="E126" s="105"/>
      <c r="F126" s="119"/>
      <c r="G126" s="119"/>
      <c r="H126" s="119"/>
      <c r="R126"/>
      <c r="S126">
        <v>1700000</v>
      </c>
      <c r="T126">
        <v>800000</v>
      </c>
      <c r="U126"/>
      <c r="V126" s="23"/>
    </row>
    <row r="127" spans="1:22" x14ac:dyDescent="0.35">
      <c r="A127" s="105" t="s">
        <v>49</v>
      </c>
      <c r="B127" s="105"/>
      <c r="C127" s="105"/>
      <c r="D127" s="105"/>
      <c r="E127" s="105"/>
      <c r="F127" s="119">
        <v>250000</v>
      </c>
      <c r="G127" s="119"/>
      <c r="H127" s="119"/>
      <c r="R127"/>
      <c r="S127">
        <v>1800000</v>
      </c>
      <c r="T127">
        <v>900000</v>
      </c>
      <c r="U127"/>
    </row>
    <row r="128" spans="1:22" s="34" customFormat="1" x14ac:dyDescent="0.35">
      <c r="A128" s="155" t="s">
        <v>50</v>
      </c>
      <c r="B128" s="155"/>
      <c r="C128" s="155"/>
      <c r="D128" s="155"/>
      <c r="E128" s="155"/>
      <c r="F128" s="119">
        <f>F117*0.8</f>
        <v>4640</v>
      </c>
      <c r="G128" s="119"/>
      <c r="H128" s="119"/>
      <c r="R128" s="21"/>
      <c r="S128" s="21"/>
      <c r="T128">
        <v>1000000</v>
      </c>
      <c r="U128"/>
      <c r="V128" s="21"/>
    </row>
    <row r="129" spans="1:22" s="35" customFormat="1" ht="15.75" customHeight="1" x14ac:dyDescent="0.35">
      <c r="A129" s="154" t="s">
        <v>71</v>
      </c>
      <c r="B129" s="154"/>
      <c r="C129" s="154"/>
      <c r="D129" s="154"/>
      <c r="E129" s="154"/>
      <c r="F129" s="154"/>
      <c r="G129" s="154"/>
      <c r="H129" s="154"/>
      <c r="R129"/>
      <c r="S129" s="21"/>
      <c r="T129"/>
      <c r="U129"/>
      <c r="V129" s="21"/>
    </row>
    <row r="130" spans="1:22" s="35" customFormat="1" ht="15.75" customHeight="1" x14ac:dyDescent="0.35">
      <c r="A130" s="121" t="s">
        <v>51</v>
      </c>
      <c r="B130" s="121"/>
      <c r="C130" s="126" t="s">
        <v>74</v>
      </c>
      <c r="D130" s="126"/>
      <c r="E130" s="125" t="s">
        <v>52</v>
      </c>
      <c r="F130" s="125"/>
      <c r="G130" s="121" t="s">
        <v>53</v>
      </c>
      <c r="H130" s="121"/>
      <c r="R130"/>
      <c r="S130" s="21"/>
      <c r="T130"/>
      <c r="U130" s="21"/>
      <c r="V130" s="21"/>
    </row>
    <row r="131" spans="1:22" s="35" customFormat="1" x14ac:dyDescent="0.35">
      <c r="A131" s="90" t="s">
        <v>367</v>
      </c>
      <c r="B131" s="46" t="s">
        <v>388</v>
      </c>
      <c r="C131" s="138">
        <f>COUNT(D146:D157)</f>
        <v>12</v>
      </c>
      <c r="D131" s="139"/>
      <c r="E131" s="138">
        <f t="shared" ref="E131" si="0">SUM(F146:F157)</f>
        <v>2760.2340479999998</v>
      </c>
      <c r="F131" s="139"/>
      <c r="G131" s="138">
        <f t="shared" ref="G131" si="1">SUM(H146:H157)</f>
        <v>4140.3510719999995</v>
      </c>
      <c r="H131" s="139"/>
      <c r="R131"/>
      <c r="S131" s="21"/>
      <c r="T131"/>
      <c r="U131" s="21"/>
      <c r="V131" s="21"/>
    </row>
    <row r="132" spans="1:22" s="35" customFormat="1" x14ac:dyDescent="0.35">
      <c r="A132" s="91"/>
      <c r="B132" s="46" t="s">
        <v>389</v>
      </c>
      <c r="C132" s="138">
        <f>COUNT(D159:D160)</f>
        <v>2</v>
      </c>
      <c r="D132" s="139"/>
      <c r="E132" s="138">
        <f t="shared" ref="E132" si="2">SUM(F159:F160)</f>
        <v>1031.9984999999999</v>
      </c>
      <c r="F132" s="139"/>
      <c r="G132" s="138">
        <f t="shared" ref="G132" si="3">SUM(H159:H160)</f>
        <v>1547.99775</v>
      </c>
      <c r="H132" s="139"/>
      <c r="R132"/>
      <c r="S132" s="21"/>
      <c r="T132"/>
      <c r="U132" s="21"/>
      <c r="V132" s="21"/>
    </row>
    <row r="133" spans="1:22" s="35" customFormat="1" x14ac:dyDescent="0.35">
      <c r="A133" s="154" t="s">
        <v>151</v>
      </c>
      <c r="B133" s="154"/>
      <c r="C133" s="221">
        <f>SUM(C131:D132)</f>
        <v>14</v>
      </c>
      <c r="D133" s="126"/>
      <c r="E133" s="221">
        <f t="shared" ref="E133" si="4">SUM(E131:F132)</f>
        <v>3792.232548</v>
      </c>
      <c r="F133" s="126"/>
      <c r="G133" s="221">
        <f t="shared" ref="G133" si="5">SUM(G131:H132)</f>
        <v>5688.3488219999999</v>
      </c>
      <c r="H133" s="126"/>
      <c r="R133"/>
      <c r="S133" s="21"/>
      <c r="T133"/>
      <c r="U133" s="21"/>
      <c r="V133" s="21"/>
    </row>
    <row r="134" spans="1:22" s="35" customFormat="1" x14ac:dyDescent="0.35">
      <c r="A134" s="154" t="s">
        <v>390</v>
      </c>
      <c r="B134" s="154"/>
      <c r="C134" s="154"/>
      <c r="D134" s="154"/>
      <c r="E134" s="154"/>
      <c r="F134" s="154"/>
      <c r="G134" s="154"/>
      <c r="H134" s="154"/>
      <c r="T134"/>
    </row>
    <row r="135" spans="1:22" s="35" customFormat="1" ht="15.75" customHeight="1" x14ac:dyDescent="0.35">
      <c r="A135" s="121" t="s">
        <v>51</v>
      </c>
      <c r="B135" s="121"/>
      <c r="C135" s="126" t="s">
        <v>74</v>
      </c>
      <c r="D135" s="126"/>
      <c r="E135" s="125" t="s">
        <v>52</v>
      </c>
      <c r="F135" s="125"/>
      <c r="G135" s="121" t="s">
        <v>53</v>
      </c>
      <c r="H135" s="121"/>
      <c r="T135"/>
    </row>
    <row r="136" spans="1:22" s="35" customFormat="1" x14ac:dyDescent="0.35">
      <c r="A136" s="156" t="s">
        <v>367</v>
      </c>
      <c r="B136" s="156"/>
      <c r="C136" s="138">
        <f>COUNT(D167,D170:D173)+COUNT(D175:D182)*15+COUNT(D184:D191)*3+COUNT(D193:D200)</f>
        <v>157</v>
      </c>
      <c r="D136" s="138"/>
      <c r="E136" s="138">
        <f t="shared" ref="E136" si="6">SUM(F167,F170:F173)+SUM(F175:F182)*15+SUM(F184:F191)*3+SUM(F193:F200)</f>
        <v>77669.557991999987</v>
      </c>
      <c r="F136" s="138"/>
      <c r="G136" s="138">
        <f t="shared" ref="G136" si="7">SUM(H167,H170:H173)+SUM(H175:H182)*15+SUM(H184:H191)*3+SUM(H193:H200)</f>
        <v>112620.85908839999</v>
      </c>
      <c r="H136" s="138"/>
      <c r="T136"/>
    </row>
    <row r="137" spans="1:22" s="35" customFormat="1" x14ac:dyDescent="0.35">
      <c r="A137" s="156" t="s">
        <v>381</v>
      </c>
      <c r="B137" s="156"/>
      <c r="C137" s="138">
        <f>COUNT(D204:D210)+COUNT(D212:D218)*15+COUNT(D220:D225)*3</f>
        <v>130</v>
      </c>
      <c r="D137" s="138"/>
      <c r="E137" s="138">
        <f t="shared" ref="E137" si="8">SUM(F204:F210)+SUM(F212:F218)*15+SUM(F220:F225)*3</f>
        <v>51055.643339999995</v>
      </c>
      <c r="F137" s="138"/>
      <c r="G137" s="138">
        <f t="shared" ref="G137" si="9">SUM(H204:H210)+SUM(H212:H218)*15+SUM(H220:H225)*3</f>
        <v>74030.682842999988</v>
      </c>
      <c r="H137" s="138"/>
      <c r="T137"/>
    </row>
    <row r="138" spans="1:22" s="35" customFormat="1" ht="16" thickBot="1" x14ac:dyDescent="0.4">
      <c r="A138" s="220" t="s">
        <v>151</v>
      </c>
      <c r="B138" s="220"/>
      <c r="C138" s="140">
        <f>SUM(C136:D137)</f>
        <v>287</v>
      </c>
      <c r="D138" s="141"/>
      <c r="E138" s="140">
        <f t="shared" ref="E138" si="10">SUM(E136:F137)</f>
        <v>128725.20133199998</v>
      </c>
      <c r="F138" s="141"/>
      <c r="G138" s="140">
        <f t="shared" ref="G138" si="11">SUM(G136:H137)</f>
        <v>186651.54193139996</v>
      </c>
      <c r="H138" s="141"/>
      <c r="T138"/>
    </row>
    <row r="139" spans="1:22" s="35" customFormat="1" ht="16" thickBot="1" x14ac:dyDescent="0.4">
      <c r="A139" s="148" t="s">
        <v>168</v>
      </c>
      <c r="B139" s="149"/>
      <c r="C139" s="150">
        <f>C133+C138</f>
        <v>301</v>
      </c>
      <c r="D139" s="150"/>
      <c r="E139" s="151">
        <f>E133+E138</f>
        <v>132517.43387999997</v>
      </c>
      <c r="F139" s="151"/>
      <c r="G139" s="206">
        <f>G133+G138</f>
        <v>192339.89075339996</v>
      </c>
      <c r="H139" s="207"/>
      <c r="T139"/>
    </row>
    <row r="140" spans="1:22" s="34" customFormat="1" x14ac:dyDescent="0.35">
      <c r="A140" s="134" t="s">
        <v>54</v>
      </c>
      <c r="B140" s="134"/>
      <c r="C140" s="134"/>
      <c r="D140" s="134"/>
      <c r="E140" s="134"/>
      <c r="F140" s="134"/>
      <c r="G140" s="134"/>
      <c r="H140" s="134"/>
      <c r="T140" s="35"/>
    </row>
    <row r="141" spans="1:22" x14ac:dyDescent="0.35">
      <c r="A141" s="120" t="s">
        <v>176</v>
      </c>
      <c r="B141" s="120"/>
      <c r="C141" s="120"/>
      <c r="D141" s="120"/>
      <c r="E141" s="120"/>
      <c r="F141" s="120"/>
      <c r="G141" s="120"/>
      <c r="H141" s="120"/>
      <c r="T141" s="35"/>
    </row>
    <row r="142" spans="1:22" ht="47.25" customHeight="1" x14ac:dyDescent="0.35">
      <c r="A142" s="202" t="s">
        <v>118</v>
      </c>
      <c r="B142" s="202" t="s">
        <v>178</v>
      </c>
      <c r="C142" s="136" t="s">
        <v>55</v>
      </c>
      <c r="D142" s="136" t="s">
        <v>235</v>
      </c>
      <c r="E142" s="204" t="s">
        <v>157</v>
      </c>
      <c r="F142" s="136" t="s">
        <v>56</v>
      </c>
      <c r="G142" s="204" t="s">
        <v>57</v>
      </c>
      <c r="H142" s="83" t="s">
        <v>149</v>
      </c>
      <c r="T142" s="35"/>
    </row>
    <row r="143" spans="1:22" s="37" customFormat="1" x14ac:dyDescent="0.35">
      <c r="A143" s="203"/>
      <c r="B143" s="203"/>
      <c r="C143" s="137"/>
      <c r="D143" s="137"/>
      <c r="E143" s="205"/>
      <c r="F143" s="137"/>
      <c r="G143" s="205"/>
      <c r="H143" s="84">
        <v>0.5</v>
      </c>
      <c r="K143" s="79">
        <f>10.764</f>
        <v>10.763999999999999</v>
      </c>
      <c r="T143" s="35"/>
    </row>
    <row r="144" spans="1:22" s="37" customFormat="1" x14ac:dyDescent="0.35">
      <c r="A144" s="92" t="s">
        <v>367</v>
      </c>
      <c r="B144" s="93"/>
      <c r="C144" s="93"/>
      <c r="D144" s="93"/>
      <c r="E144" s="93"/>
      <c r="F144" s="93"/>
      <c r="G144" s="93"/>
      <c r="H144" s="94"/>
      <c r="J144" s="36"/>
      <c r="T144" s="35"/>
    </row>
    <row r="145" spans="1:20" s="37" customFormat="1" x14ac:dyDescent="0.35">
      <c r="A145" s="92" t="s">
        <v>368</v>
      </c>
      <c r="B145" s="93"/>
      <c r="C145" s="93"/>
      <c r="D145" s="93"/>
      <c r="E145" s="93"/>
      <c r="F145" s="93"/>
      <c r="G145" s="93"/>
      <c r="H145" s="94"/>
      <c r="J145" s="36"/>
      <c r="T145" s="35"/>
    </row>
    <row r="146" spans="1:20" s="37" customFormat="1" ht="15.75" customHeight="1" x14ac:dyDescent="0.35">
      <c r="A146" s="87">
        <v>1</v>
      </c>
      <c r="B146" s="88"/>
      <c r="C146" s="42" t="s">
        <v>369</v>
      </c>
      <c r="D146" s="79">
        <f>(25.717)*(10.764)</f>
        <v>276.81778799999995</v>
      </c>
      <c r="E146" s="42">
        <v>0</v>
      </c>
      <c r="F146" s="42">
        <f>D146+(IF(E146&lt;201,E146,IF(E146&lt;301,E146/2,E146/3)))</f>
        <v>276.81778799999995</v>
      </c>
      <c r="G146" s="42">
        <v>0</v>
      </c>
      <c r="H146" s="42">
        <f>(F146+(IF(G146&lt;101,G146,IF(G146&lt;201,G146/2,IF(G146&lt;=301,G146/3,G146/4)))))*(($H$143)+1)</f>
        <v>415.22668199999993</v>
      </c>
      <c r="I146" s="36"/>
      <c r="L146" s="97"/>
      <c r="M146" s="97"/>
      <c r="N146" s="36"/>
      <c r="T146" s="35"/>
    </row>
    <row r="147" spans="1:20" s="37" customFormat="1" ht="15.75" customHeight="1" x14ac:dyDescent="0.35">
      <c r="A147" s="87">
        <f t="shared" ref="A147:A157" si="12">A146+1</f>
        <v>2</v>
      </c>
      <c r="B147" s="88"/>
      <c r="C147" s="42" t="s">
        <v>369</v>
      </c>
      <c r="D147" s="79">
        <f>(14.455)*(10.764)</f>
        <v>155.59361999999999</v>
      </c>
      <c r="E147" s="42">
        <v>0</v>
      </c>
      <c r="F147" s="42">
        <f t="shared" ref="F147:F149" si="13">D147+(IF(E147&lt;201,E147,IF(E147&lt;301,E147/2,E147/3)))</f>
        <v>155.59361999999999</v>
      </c>
      <c r="G147" s="42">
        <v>0</v>
      </c>
      <c r="H147" s="42">
        <f t="shared" ref="H147:H149" si="14">(F147+(IF(G147&lt;101,G147,IF(G147&lt;201,G147/2,IF(G147&lt;=301,G147/3,G147/4)))))*(($H$143)+1)</f>
        <v>233.39042999999998</v>
      </c>
      <c r="I147" s="36">
        <f>2*7.1</f>
        <v>14.2</v>
      </c>
      <c r="L147" s="97"/>
      <c r="M147" s="97"/>
      <c r="N147" s="36"/>
      <c r="T147" s="34"/>
    </row>
    <row r="148" spans="1:20" s="37" customFormat="1" ht="15.75" customHeight="1" x14ac:dyDescent="0.35">
      <c r="A148" s="87">
        <f t="shared" si="12"/>
        <v>3</v>
      </c>
      <c r="B148" s="88"/>
      <c r="C148" s="42" t="s">
        <v>369</v>
      </c>
      <c r="D148" s="79">
        <f>(19.06)*(10.764)</f>
        <v>205.16183999999998</v>
      </c>
      <c r="E148" s="42">
        <v>0</v>
      </c>
      <c r="F148" s="42">
        <f t="shared" si="13"/>
        <v>205.16183999999998</v>
      </c>
      <c r="G148" s="42">
        <v>0</v>
      </c>
      <c r="H148" s="42">
        <f t="shared" si="14"/>
        <v>307.74275999999998</v>
      </c>
      <c r="I148" s="36"/>
      <c r="L148" s="97"/>
      <c r="M148" s="97"/>
      <c r="N148" s="36"/>
      <c r="T148" s="21"/>
    </row>
    <row r="149" spans="1:20" s="37" customFormat="1" ht="15.75" customHeight="1" x14ac:dyDescent="0.35">
      <c r="A149" s="87">
        <f t="shared" si="12"/>
        <v>4</v>
      </c>
      <c r="B149" s="88"/>
      <c r="C149" s="42" t="s">
        <v>369</v>
      </c>
      <c r="D149" s="79">
        <f>(40.83)*(10.764)</f>
        <v>439.49411999999995</v>
      </c>
      <c r="E149" s="42">
        <v>0</v>
      </c>
      <c r="F149" s="42">
        <f t="shared" si="13"/>
        <v>439.49411999999995</v>
      </c>
      <c r="G149" s="42">
        <v>0</v>
      </c>
      <c r="H149" s="42">
        <f t="shared" si="14"/>
        <v>659.24117999999999</v>
      </c>
      <c r="I149" s="36"/>
      <c r="L149" s="97"/>
      <c r="M149" s="97"/>
      <c r="N149" s="36"/>
      <c r="T149" s="21"/>
    </row>
    <row r="150" spans="1:20" s="37" customFormat="1" ht="15.75" customHeight="1" x14ac:dyDescent="0.35">
      <c r="A150" s="87">
        <f t="shared" si="12"/>
        <v>5</v>
      </c>
      <c r="B150" s="88"/>
      <c r="C150" s="42" t="s">
        <v>369</v>
      </c>
      <c r="D150" s="79">
        <f>(19.065)*(10.764)</f>
        <v>205.21566000000001</v>
      </c>
      <c r="E150" s="42">
        <v>0</v>
      </c>
      <c r="F150" s="42">
        <f t="shared" ref="F150:F154" si="15">D150+(IF(E150&lt;201,E150,IF(E150&lt;301,E150/2,E150/3)))</f>
        <v>205.21566000000001</v>
      </c>
      <c r="G150" s="42">
        <v>0</v>
      </c>
      <c r="H150" s="42">
        <f t="shared" ref="H150:H154" si="16">(F150+(IF(G150&lt;101,G150,IF(G150&lt;201,G150/2,IF(G150&lt;=301,G150/3,G150/4)))))*(($H$143)+1)</f>
        <v>307.82348999999999</v>
      </c>
      <c r="I150" s="36"/>
      <c r="L150" s="97"/>
      <c r="M150" s="97"/>
      <c r="N150" s="36"/>
      <c r="T150" s="34"/>
    </row>
    <row r="151" spans="1:20" s="37" customFormat="1" ht="15.75" customHeight="1" x14ac:dyDescent="0.35">
      <c r="A151" s="87">
        <f t="shared" si="12"/>
        <v>6</v>
      </c>
      <c r="B151" s="88"/>
      <c r="C151" s="42" t="s">
        <v>369</v>
      </c>
      <c r="D151" s="79">
        <f>(19.08)*(10.764)</f>
        <v>205.37711999999996</v>
      </c>
      <c r="E151" s="42">
        <v>0</v>
      </c>
      <c r="F151" s="42">
        <f t="shared" si="15"/>
        <v>205.37711999999996</v>
      </c>
      <c r="G151" s="42">
        <v>0</v>
      </c>
      <c r="H151" s="42">
        <f t="shared" si="16"/>
        <v>308.06567999999993</v>
      </c>
      <c r="I151" s="36"/>
      <c r="L151" s="97"/>
      <c r="M151" s="97"/>
      <c r="N151" s="36"/>
      <c r="T151" s="21"/>
    </row>
    <row r="152" spans="1:20" s="37" customFormat="1" ht="15.75" customHeight="1" x14ac:dyDescent="0.35">
      <c r="A152" s="87">
        <f t="shared" si="12"/>
        <v>7</v>
      </c>
      <c r="B152" s="88"/>
      <c r="C152" s="42" t="s">
        <v>369</v>
      </c>
      <c r="D152" s="79">
        <f>(11.655)*(10.764)</f>
        <v>125.45441999999998</v>
      </c>
      <c r="E152" s="42">
        <v>0</v>
      </c>
      <c r="F152" s="42">
        <f t="shared" si="15"/>
        <v>125.45441999999998</v>
      </c>
      <c r="G152" s="42">
        <v>0</v>
      </c>
      <c r="H152" s="42">
        <f t="shared" si="16"/>
        <v>188.18162999999998</v>
      </c>
      <c r="I152" s="36"/>
      <c r="L152" s="97"/>
      <c r="M152" s="97"/>
      <c r="N152" s="36"/>
      <c r="T152" s="21"/>
    </row>
    <row r="153" spans="1:20" s="37" customFormat="1" ht="15.75" customHeight="1" x14ac:dyDescent="0.35">
      <c r="A153" s="87">
        <f t="shared" si="12"/>
        <v>8</v>
      </c>
      <c r="B153" s="88"/>
      <c r="C153" s="42" t="s">
        <v>369</v>
      </c>
      <c r="D153" s="79">
        <f>(11.225)*(10.764)</f>
        <v>120.82589999999999</v>
      </c>
      <c r="E153" s="42">
        <v>0</v>
      </c>
      <c r="F153" s="42">
        <f t="shared" si="15"/>
        <v>120.82589999999999</v>
      </c>
      <c r="G153" s="42">
        <v>0</v>
      </c>
      <c r="H153" s="42">
        <f t="shared" si="16"/>
        <v>181.23884999999999</v>
      </c>
      <c r="I153" s="36"/>
      <c r="L153" s="97"/>
      <c r="M153" s="97"/>
      <c r="N153" s="36"/>
      <c r="T153" s="21"/>
    </row>
    <row r="154" spans="1:20" s="37" customFormat="1" ht="15.75" customHeight="1" x14ac:dyDescent="0.35">
      <c r="A154" s="87">
        <f t="shared" si="12"/>
        <v>9</v>
      </c>
      <c r="B154" s="88"/>
      <c r="C154" s="42" t="s">
        <v>369</v>
      </c>
      <c r="D154" s="79">
        <f>(19.08)*(10.764)</f>
        <v>205.37711999999996</v>
      </c>
      <c r="E154" s="42">
        <v>0</v>
      </c>
      <c r="F154" s="42">
        <f t="shared" si="15"/>
        <v>205.37711999999996</v>
      </c>
      <c r="G154" s="42">
        <v>0</v>
      </c>
      <c r="H154" s="42">
        <f t="shared" si="16"/>
        <v>308.06567999999993</v>
      </c>
      <c r="I154" s="36">
        <f>2.6*7.2</f>
        <v>18.720000000000002</v>
      </c>
      <c r="L154" s="97"/>
      <c r="M154" s="97"/>
      <c r="N154" s="36"/>
      <c r="T154" s="21"/>
    </row>
    <row r="155" spans="1:20" s="37" customFormat="1" ht="15.75" customHeight="1" x14ac:dyDescent="0.35">
      <c r="A155" s="87">
        <f t="shared" si="12"/>
        <v>10</v>
      </c>
      <c r="B155" s="88"/>
      <c r="C155" s="42" t="s">
        <v>369</v>
      </c>
      <c r="D155" s="79">
        <f>(17.823)*(10.764)</f>
        <v>191.84677199999999</v>
      </c>
      <c r="E155" s="42">
        <v>0</v>
      </c>
      <c r="F155" s="42">
        <f t="shared" ref="F155:F157" si="17">D155+(IF(E155&lt;201,E155,IF(E155&lt;301,E155/2,E155/3)))</f>
        <v>191.84677199999999</v>
      </c>
      <c r="G155" s="42">
        <v>0</v>
      </c>
      <c r="H155" s="42">
        <f t="shared" ref="H155:H157" si="18">(F155+(IF(G155&lt;101,G155,IF(G155&lt;201,G155/2,IF(G155&lt;=301,G155/3,G155/4)))))*(($H$143)+1)</f>
        <v>287.77015799999998</v>
      </c>
      <c r="I155" s="36"/>
      <c r="L155" s="97"/>
      <c r="M155" s="97"/>
      <c r="N155" s="36"/>
      <c r="T155" s="34"/>
    </row>
    <row r="156" spans="1:20" s="37" customFormat="1" ht="15.75" customHeight="1" x14ac:dyDescent="0.35">
      <c r="A156" s="87">
        <f t="shared" si="12"/>
        <v>11</v>
      </c>
      <c r="B156" s="88"/>
      <c r="C156" s="42" t="s">
        <v>369</v>
      </c>
      <c r="D156" s="79">
        <f>(15.772)*(10.764)</f>
        <v>169.76980799999998</v>
      </c>
      <c r="E156" s="42">
        <v>0</v>
      </c>
      <c r="F156" s="42">
        <f t="shared" si="17"/>
        <v>169.76980799999998</v>
      </c>
      <c r="G156" s="42">
        <v>0</v>
      </c>
      <c r="H156" s="42">
        <f t="shared" si="18"/>
        <v>254.65471199999996</v>
      </c>
      <c r="I156" s="36"/>
      <c r="L156" s="97"/>
      <c r="M156" s="97"/>
      <c r="N156" s="36"/>
      <c r="T156" s="21"/>
    </row>
    <row r="157" spans="1:20" s="37" customFormat="1" ht="15.75" customHeight="1" x14ac:dyDescent="0.35">
      <c r="A157" s="87">
        <f t="shared" si="12"/>
        <v>12</v>
      </c>
      <c r="B157" s="88"/>
      <c r="C157" s="42" t="s">
        <v>369</v>
      </c>
      <c r="D157" s="79">
        <f>(42.67)*(10.764)</f>
        <v>459.29987999999997</v>
      </c>
      <c r="E157" s="42">
        <v>0</v>
      </c>
      <c r="F157" s="42">
        <f t="shared" si="17"/>
        <v>459.29987999999997</v>
      </c>
      <c r="G157" s="42">
        <v>0</v>
      </c>
      <c r="H157" s="42">
        <f t="shared" si="18"/>
        <v>688.94981999999993</v>
      </c>
      <c r="I157" s="36"/>
      <c r="L157" s="97"/>
      <c r="M157" s="97"/>
      <c r="N157" s="36"/>
      <c r="T157" s="21"/>
    </row>
    <row r="158" spans="1:20" s="37" customFormat="1" x14ac:dyDescent="0.35">
      <c r="A158" s="92" t="s">
        <v>370</v>
      </c>
      <c r="B158" s="93"/>
      <c r="C158" s="93"/>
      <c r="D158" s="93"/>
      <c r="E158" s="93"/>
      <c r="F158" s="93"/>
      <c r="G158" s="93"/>
      <c r="H158" s="94"/>
      <c r="J158" s="36"/>
      <c r="T158" s="35"/>
    </row>
    <row r="159" spans="1:20" s="37" customFormat="1" ht="15.75" customHeight="1" x14ac:dyDescent="0.35">
      <c r="A159" s="87">
        <v>1</v>
      </c>
      <c r="B159" s="88"/>
      <c r="C159" s="42" t="s">
        <v>371</v>
      </c>
      <c r="D159" s="79">
        <f>(58.435)*(10.764)</f>
        <v>628.99433999999997</v>
      </c>
      <c r="E159" s="42">
        <v>0</v>
      </c>
      <c r="F159" s="42">
        <f>D159+(IF(E159&lt;201,E159,IF(E159&lt;301,E159/2,E159/3)))</f>
        <v>628.99433999999997</v>
      </c>
      <c r="G159" s="42">
        <v>0</v>
      </c>
      <c r="H159" s="42">
        <f>(F159+(IF(G159&lt;101,G159,IF(G159&lt;201,G159/2,IF(G159&lt;=301,G159/3,G159/4)))))*(($H$143)+1)</f>
        <v>943.49150999999995</v>
      </c>
      <c r="I159" s="36">
        <f>8.05*6.35+0.3*5.1+3.45*1.5</f>
        <v>57.822500000000005</v>
      </c>
      <c r="L159" s="97"/>
      <c r="M159" s="97"/>
      <c r="N159" s="36"/>
      <c r="T159" s="35"/>
    </row>
    <row r="160" spans="1:20" s="37" customFormat="1" ht="15.75" customHeight="1" x14ac:dyDescent="0.35">
      <c r="A160" s="87">
        <f>A159+1</f>
        <v>2</v>
      </c>
      <c r="B160" s="88"/>
      <c r="C160" s="42" t="s">
        <v>371</v>
      </c>
      <c r="D160" s="79">
        <f>(37.44)*(10.764)</f>
        <v>403.00415999999996</v>
      </c>
      <c r="E160" s="42">
        <v>0</v>
      </c>
      <c r="F160" s="42">
        <f t="shared" ref="F160" si="19">D160+(IF(E160&lt;201,E160,IF(E160&lt;301,E160/2,E160/3)))</f>
        <v>403.00415999999996</v>
      </c>
      <c r="G160" s="42">
        <v>0</v>
      </c>
      <c r="H160" s="42">
        <f t="shared" ref="H160" si="20">(F160+(IF(G160&lt;101,G160,IF(G160&lt;201,G160/2,IF(G160&lt;=301,G160/3,G160/4)))))*(($H$143)+1)</f>
        <v>604.50623999999993</v>
      </c>
      <c r="I160" s="76"/>
      <c r="L160" s="97"/>
      <c r="M160" s="97"/>
      <c r="N160" s="36"/>
      <c r="T160" s="34"/>
    </row>
    <row r="161" spans="1:20" s="37" customFormat="1" x14ac:dyDescent="0.35">
      <c r="A161" s="87"/>
      <c r="B161" s="89"/>
      <c r="C161" s="89"/>
      <c r="D161" s="89"/>
      <c r="E161" s="89"/>
      <c r="F161" s="89"/>
      <c r="G161" s="89"/>
      <c r="H161" s="88"/>
      <c r="I161" s="36"/>
      <c r="N161" s="36"/>
    </row>
    <row r="162" spans="1:20" ht="47.25" customHeight="1" x14ac:dyDescent="0.35">
      <c r="A162" s="164" t="s">
        <v>119</v>
      </c>
      <c r="B162" s="202" t="s">
        <v>179</v>
      </c>
      <c r="C162" s="136" t="s">
        <v>55</v>
      </c>
      <c r="D162" s="136" t="s">
        <v>235</v>
      </c>
      <c r="E162" s="136" t="s">
        <v>234</v>
      </c>
      <c r="F162" s="136" t="s">
        <v>56</v>
      </c>
      <c r="G162" s="204" t="s">
        <v>57</v>
      </c>
      <c r="H162" s="83" t="s">
        <v>149</v>
      </c>
      <c r="I162" s="36"/>
      <c r="T162" s="37"/>
    </row>
    <row r="163" spans="1:20" s="37" customFormat="1" x14ac:dyDescent="0.35">
      <c r="A163" s="165"/>
      <c r="B163" s="203"/>
      <c r="C163" s="137"/>
      <c r="D163" s="137"/>
      <c r="E163" s="137"/>
      <c r="F163" s="137"/>
      <c r="G163" s="205"/>
      <c r="H163" s="84">
        <v>0.45</v>
      </c>
      <c r="I163" s="36"/>
    </row>
    <row r="164" spans="1:20" s="37" customFormat="1" x14ac:dyDescent="0.35">
      <c r="A164" s="92" t="s">
        <v>367</v>
      </c>
      <c r="B164" s="93"/>
      <c r="C164" s="93"/>
      <c r="D164" s="93"/>
      <c r="E164" s="93"/>
      <c r="F164" s="93"/>
      <c r="G164" s="93"/>
      <c r="H164" s="94"/>
      <c r="J164" s="36"/>
      <c r="T164" s="35"/>
    </row>
    <row r="165" spans="1:20" s="37" customFormat="1" x14ac:dyDescent="0.35">
      <c r="A165" s="96" t="s">
        <v>372</v>
      </c>
      <c r="B165" s="96"/>
      <c r="C165" s="96"/>
      <c r="D165" s="96"/>
      <c r="E165" s="96"/>
      <c r="F165" s="96"/>
      <c r="G165" s="96"/>
      <c r="H165" s="96"/>
      <c r="I165" s="36"/>
      <c r="L165" s="97"/>
      <c r="M165" s="97"/>
    </row>
    <row r="166" spans="1:20" s="37" customFormat="1" x14ac:dyDescent="0.35">
      <c r="A166" s="87">
        <v>1</v>
      </c>
      <c r="B166" s="88"/>
      <c r="C166" s="87" t="s">
        <v>373</v>
      </c>
      <c r="D166" s="89"/>
      <c r="E166" s="89"/>
      <c r="F166" s="89"/>
      <c r="G166" s="89"/>
      <c r="H166" s="88"/>
      <c r="I166" s="36"/>
      <c r="N166" s="36"/>
    </row>
    <row r="167" spans="1:20" s="37" customFormat="1" x14ac:dyDescent="0.35">
      <c r="A167" s="87">
        <v>2</v>
      </c>
      <c r="B167" s="88"/>
      <c r="C167" s="42" t="s">
        <v>375</v>
      </c>
      <c r="D167" s="79">
        <f>(36.54)*(10.764)</f>
        <v>393.31655999999998</v>
      </c>
      <c r="E167" s="79">
        <f>(0.7*(3.25+2.6+2.6)+0.85*1.85+1*3.25)*(10.764)</f>
        <v>115.57844999999998</v>
      </c>
      <c r="F167" s="42">
        <f>D167+E167</f>
        <v>508.89500999999996</v>
      </c>
      <c r="G167" s="42">
        <v>0</v>
      </c>
      <c r="H167" s="42">
        <f>F167*(($H$163)+1)+(IF(G167&lt;101,G167,IF(G167&lt;201,G167/2,IF(G167&lt;=301,G167/3,G167/4))))</f>
        <v>737.89776449999988</v>
      </c>
      <c r="I167" s="36">
        <f>(4.25*2.6+2.6*1.85+2.6*2.6+2.85*3.25+1.85*1.05+1.05*1.85+1.35*0.45)</f>
        <v>36.375000000000007</v>
      </c>
      <c r="N167" s="36"/>
    </row>
    <row r="168" spans="1:20" s="37" customFormat="1" x14ac:dyDescent="0.35">
      <c r="A168" s="87">
        <v>3</v>
      </c>
      <c r="B168" s="88"/>
      <c r="C168" s="98" t="s">
        <v>374</v>
      </c>
      <c r="D168" s="99"/>
      <c r="E168" s="99"/>
      <c r="F168" s="99"/>
      <c r="G168" s="99"/>
      <c r="H168" s="100"/>
      <c r="I168" s="36"/>
      <c r="N168" s="36"/>
    </row>
    <row r="169" spans="1:20" s="37" customFormat="1" x14ac:dyDescent="0.35">
      <c r="A169" s="87">
        <v>4</v>
      </c>
      <c r="B169" s="88"/>
      <c r="C169" s="101"/>
      <c r="D169" s="102"/>
      <c r="E169" s="102"/>
      <c r="F169" s="102"/>
      <c r="G169" s="102"/>
      <c r="H169" s="103"/>
      <c r="I169" s="36"/>
      <c r="N169" s="36"/>
    </row>
    <row r="170" spans="1:20" s="37" customFormat="1" x14ac:dyDescent="0.35">
      <c r="A170" s="87">
        <v>5</v>
      </c>
      <c r="B170" s="88"/>
      <c r="C170" s="42" t="s">
        <v>376</v>
      </c>
      <c r="D170" s="79">
        <f>(28.11)*(10.764)</f>
        <v>302.57603999999998</v>
      </c>
      <c r="E170" s="79">
        <f>(0.6*(2.6+2.45)+0.75*1.8)*(10.764)</f>
        <v>47.146320000000003</v>
      </c>
      <c r="F170" s="42">
        <f>D170+E170</f>
        <v>349.72235999999998</v>
      </c>
      <c r="G170" s="42">
        <v>0</v>
      </c>
      <c r="H170" s="42">
        <f>F170*(($H$163)+1)+(IF(G170&lt;101,G170,IF(G170&lt;201,G170/2,IF(G170&lt;=301,G170/3,G170/4))))</f>
        <v>507.09742199999994</v>
      </c>
      <c r="I170" s="36"/>
      <c r="N170" s="36"/>
    </row>
    <row r="171" spans="1:20" s="37" customFormat="1" x14ac:dyDescent="0.35">
      <c r="A171" s="87">
        <v>6</v>
      </c>
      <c r="B171" s="88"/>
      <c r="C171" s="42" t="s">
        <v>377</v>
      </c>
      <c r="D171" s="79">
        <f>(45.12)*(10.764)</f>
        <v>485.67167999999992</v>
      </c>
      <c r="E171" s="79">
        <f>(0.6*(5.5+2.45)+2.75*1.75+1.85*0.75)*(10.764)</f>
        <v>118.08107999999999</v>
      </c>
      <c r="F171" s="42">
        <f>D171+E171</f>
        <v>603.75275999999985</v>
      </c>
      <c r="G171" s="42">
        <v>0</v>
      </c>
      <c r="H171" s="42">
        <f>F171*(($H$163)+1)+(IF(G171&lt;101,G171,IF(G171&lt;201,G171/2,IF(G171&lt;=301,G171/3,G171/4))))</f>
        <v>875.44150199999979</v>
      </c>
      <c r="I171" s="36"/>
      <c r="N171" s="36"/>
    </row>
    <row r="172" spans="1:20" s="37" customFormat="1" x14ac:dyDescent="0.35">
      <c r="A172" s="87">
        <v>7</v>
      </c>
      <c r="B172" s="88"/>
      <c r="C172" s="42" t="s">
        <v>377</v>
      </c>
      <c r="D172" s="79">
        <f>(44.593)*(10.764)</f>
        <v>479.99905200000001</v>
      </c>
      <c r="E172" s="79">
        <f>0*(10.764)</f>
        <v>0</v>
      </c>
      <c r="F172" s="42">
        <f>D172+E172</f>
        <v>479.99905200000001</v>
      </c>
      <c r="G172" s="42">
        <v>0</v>
      </c>
      <c r="H172" s="42">
        <f>F172*(($H$163)+1)+(IF(G172&lt;101,G172,IF(G172&lt;201,G172/2,IF(G172&lt;=301,G172/3,G172/4))))</f>
        <v>695.99862540000004</v>
      </c>
      <c r="I172" s="36">
        <f>(2.6*4.3+1.85*2.9+2.6*2.9+2.9*2.6+2.45*2.75+1.85*1.15+1.85*1.2+1.1*0.85)</f>
        <v>43.644999999999996</v>
      </c>
      <c r="N172" s="36"/>
    </row>
    <row r="173" spans="1:20" s="37" customFormat="1" x14ac:dyDescent="0.35">
      <c r="A173" s="87">
        <v>8</v>
      </c>
      <c r="B173" s="88"/>
      <c r="C173" s="42" t="s">
        <v>375</v>
      </c>
      <c r="D173" s="79">
        <f>(36.67)*(10.764)</f>
        <v>394.71587999999997</v>
      </c>
      <c r="E173" s="79">
        <f>(2.6*1.7)*(10.764)</f>
        <v>47.576879999999996</v>
      </c>
      <c r="F173" s="42">
        <f>D173+E173</f>
        <v>442.29275999999999</v>
      </c>
      <c r="G173" s="42">
        <v>0</v>
      </c>
      <c r="H173" s="42">
        <f>F173*(($H$163)+1)+(IF(G173&lt;101,G173,IF(G173&lt;201,G173/2,IF(G173&lt;=301,G173/3,G173/4))))</f>
        <v>641.32450199999994</v>
      </c>
      <c r="I173" s="36"/>
      <c r="N173" s="36"/>
    </row>
    <row r="174" spans="1:20" s="37" customFormat="1" ht="15.75" customHeight="1" x14ac:dyDescent="0.35">
      <c r="A174" s="92" t="s">
        <v>378</v>
      </c>
      <c r="B174" s="93"/>
      <c r="C174" s="93"/>
      <c r="D174" s="93"/>
      <c r="E174" s="93"/>
      <c r="F174" s="93"/>
      <c r="G174" s="93"/>
      <c r="H174" s="94"/>
      <c r="I174" s="36"/>
    </row>
    <row r="175" spans="1:20" s="37" customFormat="1" ht="15.75" customHeight="1" x14ac:dyDescent="0.35">
      <c r="A175" s="87">
        <v>1</v>
      </c>
      <c r="B175" s="88"/>
      <c r="C175" s="42" t="s">
        <v>376</v>
      </c>
      <c r="D175" s="79">
        <f>(27.49)*(10.764)</f>
        <v>295.90235999999999</v>
      </c>
      <c r="E175" s="79">
        <f>(0.6*(2.6+2.6)+1.75*2.6+0.8*1.85+1.05*2.6)*(10.764)</f>
        <v>127.87632000000001</v>
      </c>
      <c r="F175" s="42">
        <f t="shared" ref="F175:F182" si="21">D175+E175</f>
        <v>423.77868000000001</v>
      </c>
      <c r="G175" s="42">
        <v>0</v>
      </c>
      <c r="H175" s="42">
        <f t="shared" ref="H175:H182" si="22">F175*(($H$163)+1)+(IF(G175&lt;101,G175,IF(G175&lt;201,G175/2,IF(G175&lt;=301,G175/3,G175/4))))</f>
        <v>614.47908599999994</v>
      </c>
      <c r="I175" s="36">
        <f>(3.6*2.6+3.35*1.85+2.3*2.6+1.85*1.05+1.05*1.85)</f>
        <v>25.422499999999999</v>
      </c>
      <c r="J175" s="37">
        <f>2.6*3.2+2.6+1.85+2.5*2.75+1.85*1.02+1.5*1.7+1.05*1</f>
        <v>25.132000000000001</v>
      </c>
    </row>
    <row r="176" spans="1:20" s="37" customFormat="1" ht="15.75" customHeight="1" x14ac:dyDescent="0.35">
      <c r="A176" s="87">
        <v>2</v>
      </c>
      <c r="B176" s="88"/>
      <c r="C176" s="42" t="s">
        <v>376</v>
      </c>
      <c r="D176" s="79">
        <f>(26.03)*(10.764)</f>
        <v>280.18691999999999</v>
      </c>
      <c r="E176" s="79">
        <f>(0.6*(2.6+2.6)+0.8*1.85+1.05*2.6)*(10.764)</f>
        <v>78.900120000000001</v>
      </c>
      <c r="F176" s="42">
        <f t="shared" si="21"/>
        <v>359.08704</v>
      </c>
      <c r="G176" s="42">
        <v>0</v>
      </c>
      <c r="H176" s="42">
        <f t="shared" si="22"/>
        <v>520.67620799999997</v>
      </c>
      <c r="I176" s="36"/>
    </row>
    <row r="177" spans="1:13" s="37" customFormat="1" ht="15.75" customHeight="1" x14ac:dyDescent="0.35">
      <c r="A177" s="87">
        <v>3</v>
      </c>
      <c r="B177" s="88"/>
      <c r="C177" s="42" t="s">
        <v>376</v>
      </c>
      <c r="D177" s="79">
        <f>(27.08)*(10.764)</f>
        <v>291.48911999999996</v>
      </c>
      <c r="E177" s="79">
        <f>(0.6*(3.25+2.6)+0.8*1.85+1*3.25)*(10.764)</f>
        <v>88.695359999999994</v>
      </c>
      <c r="F177" s="42">
        <f t="shared" si="21"/>
        <v>380.18447999999995</v>
      </c>
      <c r="G177" s="42">
        <v>0</v>
      </c>
      <c r="H177" s="42">
        <f t="shared" si="22"/>
        <v>551.26749599999994</v>
      </c>
      <c r="I177" s="36"/>
    </row>
    <row r="178" spans="1:13" s="37" customFormat="1" ht="15.75" customHeight="1" x14ac:dyDescent="0.35">
      <c r="A178" s="87">
        <v>4</v>
      </c>
      <c r="B178" s="88"/>
      <c r="C178" s="42" t="s">
        <v>377</v>
      </c>
      <c r="D178" s="79">
        <f>(46.67)*(10.764)</f>
        <v>502.35588000000001</v>
      </c>
      <c r="E178" s="79">
        <f>(0.6*(2.95+3+6.5)+0.8*2+1*2.6+1.5*2.75)*(10.764)</f>
        <v>170.01737999999997</v>
      </c>
      <c r="F178" s="42">
        <f t="shared" si="21"/>
        <v>672.37325999999996</v>
      </c>
      <c r="G178" s="42">
        <v>0</v>
      </c>
      <c r="H178" s="42">
        <f t="shared" si="22"/>
        <v>974.94122699999991</v>
      </c>
      <c r="I178" s="36"/>
    </row>
    <row r="179" spans="1:13" s="37" customFormat="1" ht="15.75" customHeight="1" x14ac:dyDescent="0.35">
      <c r="A179" s="87">
        <v>5</v>
      </c>
      <c r="B179" s="88"/>
      <c r="C179" s="42" t="s">
        <v>375</v>
      </c>
      <c r="D179" s="79">
        <f>(37.605)*(10.764)</f>
        <v>404.78021999999993</v>
      </c>
      <c r="E179" s="79">
        <f>(0.6*(5.2+2.45)+0.8*1.8)*(10.764)</f>
        <v>64.90692</v>
      </c>
      <c r="F179" s="42">
        <f t="shared" si="21"/>
        <v>469.68713999999994</v>
      </c>
      <c r="G179" s="42">
        <v>0</v>
      </c>
      <c r="H179" s="42">
        <f t="shared" si="22"/>
        <v>681.04635299999984</v>
      </c>
      <c r="I179" s="36"/>
    </row>
    <row r="180" spans="1:13" s="37" customFormat="1" ht="15.75" customHeight="1" x14ac:dyDescent="0.35">
      <c r="A180" s="87">
        <v>6</v>
      </c>
      <c r="B180" s="88"/>
      <c r="C180" s="42" t="s">
        <v>377</v>
      </c>
      <c r="D180" s="79">
        <f>(45.12)*(10.764)</f>
        <v>485.67167999999992</v>
      </c>
      <c r="E180" s="79">
        <f>(0.6*(5.5+2.45)+0.8*1.85+1.75*2.75)*(10.764)</f>
        <v>119.07674999999999</v>
      </c>
      <c r="F180" s="42">
        <f t="shared" si="21"/>
        <v>604.74842999999987</v>
      </c>
      <c r="G180" s="42">
        <v>0</v>
      </c>
      <c r="H180" s="42">
        <f t="shared" si="22"/>
        <v>876.88522349999982</v>
      </c>
      <c r="I180" s="36"/>
    </row>
    <row r="181" spans="1:13" s="37" customFormat="1" ht="15.75" customHeight="1" x14ac:dyDescent="0.35">
      <c r="A181" s="87">
        <v>7</v>
      </c>
      <c r="B181" s="88"/>
      <c r="C181" s="42" t="s">
        <v>377</v>
      </c>
      <c r="D181" s="79">
        <f>(44.59)*(10.764)</f>
        <v>479.96676000000002</v>
      </c>
      <c r="E181" s="79">
        <f>(0.6*(2.6+2.45+2.6)+0.8*1.85)*(10.764)</f>
        <v>65.337479999999999</v>
      </c>
      <c r="F181" s="42">
        <f t="shared" si="21"/>
        <v>545.30424000000005</v>
      </c>
      <c r="G181" s="42">
        <v>0</v>
      </c>
      <c r="H181" s="42">
        <f t="shared" si="22"/>
        <v>790.691148</v>
      </c>
      <c r="I181" s="36"/>
    </row>
    <row r="182" spans="1:13" s="37" customFormat="1" ht="15.75" customHeight="1" x14ac:dyDescent="0.35">
      <c r="A182" s="87">
        <v>8</v>
      </c>
      <c r="B182" s="88"/>
      <c r="C182" s="42" t="s">
        <v>375</v>
      </c>
      <c r="D182" s="79">
        <f>(36.67)*(10.764)</f>
        <v>394.71587999999997</v>
      </c>
      <c r="E182" s="79">
        <f>(0.6*(5.2+2.45)+0.8*1.8+1.7*2.6)*(10.764)</f>
        <v>112.48379999999999</v>
      </c>
      <c r="F182" s="42">
        <f t="shared" si="21"/>
        <v>507.19967999999994</v>
      </c>
      <c r="G182" s="42">
        <v>0</v>
      </c>
      <c r="H182" s="42">
        <f t="shared" si="22"/>
        <v>735.43953599999986</v>
      </c>
      <c r="I182" s="36">
        <f>(2.6*3.55+1.8*3.05+2.45*3.9+2.45*3.05+1.8*1.1+1.8*1.2)</f>
        <v>35.887500000000003</v>
      </c>
    </row>
    <row r="183" spans="1:13" s="37" customFormat="1" ht="15.75" customHeight="1" x14ac:dyDescent="0.35">
      <c r="A183" s="92" t="s">
        <v>379</v>
      </c>
      <c r="B183" s="93"/>
      <c r="C183" s="93"/>
      <c r="D183" s="93"/>
      <c r="E183" s="93"/>
      <c r="F183" s="93"/>
      <c r="G183" s="93"/>
      <c r="H183" s="94"/>
      <c r="I183" s="36"/>
    </row>
    <row r="184" spans="1:13" s="37" customFormat="1" ht="15.75" customHeight="1" x14ac:dyDescent="0.35">
      <c r="A184" s="87">
        <v>1</v>
      </c>
      <c r="B184" s="88"/>
      <c r="C184" s="42" t="s">
        <v>376</v>
      </c>
      <c r="D184" s="79">
        <f>(27.49)*(10.764)</f>
        <v>295.90235999999999</v>
      </c>
      <c r="E184" s="79">
        <f>(0.6*(2.6+2.6)+1.75*2.6+0.8*1.85+1.05*2.6)*(10.764)</f>
        <v>127.87632000000001</v>
      </c>
      <c r="F184" s="42">
        <f t="shared" ref="F184:F191" si="23">D184+E184</f>
        <v>423.77868000000001</v>
      </c>
      <c r="G184" s="42">
        <v>0</v>
      </c>
      <c r="H184" s="42">
        <f t="shared" ref="H184:H191" si="24">F184*(($H$163)+1)+(IF(G184&lt;101,G184,IF(G184&lt;201,G184/2,IF(G184&lt;=301,G184/3,G184/4))))</f>
        <v>614.47908599999994</v>
      </c>
      <c r="I184" s="36">
        <f>(3.6*2.6+3.35*1.85+2.3*2.6+1.85*1.05+1.05*1.85)</f>
        <v>25.422499999999999</v>
      </c>
    </row>
    <row r="185" spans="1:13" s="37" customFormat="1" ht="15.75" customHeight="1" x14ac:dyDescent="0.35">
      <c r="A185" s="87">
        <v>2</v>
      </c>
      <c r="B185" s="88"/>
      <c r="C185" s="42" t="s">
        <v>376</v>
      </c>
      <c r="D185" s="79">
        <f>(26.03)*(10.764)</f>
        <v>280.18691999999999</v>
      </c>
      <c r="E185" s="79">
        <f>(0.6*(2.6+2.6)+0.8*1.85+1.05*2.6)*(10.764)</f>
        <v>78.900120000000001</v>
      </c>
      <c r="F185" s="42">
        <f t="shared" si="23"/>
        <v>359.08704</v>
      </c>
      <c r="G185" s="42">
        <v>0</v>
      </c>
      <c r="H185" s="42">
        <f t="shared" si="24"/>
        <v>520.67620799999997</v>
      </c>
      <c r="I185" s="36"/>
    </row>
    <row r="186" spans="1:13" s="37" customFormat="1" ht="15.75" customHeight="1" x14ac:dyDescent="0.35">
      <c r="A186" s="87">
        <v>3</v>
      </c>
      <c r="B186" s="88"/>
      <c r="C186" s="42" t="s">
        <v>376</v>
      </c>
      <c r="D186" s="79">
        <f>(27.08)*(10.764)</f>
        <v>291.48911999999996</v>
      </c>
      <c r="E186" s="79">
        <f>(0.6*(3.25+2.6)+0.8*1.85+1*3.25)*(10.764)</f>
        <v>88.695359999999994</v>
      </c>
      <c r="F186" s="42">
        <f t="shared" si="23"/>
        <v>380.18447999999995</v>
      </c>
      <c r="G186" s="42">
        <v>0</v>
      </c>
      <c r="H186" s="42">
        <f t="shared" si="24"/>
        <v>551.26749599999994</v>
      </c>
      <c r="I186" s="36"/>
    </row>
    <row r="187" spans="1:13" s="37" customFormat="1" ht="15.75" customHeight="1" x14ac:dyDescent="0.35">
      <c r="A187" s="87">
        <v>4</v>
      </c>
      <c r="B187" s="88"/>
      <c r="C187" s="42" t="s">
        <v>377</v>
      </c>
      <c r="D187" s="79">
        <f>(46.67)*(10.764)</f>
        <v>502.35588000000001</v>
      </c>
      <c r="E187" s="79">
        <f>(0.6*(2.95+3+6.5)+0.8*2+1*2.6+1.5*2.75)*(10.764)</f>
        <v>170.01737999999997</v>
      </c>
      <c r="F187" s="42">
        <f t="shared" si="23"/>
        <v>672.37325999999996</v>
      </c>
      <c r="G187" s="42">
        <v>0</v>
      </c>
      <c r="H187" s="42">
        <f t="shared" si="24"/>
        <v>974.94122699999991</v>
      </c>
      <c r="I187" s="36"/>
    </row>
    <row r="188" spans="1:13" s="37" customFormat="1" ht="15.75" customHeight="1" x14ac:dyDescent="0.35">
      <c r="A188" s="87">
        <v>5</v>
      </c>
      <c r="B188" s="88"/>
      <c r="C188" s="42" t="s">
        <v>375</v>
      </c>
      <c r="D188" s="79">
        <f>(37.605)*(10.764)</f>
        <v>404.78021999999993</v>
      </c>
      <c r="E188" s="79">
        <f>(0.6*(5.2+2.45)+0.8*1.8)*(10.764)</f>
        <v>64.90692</v>
      </c>
      <c r="F188" s="42">
        <f t="shared" si="23"/>
        <v>469.68713999999994</v>
      </c>
      <c r="G188" s="42">
        <v>0</v>
      </c>
      <c r="H188" s="42">
        <f t="shared" si="24"/>
        <v>681.04635299999984</v>
      </c>
      <c r="I188" s="36"/>
    </row>
    <row r="189" spans="1:13" s="37" customFormat="1" ht="15.75" customHeight="1" x14ac:dyDescent="0.35">
      <c r="A189" s="87">
        <v>6</v>
      </c>
      <c r="B189" s="88"/>
      <c r="C189" s="42" t="s">
        <v>377</v>
      </c>
      <c r="D189" s="79">
        <f>(45.12)*(10.764)</f>
        <v>485.67167999999992</v>
      </c>
      <c r="E189" s="79">
        <f>(0.6*(5.5+2.45)+0.8*1.85+1.75*2.75)*(10.764)</f>
        <v>119.07674999999999</v>
      </c>
      <c r="F189" s="42">
        <f t="shared" si="23"/>
        <v>604.74842999999987</v>
      </c>
      <c r="G189" s="42">
        <v>0</v>
      </c>
      <c r="H189" s="42">
        <f t="shared" si="24"/>
        <v>876.88522349999982</v>
      </c>
      <c r="I189" s="36"/>
    </row>
    <row r="190" spans="1:13" s="37" customFormat="1" ht="15.75" customHeight="1" x14ac:dyDescent="0.35">
      <c r="A190" s="87">
        <v>7</v>
      </c>
      <c r="B190" s="88"/>
      <c r="C190" s="42" t="s">
        <v>377</v>
      </c>
      <c r="D190" s="79">
        <f>(44.59)*(10.764)</f>
        <v>479.96676000000002</v>
      </c>
      <c r="E190" s="79">
        <f>(0.6*(2.6+2.45+2.6)+0.8*1.85)*(10.764)</f>
        <v>65.337479999999999</v>
      </c>
      <c r="F190" s="42">
        <f t="shared" si="23"/>
        <v>545.30424000000005</v>
      </c>
      <c r="G190" s="42">
        <v>0</v>
      </c>
      <c r="H190" s="42">
        <f t="shared" si="24"/>
        <v>790.691148</v>
      </c>
      <c r="I190" s="36"/>
    </row>
    <row r="191" spans="1:13" s="37" customFormat="1" ht="15.75" customHeight="1" x14ac:dyDescent="0.35">
      <c r="A191" s="87">
        <v>8</v>
      </c>
      <c r="B191" s="88"/>
      <c r="C191" s="42" t="s">
        <v>375</v>
      </c>
      <c r="D191" s="79">
        <f>(36.67)*(10.764)</f>
        <v>394.71587999999997</v>
      </c>
      <c r="E191" s="79">
        <f>(0.6*(5.2+2.45)+0.8*1.8+1.7*2.6)*(10.764)</f>
        <v>112.48379999999999</v>
      </c>
      <c r="F191" s="42">
        <f t="shared" si="23"/>
        <v>507.19967999999994</v>
      </c>
      <c r="G191" s="42">
        <v>0</v>
      </c>
      <c r="H191" s="42">
        <f t="shared" si="24"/>
        <v>735.43953599999986</v>
      </c>
      <c r="I191" s="36">
        <f>(2.6*3.55+1.8*3.05+2.45*3.9+2.45*3.05+1.8*1.1+1.8*1.2)</f>
        <v>35.887500000000003</v>
      </c>
      <c r="J191" s="37">
        <f>57610000/H210</f>
        <v>66867.81098488289</v>
      </c>
    </row>
    <row r="192" spans="1:13" s="37" customFormat="1" x14ac:dyDescent="0.35">
      <c r="A192" s="96" t="s">
        <v>380</v>
      </c>
      <c r="B192" s="96"/>
      <c r="C192" s="96"/>
      <c r="D192" s="96"/>
      <c r="E192" s="96"/>
      <c r="F192" s="96"/>
      <c r="G192" s="96"/>
      <c r="H192" s="96"/>
      <c r="I192" s="36"/>
      <c r="L192" s="97"/>
      <c r="M192" s="97"/>
    </row>
    <row r="193" spans="1:20" s="37" customFormat="1" x14ac:dyDescent="0.35">
      <c r="A193" s="95">
        <v>1</v>
      </c>
      <c r="B193" s="95"/>
      <c r="C193" s="42" t="s">
        <v>376</v>
      </c>
      <c r="D193" s="79">
        <f>(27.49)*(10.764)</f>
        <v>295.90235999999999</v>
      </c>
      <c r="E193" s="79">
        <f>(0.6*(2.6+2.6)+1.75*2.6+0.8*1.85+1.05*2.6)*(10.764)</f>
        <v>127.87632000000001</v>
      </c>
      <c r="F193" s="42">
        <f t="shared" ref="F193:F200" si="25">D193+E193</f>
        <v>423.77868000000001</v>
      </c>
      <c r="G193" s="42">
        <v>0</v>
      </c>
      <c r="H193" s="42">
        <f t="shared" ref="H193:H200" si="26">F193*(($H$163)+1)+(IF(G193&lt;101,G193,IF(G193&lt;201,G193/2,IF(G193&lt;=301,G193/3,G193/4))))</f>
        <v>614.47908599999994</v>
      </c>
      <c r="I193" s="36"/>
      <c r="N193" s="36"/>
    </row>
    <row r="194" spans="1:20" s="37" customFormat="1" x14ac:dyDescent="0.35">
      <c r="A194" s="95">
        <f t="shared" ref="A194:A200" si="27">A193+1</f>
        <v>2</v>
      </c>
      <c r="B194" s="95"/>
      <c r="C194" s="42" t="s">
        <v>376</v>
      </c>
      <c r="D194" s="79">
        <f>(26.03)*(10.764)</f>
        <v>280.18691999999999</v>
      </c>
      <c r="E194" s="79">
        <f>(0.6*(2.6+2.6)+0.8*1.85+1.05*2.6)*(10.764)</f>
        <v>78.900120000000001</v>
      </c>
      <c r="F194" s="42">
        <f t="shared" si="25"/>
        <v>359.08704</v>
      </c>
      <c r="G194" s="42">
        <v>0</v>
      </c>
      <c r="H194" s="42">
        <f t="shared" si="26"/>
        <v>520.67620799999997</v>
      </c>
      <c r="I194" s="36"/>
      <c r="N194" s="36"/>
    </row>
    <row r="195" spans="1:20" s="37" customFormat="1" x14ac:dyDescent="0.35">
      <c r="A195" s="95">
        <f t="shared" si="27"/>
        <v>3</v>
      </c>
      <c r="B195" s="95"/>
      <c r="C195" s="42" t="s">
        <v>376</v>
      </c>
      <c r="D195" s="79">
        <f>(27.08)*(10.764)</f>
        <v>291.48911999999996</v>
      </c>
      <c r="E195" s="79">
        <f>(0.6*(3.25+2.6)+0.8*1.85+1*3.25)*(10.764)</f>
        <v>88.695359999999994</v>
      </c>
      <c r="F195" s="42">
        <f t="shared" si="25"/>
        <v>380.18447999999995</v>
      </c>
      <c r="G195" s="42">
        <v>0</v>
      </c>
      <c r="H195" s="42">
        <f t="shared" si="26"/>
        <v>551.26749599999994</v>
      </c>
      <c r="I195" s="36"/>
      <c r="N195" s="36"/>
    </row>
    <row r="196" spans="1:20" s="37" customFormat="1" x14ac:dyDescent="0.35">
      <c r="A196" s="95">
        <f t="shared" si="27"/>
        <v>4</v>
      </c>
      <c r="B196" s="95"/>
      <c r="C196" s="42" t="s">
        <v>377</v>
      </c>
      <c r="D196" s="79">
        <f>(46.67)*(10.764)</f>
        <v>502.35588000000001</v>
      </c>
      <c r="E196" s="79">
        <f>(0.6*(2.95+3+6.5)+0.8*2+1*2.6+1.5*2.75)*(10.764)</f>
        <v>170.01737999999997</v>
      </c>
      <c r="F196" s="42">
        <f t="shared" si="25"/>
        <v>672.37325999999996</v>
      </c>
      <c r="G196" s="42">
        <v>0</v>
      </c>
      <c r="H196" s="42">
        <f t="shared" si="26"/>
        <v>974.94122699999991</v>
      </c>
      <c r="I196" s="36"/>
      <c r="N196" s="36"/>
    </row>
    <row r="197" spans="1:20" s="37" customFormat="1" x14ac:dyDescent="0.35">
      <c r="A197" s="95">
        <f t="shared" si="27"/>
        <v>5</v>
      </c>
      <c r="B197" s="95"/>
      <c r="C197" s="42" t="s">
        <v>375</v>
      </c>
      <c r="D197" s="79">
        <f>(37.605)*(10.764)</f>
        <v>404.78021999999993</v>
      </c>
      <c r="E197" s="79">
        <f>(0.6*(5.2+2.45)+0.8*1.8)*(10.764)</f>
        <v>64.90692</v>
      </c>
      <c r="F197" s="42">
        <f t="shared" si="25"/>
        <v>469.68713999999994</v>
      </c>
      <c r="G197" s="42">
        <v>0</v>
      </c>
      <c r="H197" s="42">
        <f t="shared" si="26"/>
        <v>681.04635299999984</v>
      </c>
      <c r="I197" s="36"/>
      <c r="N197" s="36"/>
    </row>
    <row r="198" spans="1:20" s="37" customFormat="1" x14ac:dyDescent="0.35">
      <c r="A198" s="95">
        <f t="shared" si="27"/>
        <v>6</v>
      </c>
      <c r="B198" s="95"/>
      <c r="C198" s="42" t="s">
        <v>377</v>
      </c>
      <c r="D198" s="79">
        <f>(45.12)*(10.764)</f>
        <v>485.67167999999992</v>
      </c>
      <c r="E198" s="79">
        <f>(0.6*(5.5+2.45)+0.8*1.85+1.75*2.75)*(10.764)</f>
        <v>119.07674999999999</v>
      </c>
      <c r="F198" s="42">
        <f t="shared" si="25"/>
        <v>604.74842999999987</v>
      </c>
      <c r="G198" s="42">
        <v>0</v>
      </c>
      <c r="H198" s="42">
        <f t="shared" si="26"/>
        <v>876.88522349999982</v>
      </c>
      <c r="I198" s="36"/>
      <c r="N198" s="36"/>
    </row>
    <row r="199" spans="1:20" s="37" customFormat="1" x14ac:dyDescent="0.35">
      <c r="A199" s="95">
        <f t="shared" si="27"/>
        <v>7</v>
      </c>
      <c r="B199" s="95"/>
      <c r="C199" s="42" t="s">
        <v>377</v>
      </c>
      <c r="D199" s="79">
        <f>(44.59)*(10.764)</f>
        <v>479.96676000000002</v>
      </c>
      <c r="E199" s="79">
        <f>(0.6*(2.6+2.45+2.6)+0.8*1.85)*(10.764)</f>
        <v>65.337479999999999</v>
      </c>
      <c r="F199" s="42">
        <f t="shared" si="25"/>
        <v>545.30424000000005</v>
      </c>
      <c r="G199" s="42">
        <v>0</v>
      </c>
      <c r="H199" s="42">
        <f t="shared" si="26"/>
        <v>790.691148</v>
      </c>
      <c r="I199" s="36"/>
      <c r="N199" s="36"/>
    </row>
    <row r="200" spans="1:20" s="37" customFormat="1" x14ac:dyDescent="0.35">
      <c r="A200" s="95">
        <f t="shared" si="27"/>
        <v>8</v>
      </c>
      <c r="B200" s="95"/>
      <c r="C200" s="42" t="s">
        <v>375</v>
      </c>
      <c r="D200" s="79">
        <f>(36.67)*(10.764)</f>
        <v>394.71587999999997</v>
      </c>
      <c r="E200" s="79">
        <f>(0.6*(5.2+2.45)+0.8*1.8+1.7*2.6)*(10.764)</f>
        <v>112.48379999999999</v>
      </c>
      <c r="F200" s="42">
        <f t="shared" si="25"/>
        <v>507.19967999999994</v>
      </c>
      <c r="G200" s="42">
        <v>0</v>
      </c>
      <c r="H200" s="42">
        <f t="shared" si="26"/>
        <v>735.43953599999986</v>
      </c>
      <c r="I200" s="36"/>
      <c r="N200" s="36"/>
    </row>
    <row r="201" spans="1:20" s="37" customFormat="1" x14ac:dyDescent="0.35">
      <c r="A201" s="92" t="s">
        <v>381</v>
      </c>
      <c r="B201" s="93"/>
      <c r="C201" s="93"/>
      <c r="D201" s="93"/>
      <c r="E201" s="93"/>
      <c r="F201" s="93"/>
      <c r="G201" s="93"/>
      <c r="H201" s="94"/>
      <c r="J201" s="36"/>
      <c r="T201" s="35"/>
    </row>
    <row r="202" spans="1:20" s="37" customFormat="1" x14ac:dyDescent="0.35">
      <c r="A202" s="92" t="s">
        <v>382</v>
      </c>
      <c r="B202" s="93"/>
      <c r="C202" s="93"/>
      <c r="D202" s="93"/>
      <c r="E202" s="93"/>
      <c r="F202" s="93"/>
      <c r="G202" s="93"/>
      <c r="H202" s="94"/>
      <c r="J202" s="77"/>
    </row>
    <row r="203" spans="1:20" s="37" customFormat="1" x14ac:dyDescent="0.35">
      <c r="A203" s="96" t="s">
        <v>383</v>
      </c>
      <c r="B203" s="96"/>
      <c r="C203" s="96"/>
      <c r="D203" s="96"/>
      <c r="E203" s="96"/>
      <c r="F203" s="96"/>
      <c r="G203" s="96"/>
      <c r="H203" s="96"/>
      <c r="I203" s="36"/>
      <c r="L203" s="97"/>
      <c r="M203" s="97"/>
    </row>
    <row r="204" spans="1:20" s="37" customFormat="1" x14ac:dyDescent="0.35">
      <c r="A204" s="95">
        <v>1</v>
      </c>
      <c r="B204" s="95"/>
      <c r="C204" s="42" t="s">
        <v>376</v>
      </c>
      <c r="D204" s="79">
        <f>(26.81)*(10.764)</f>
        <v>288.58283999999998</v>
      </c>
      <c r="E204" s="79">
        <f>(0.65*(2.6+2.5)+0.8*1.85+1.05*2.6)*(10.764)</f>
        <v>80.999099999999999</v>
      </c>
      <c r="F204" s="42">
        <f t="shared" ref="F204:F210" si="28">D204+E204</f>
        <v>369.58193999999997</v>
      </c>
      <c r="G204" s="42">
        <v>0</v>
      </c>
      <c r="H204" s="42">
        <f t="shared" ref="H204:H210" si="29">F204*(($H$163)+1)+(IF(G204&lt;101,G204,IF(G204&lt;201,G204/2,IF(G204&lt;=301,G204/3,G204/4))))</f>
        <v>535.89381299999991</v>
      </c>
      <c r="N204" s="36"/>
    </row>
    <row r="205" spans="1:20" s="37" customFormat="1" x14ac:dyDescent="0.35">
      <c r="A205" s="95">
        <f t="shared" ref="A205:A210" si="30">A204+1</f>
        <v>2</v>
      </c>
      <c r="B205" s="95"/>
      <c r="C205" s="42" t="s">
        <v>376</v>
      </c>
      <c r="D205" s="79">
        <f>(25.65)*(10.764)</f>
        <v>276.09659999999997</v>
      </c>
      <c r="E205" s="79">
        <f>(0.65*(2.6+2.6)+0.8*1.85+1.05*2.6)*(10.764)</f>
        <v>81.698760000000007</v>
      </c>
      <c r="F205" s="42">
        <f t="shared" si="28"/>
        <v>357.79535999999996</v>
      </c>
      <c r="G205" s="42">
        <v>0</v>
      </c>
      <c r="H205" s="42">
        <f t="shared" si="29"/>
        <v>518.80327199999988</v>
      </c>
      <c r="I205" s="78">
        <f>(4.25*2.6+2.6*1.85+2.6*2.6+1.85*1.05+1.05*1.85)</f>
        <v>26.504999999999999</v>
      </c>
      <c r="J205" s="78">
        <f>3.2*2.9+2.6*1.85+2.6*2.6+1.05*1.85*2</f>
        <v>24.735000000000003</v>
      </c>
      <c r="L205" s="80" t="s">
        <v>387</v>
      </c>
      <c r="N205" s="36"/>
    </row>
    <row r="206" spans="1:20" s="37" customFormat="1" x14ac:dyDescent="0.35">
      <c r="A206" s="95">
        <f t="shared" si="30"/>
        <v>3</v>
      </c>
      <c r="B206" s="95"/>
      <c r="C206" s="42" t="s">
        <v>376</v>
      </c>
      <c r="D206" s="79">
        <f>(26.03)*(10.764)</f>
        <v>280.18691999999999</v>
      </c>
      <c r="E206" s="79">
        <f>(0.65*(2.6+2.6)+0.8*1.85+1.05*2.6)*(10.764)</f>
        <v>81.698760000000007</v>
      </c>
      <c r="F206" s="42">
        <f t="shared" si="28"/>
        <v>361.88567999999998</v>
      </c>
      <c r="G206" s="42">
        <v>0</v>
      </c>
      <c r="H206" s="42">
        <f t="shared" si="29"/>
        <v>524.73423600000001</v>
      </c>
      <c r="I206" s="77"/>
      <c r="N206" s="36"/>
    </row>
    <row r="207" spans="1:20" s="37" customFormat="1" x14ac:dyDescent="0.35">
      <c r="A207" s="95">
        <f t="shared" si="30"/>
        <v>4</v>
      </c>
      <c r="B207" s="95"/>
      <c r="C207" s="42" t="s">
        <v>376</v>
      </c>
      <c r="D207" s="79">
        <f>(26.03)*(10.764)</f>
        <v>280.18691999999999</v>
      </c>
      <c r="E207" s="79">
        <f>(0.65*(2.6+2.6)+0.8*1.85+1.05*2.6)*(10.764)</f>
        <v>81.698760000000007</v>
      </c>
      <c r="F207" s="42">
        <f t="shared" si="28"/>
        <v>361.88567999999998</v>
      </c>
      <c r="G207" s="42">
        <v>0</v>
      </c>
      <c r="H207" s="42">
        <f t="shared" si="29"/>
        <v>524.73423600000001</v>
      </c>
      <c r="I207" s="36"/>
      <c r="N207" s="36"/>
    </row>
    <row r="208" spans="1:20" s="37" customFormat="1" x14ac:dyDescent="0.35">
      <c r="A208" s="95">
        <f t="shared" si="30"/>
        <v>5</v>
      </c>
      <c r="B208" s="95"/>
      <c r="C208" s="42" t="s">
        <v>376</v>
      </c>
      <c r="D208" s="79">
        <f>(26.03)*(10.764)</f>
        <v>280.18691999999999</v>
      </c>
      <c r="E208" s="79">
        <f>(0.65*(2.6+2.6)+0.8*1.85+1.05*2.6)*(10.764)</f>
        <v>81.698760000000007</v>
      </c>
      <c r="F208" s="42">
        <f t="shared" si="28"/>
        <v>361.88567999999998</v>
      </c>
      <c r="G208" s="42">
        <v>0</v>
      </c>
      <c r="H208" s="42">
        <f t="shared" si="29"/>
        <v>524.73423600000001</v>
      </c>
      <c r="I208" s="36"/>
      <c r="N208" s="36"/>
    </row>
    <row r="209" spans="1:14" s="37" customFormat="1" x14ac:dyDescent="0.35">
      <c r="A209" s="95">
        <f t="shared" si="30"/>
        <v>6</v>
      </c>
      <c r="B209" s="95"/>
      <c r="C209" s="42" t="s">
        <v>376</v>
      </c>
      <c r="D209" s="79">
        <f>(26.03)*(10.764)</f>
        <v>280.18691999999999</v>
      </c>
      <c r="E209" s="79">
        <f>(1.05*2.6)*(10.764)</f>
        <v>29.385720000000003</v>
      </c>
      <c r="F209" s="42">
        <f t="shared" si="28"/>
        <v>309.57263999999998</v>
      </c>
      <c r="G209" s="42">
        <v>0</v>
      </c>
      <c r="H209" s="42">
        <f t="shared" si="29"/>
        <v>448.88032799999996</v>
      </c>
      <c r="I209" s="36"/>
      <c r="N209" s="36"/>
    </row>
    <row r="210" spans="1:14" s="37" customFormat="1" x14ac:dyDescent="0.35">
      <c r="A210" s="95">
        <f t="shared" si="30"/>
        <v>7</v>
      </c>
      <c r="B210" s="95"/>
      <c r="C210" s="42" t="s">
        <v>375</v>
      </c>
      <c r="D210" s="79">
        <f>(48.44)*(10.764)</f>
        <v>521.40815999999995</v>
      </c>
      <c r="E210" s="79">
        <f>(0.65*(4.15+3.65+2.6))*(10.764)</f>
        <v>72.76464</v>
      </c>
      <c r="F210" s="42">
        <f t="shared" si="28"/>
        <v>594.17279999999994</v>
      </c>
      <c r="G210" s="42">
        <v>0</v>
      </c>
      <c r="H210" s="42">
        <f t="shared" si="29"/>
        <v>861.5505599999999</v>
      </c>
      <c r="I210" s="36">
        <f>(4.15*3.55+2.15*2.5+3.05*3.55+2.75*3.05+1.2*1.85+1.2*1.85+3.8*0.8+1*0.4)</f>
        <v>47.202500000000001</v>
      </c>
      <c r="N210" s="36"/>
    </row>
    <row r="211" spans="1:14" s="37" customFormat="1" ht="15.75" customHeight="1" x14ac:dyDescent="0.35">
      <c r="A211" s="92" t="s">
        <v>378</v>
      </c>
      <c r="B211" s="93"/>
      <c r="C211" s="93"/>
      <c r="D211" s="93"/>
      <c r="E211" s="93"/>
      <c r="F211" s="93"/>
      <c r="G211" s="93"/>
      <c r="H211" s="94"/>
      <c r="I211" s="36"/>
    </row>
    <row r="212" spans="1:14" s="37" customFormat="1" ht="15.75" customHeight="1" x14ac:dyDescent="0.35">
      <c r="A212" s="87">
        <v>1</v>
      </c>
      <c r="B212" s="88"/>
      <c r="C212" s="42" t="s">
        <v>376</v>
      </c>
      <c r="D212" s="79">
        <f>(26.81)*(10.764)</f>
        <v>288.58283999999998</v>
      </c>
      <c r="E212" s="79">
        <f>(0.65*(2.6+2.5)+0.8*1.85+1.05*2.6)*(10.764)</f>
        <v>80.999099999999999</v>
      </c>
      <c r="F212" s="42">
        <f t="shared" ref="F212:F218" si="31">D212+E212</f>
        <v>369.58193999999997</v>
      </c>
      <c r="G212" s="42">
        <v>0</v>
      </c>
      <c r="H212" s="42">
        <f t="shared" ref="H212:H218" si="32">F212*(($H$163)+1)+(IF(G212&lt;101,G212,IF(G212&lt;201,G212/2,IF(G212&lt;=301,G212/3,G212/4))))</f>
        <v>535.89381299999991</v>
      </c>
      <c r="I212" s="36">
        <f>2.6*3.2+2.6*1.85+2.5*2.75+1.85*1.05+1.05*1+1.2*1.1</f>
        <v>24.317500000000003</v>
      </c>
    </row>
    <row r="213" spans="1:14" s="37" customFormat="1" ht="15.75" customHeight="1" x14ac:dyDescent="0.35">
      <c r="A213" s="87">
        <v>2</v>
      </c>
      <c r="B213" s="88"/>
      <c r="C213" s="42" t="s">
        <v>376</v>
      </c>
      <c r="D213" s="79">
        <f>(25.65)*(10.764)</f>
        <v>276.09659999999997</v>
      </c>
      <c r="E213" s="79">
        <f>(0.65*(2.6+2.6)+0.8*1.85+1.05*2.6)*(10.764)</f>
        <v>81.698760000000007</v>
      </c>
      <c r="F213" s="42">
        <f t="shared" si="31"/>
        <v>357.79535999999996</v>
      </c>
      <c r="G213" s="42">
        <v>0</v>
      </c>
      <c r="H213" s="42">
        <f t="shared" si="32"/>
        <v>518.80327199999988</v>
      </c>
      <c r="I213" s="36"/>
    </row>
    <row r="214" spans="1:14" s="37" customFormat="1" ht="15.75" customHeight="1" x14ac:dyDescent="0.35">
      <c r="A214" s="87">
        <v>3</v>
      </c>
      <c r="B214" s="88"/>
      <c r="C214" s="42" t="s">
        <v>376</v>
      </c>
      <c r="D214" s="79">
        <f>(26.03)*(10.764)</f>
        <v>280.18691999999999</v>
      </c>
      <c r="E214" s="79">
        <f>(0.65*(2.6+2.6)+0.8*1.85+1.05*2.6)*(10.764)</f>
        <v>81.698760000000007</v>
      </c>
      <c r="F214" s="42">
        <f t="shared" si="31"/>
        <v>361.88567999999998</v>
      </c>
      <c r="G214" s="42">
        <v>0</v>
      </c>
      <c r="H214" s="42">
        <f t="shared" si="32"/>
        <v>524.73423600000001</v>
      </c>
      <c r="I214" s="36"/>
    </row>
    <row r="215" spans="1:14" s="37" customFormat="1" ht="15.75" customHeight="1" x14ac:dyDescent="0.35">
      <c r="A215" s="87">
        <v>4</v>
      </c>
      <c r="B215" s="88"/>
      <c r="C215" s="42" t="s">
        <v>376</v>
      </c>
      <c r="D215" s="79">
        <f>(26.03)*(10.764)</f>
        <v>280.18691999999999</v>
      </c>
      <c r="E215" s="79">
        <f>(0.65*(2.6+2.6)+0.8*1.85+1.05*2.6)*(10.764)</f>
        <v>81.698760000000007</v>
      </c>
      <c r="F215" s="42">
        <f t="shared" si="31"/>
        <v>361.88567999999998</v>
      </c>
      <c r="G215" s="42">
        <v>0</v>
      </c>
      <c r="H215" s="42">
        <f t="shared" si="32"/>
        <v>524.73423600000001</v>
      </c>
      <c r="I215" s="36"/>
    </row>
    <row r="216" spans="1:14" s="37" customFormat="1" ht="15.75" customHeight="1" x14ac:dyDescent="0.35">
      <c r="A216" s="87">
        <v>5</v>
      </c>
      <c r="B216" s="88"/>
      <c r="C216" s="42" t="s">
        <v>376</v>
      </c>
      <c r="D216" s="79">
        <f>(26.03)*(10.764)</f>
        <v>280.18691999999999</v>
      </c>
      <c r="E216" s="79">
        <f>(0.65*(2.6+2.6)+0.8*1.85+1.05*2.6)*(10.764)</f>
        <v>81.698760000000007</v>
      </c>
      <c r="F216" s="42">
        <f t="shared" si="31"/>
        <v>361.88567999999998</v>
      </c>
      <c r="G216" s="42">
        <v>0</v>
      </c>
      <c r="H216" s="42">
        <f t="shared" si="32"/>
        <v>524.73423600000001</v>
      </c>
      <c r="I216" s="36"/>
    </row>
    <row r="217" spans="1:14" s="37" customFormat="1" ht="15.75" customHeight="1" x14ac:dyDescent="0.35">
      <c r="A217" s="87">
        <v>6</v>
      </c>
      <c r="B217" s="88"/>
      <c r="C217" s="42" t="s">
        <v>376</v>
      </c>
      <c r="D217" s="79">
        <f>(26.03)*(10.764)</f>
        <v>280.18691999999999</v>
      </c>
      <c r="E217" s="79">
        <f>(0.65*(2.6+2.6)+0.8*1.85+1.05*2.6)*(10.764)</f>
        <v>81.698760000000007</v>
      </c>
      <c r="F217" s="42">
        <f t="shared" si="31"/>
        <v>361.88567999999998</v>
      </c>
      <c r="G217" s="42">
        <v>0</v>
      </c>
      <c r="H217" s="42">
        <f t="shared" si="32"/>
        <v>524.73423600000001</v>
      </c>
      <c r="I217" s="36"/>
    </row>
    <row r="218" spans="1:14" s="37" customFormat="1" ht="15.75" customHeight="1" x14ac:dyDescent="0.35">
      <c r="A218" s="87">
        <v>7</v>
      </c>
      <c r="B218" s="88"/>
      <c r="C218" s="42" t="s">
        <v>375</v>
      </c>
      <c r="D218" s="79">
        <f>(48.44)*(10.764)</f>
        <v>521.40815999999995</v>
      </c>
      <c r="E218" s="79">
        <f>(0.65*(4.15+3.65+2.6)+0.8*2.15)*(10.764)</f>
        <v>91.278719999999993</v>
      </c>
      <c r="F218" s="42">
        <f t="shared" si="31"/>
        <v>612.68687999999997</v>
      </c>
      <c r="G218" s="42">
        <v>0</v>
      </c>
      <c r="H218" s="42">
        <f t="shared" si="32"/>
        <v>888.39597599999991</v>
      </c>
      <c r="I218" s="36"/>
    </row>
    <row r="219" spans="1:14" s="37" customFormat="1" ht="15.75" customHeight="1" x14ac:dyDescent="0.35">
      <c r="A219" s="92" t="s">
        <v>379</v>
      </c>
      <c r="B219" s="93"/>
      <c r="C219" s="93"/>
      <c r="D219" s="93"/>
      <c r="E219" s="93"/>
      <c r="F219" s="93"/>
      <c r="G219" s="93"/>
      <c r="H219" s="94"/>
      <c r="I219" s="36"/>
    </row>
    <row r="220" spans="1:14" s="37" customFormat="1" ht="15.75" customHeight="1" x14ac:dyDescent="0.35">
      <c r="A220" s="87">
        <v>1</v>
      </c>
      <c r="B220" s="88"/>
      <c r="C220" s="42" t="s">
        <v>376</v>
      </c>
      <c r="D220" s="79">
        <f>(26.81)*(10.764)</f>
        <v>288.58283999999998</v>
      </c>
      <c r="E220" s="79">
        <f>(0.65*(2.6+2.5)+0.8*1.85+1.05*2.6)*(10.764)</f>
        <v>80.999099999999999</v>
      </c>
      <c r="F220" s="42">
        <f t="shared" ref="F220:F225" si="33">D220+E220</f>
        <v>369.58193999999997</v>
      </c>
      <c r="G220" s="42">
        <v>0</v>
      </c>
      <c r="H220" s="42">
        <f t="shared" ref="H220:H225" si="34">F220*(($H$163)+1)+(IF(G220&lt;101,G220,IF(G220&lt;201,G220/2,IF(G220&lt;=301,G220/3,G220/4))))</f>
        <v>535.89381299999991</v>
      </c>
      <c r="I220" s="36"/>
    </row>
    <row r="221" spans="1:14" s="37" customFormat="1" ht="15.75" customHeight="1" x14ac:dyDescent="0.35">
      <c r="A221" s="87">
        <v>2</v>
      </c>
      <c r="B221" s="88"/>
      <c r="C221" s="42" t="s">
        <v>376</v>
      </c>
      <c r="D221" s="79">
        <f>(25.65)*(10.764)</f>
        <v>276.09659999999997</v>
      </c>
      <c r="E221" s="79">
        <f>(0.65*(2.6+2.6)+0.8*1.85+1.05*2.6)*(10.764)</f>
        <v>81.698760000000007</v>
      </c>
      <c r="F221" s="42">
        <f t="shared" si="33"/>
        <v>357.79535999999996</v>
      </c>
      <c r="G221" s="42">
        <v>0</v>
      </c>
      <c r="H221" s="42">
        <f t="shared" si="34"/>
        <v>518.80327199999988</v>
      </c>
      <c r="I221" s="36"/>
      <c r="J221" s="37">
        <f>3000000/H221</f>
        <v>5782.5387038037043</v>
      </c>
    </row>
    <row r="222" spans="1:14" s="37" customFormat="1" ht="15.75" customHeight="1" x14ac:dyDescent="0.35">
      <c r="A222" s="87">
        <v>3</v>
      </c>
      <c r="B222" s="88"/>
      <c r="C222" s="42" t="s">
        <v>376</v>
      </c>
      <c r="D222" s="79">
        <f>(26.03)*(10.764)</f>
        <v>280.18691999999999</v>
      </c>
      <c r="E222" s="79">
        <f>(0.65*(2.6+2.6)+0.8*1.85+1.05*2.6)*(10.764)</f>
        <v>81.698760000000007</v>
      </c>
      <c r="F222" s="42">
        <f t="shared" si="33"/>
        <v>361.88567999999998</v>
      </c>
      <c r="G222" s="42">
        <v>0</v>
      </c>
      <c r="H222" s="42">
        <f t="shared" si="34"/>
        <v>524.73423600000001</v>
      </c>
      <c r="I222" s="36"/>
    </row>
    <row r="223" spans="1:14" s="37" customFormat="1" ht="15.75" customHeight="1" x14ac:dyDescent="0.35">
      <c r="A223" s="87">
        <v>4</v>
      </c>
      <c r="B223" s="88"/>
      <c r="C223" s="42" t="s">
        <v>376</v>
      </c>
      <c r="D223" s="79">
        <f>(26.03)*(10.764)</f>
        <v>280.18691999999999</v>
      </c>
      <c r="E223" s="79">
        <f>(0.65*(2.6+2.6)+0.8*1.85+1.05*2.6)*(10.764)</f>
        <v>81.698760000000007</v>
      </c>
      <c r="F223" s="42">
        <f t="shared" si="33"/>
        <v>361.88567999999998</v>
      </c>
      <c r="G223" s="42">
        <v>0</v>
      </c>
      <c r="H223" s="42">
        <f t="shared" si="34"/>
        <v>524.73423600000001</v>
      </c>
      <c r="I223" s="36"/>
    </row>
    <row r="224" spans="1:14" s="37" customFormat="1" ht="15.75" customHeight="1" x14ac:dyDescent="0.35">
      <c r="A224" s="87">
        <v>5</v>
      </c>
      <c r="B224" s="88"/>
      <c r="C224" s="42" t="s">
        <v>376</v>
      </c>
      <c r="D224" s="79">
        <f>(26.03)*(10.764)</f>
        <v>280.18691999999999</v>
      </c>
      <c r="E224" s="79">
        <f>(0.65*(2.6+2.6)+0.8*1.85+1.05*2.6)*(10.764)</f>
        <v>81.698760000000007</v>
      </c>
      <c r="F224" s="42">
        <f t="shared" si="33"/>
        <v>361.88567999999998</v>
      </c>
      <c r="G224" s="42">
        <v>0</v>
      </c>
      <c r="H224" s="42">
        <f t="shared" si="34"/>
        <v>524.73423600000001</v>
      </c>
      <c r="I224" s="36"/>
    </row>
    <row r="225" spans="1:20" s="37" customFormat="1" ht="15.75" customHeight="1" x14ac:dyDescent="0.35">
      <c r="A225" s="87">
        <v>6</v>
      </c>
      <c r="B225" s="88"/>
      <c r="C225" s="42" t="s">
        <v>376</v>
      </c>
      <c r="D225" s="79">
        <f>(26.03)*(10.764)</f>
        <v>280.18691999999999</v>
      </c>
      <c r="E225" s="79">
        <f>(0.65*(2.6+2.6)+0.8*1.85+1.05*2.6)*(10.764)</f>
        <v>81.698760000000007</v>
      </c>
      <c r="F225" s="42">
        <f t="shared" si="33"/>
        <v>361.88567999999998</v>
      </c>
      <c r="G225" s="42">
        <v>0</v>
      </c>
      <c r="H225" s="42">
        <f t="shared" si="34"/>
        <v>524.73423600000001</v>
      </c>
      <c r="I225" s="36"/>
    </row>
    <row r="226" spans="1:20" s="37" customFormat="1" ht="15.75" customHeight="1" x14ac:dyDescent="0.35">
      <c r="A226" s="87">
        <v>7</v>
      </c>
      <c r="B226" s="88"/>
      <c r="C226" s="87" t="s">
        <v>384</v>
      </c>
      <c r="D226" s="89"/>
      <c r="E226" s="89"/>
      <c r="F226" s="89"/>
      <c r="G226" s="89"/>
      <c r="H226" s="88"/>
      <c r="I226" s="36"/>
    </row>
    <row r="227" spans="1:20" s="37" customFormat="1" hidden="1" x14ac:dyDescent="0.35">
      <c r="A227" s="92" t="s">
        <v>116</v>
      </c>
      <c r="B227" s="93"/>
      <c r="C227" s="93"/>
      <c r="D227" s="93"/>
      <c r="E227" s="93"/>
      <c r="F227" s="93"/>
      <c r="G227" s="93"/>
      <c r="H227" s="94"/>
      <c r="J227" s="36"/>
    </row>
    <row r="228" spans="1:20" s="37" customFormat="1" ht="15.75" hidden="1" customHeight="1" x14ac:dyDescent="0.35">
      <c r="A228" s="87">
        <v>1</v>
      </c>
      <c r="B228" s="88"/>
      <c r="C228" s="42"/>
      <c r="D228" s="42"/>
      <c r="E228" s="42">
        <v>0</v>
      </c>
      <c r="F228" s="42">
        <f>D228+E228</f>
        <v>0</v>
      </c>
      <c r="G228" s="42">
        <v>0</v>
      </c>
      <c r="H228" s="42">
        <f>F228*(($H$163)+1)+(IF(G228&lt;101,G228,IF(G228&lt;201,G228/2,IF(G228&lt;=301,G228/3,G228/4))))</f>
        <v>0</v>
      </c>
      <c r="I228" s="36"/>
      <c r="L228" s="97"/>
      <c r="M228" s="97"/>
      <c r="N228" s="36"/>
    </row>
    <row r="229" spans="1:20" s="37" customFormat="1" ht="15.75" hidden="1" customHeight="1" x14ac:dyDescent="0.35">
      <c r="A229" s="87">
        <f>A228+1</f>
        <v>2</v>
      </c>
      <c r="B229" s="88"/>
      <c r="C229" s="42"/>
      <c r="D229" s="42"/>
      <c r="E229" s="42">
        <v>0</v>
      </c>
      <c r="F229" s="42">
        <f>D229+E229</f>
        <v>0</v>
      </c>
      <c r="G229" s="42">
        <v>0</v>
      </c>
      <c r="H229" s="42">
        <f>F229*(($H$163)+1)+(IF(G229&lt;101,G229,IF(G229&lt;201,G229/2,IF(G229&lt;=301,G229/3,G229/4))))</f>
        <v>0</v>
      </c>
      <c r="I229" s="36"/>
      <c r="L229" s="97"/>
      <c r="M229" s="97"/>
      <c r="N229" s="36"/>
    </row>
    <row r="230" spans="1:20" s="37" customFormat="1" ht="15.75" hidden="1" customHeight="1" x14ac:dyDescent="0.35">
      <c r="A230" s="87">
        <f>A229+1</f>
        <v>3</v>
      </c>
      <c r="B230" s="88"/>
      <c r="C230" s="42"/>
      <c r="D230" s="42"/>
      <c r="E230" s="42">
        <v>0</v>
      </c>
      <c r="F230" s="42">
        <f>D230+E230</f>
        <v>0</v>
      </c>
      <c r="G230" s="42">
        <v>0</v>
      </c>
      <c r="H230" s="42">
        <f>F230*(($H$163)+1)+(IF(G230&lt;101,G230,IF(G230&lt;201,G230/2,IF(G230&lt;=301,G230/3,G230/4))))</f>
        <v>0</v>
      </c>
      <c r="I230" s="36"/>
      <c r="L230" s="97"/>
      <c r="M230" s="97"/>
      <c r="N230" s="36"/>
    </row>
    <row r="231" spans="1:20" s="37" customFormat="1" ht="15.75" hidden="1" customHeight="1" x14ac:dyDescent="0.35">
      <c r="A231" s="87">
        <f>A230+1</f>
        <v>4</v>
      </c>
      <c r="B231" s="88"/>
      <c r="C231" s="42"/>
      <c r="D231" s="42"/>
      <c r="E231" s="42">
        <v>0</v>
      </c>
      <c r="F231" s="42">
        <f>D231+E231</f>
        <v>0</v>
      </c>
      <c r="G231" s="42">
        <v>0</v>
      </c>
      <c r="H231" s="42">
        <f>F231*(($H$163)+1)+(IF(G231&lt;101,G231,IF(G231&lt;201,G231/2,IF(G231&lt;=301,G231/3,G231/4))))</f>
        <v>0</v>
      </c>
      <c r="I231" s="36"/>
      <c r="L231" s="97"/>
      <c r="M231" s="97"/>
      <c r="N231" s="36"/>
      <c r="T231" s="21"/>
    </row>
    <row r="232" spans="1:20" s="37" customFormat="1" hidden="1" x14ac:dyDescent="0.35">
      <c r="A232" s="96" t="s">
        <v>117</v>
      </c>
      <c r="B232" s="96"/>
      <c r="C232" s="96"/>
      <c r="D232" s="96"/>
      <c r="E232" s="96"/>
      <c r="F232" s="96"/>
      <c r="G232" s="96"/>
      <c r="H232" s="96"/>
      <c r="I232" s="36"/>
      <c r="L232" s="97"/>
      <c r="M232" s="97"/>
    </row>
    <row r="233" spans="1:20" s="37" customFormat="1" hidden="1" x14ac:dyDescent="0.35">
      <c r="A233" s="95">
        <f>LEFT(A232,SUM(LEN(A232)-LEN(SUBSTITUTE(A232,{"0","1","2","3","4","5","6","7","8","9"},""))))*100+1</f>
        <v>201</v>
      </c>
      <c r="B233" s="95"/>
      <c r="C233" s="42"/>
      <c r="D233" s="42"/>
      <c r="E233" s="42">
        <v>0</v>
      </c>
      <c r="F233" s="42">
        <f>D233+E233</f>
        <v>0</v>
      </c>
      <c r="G233" s="42">
        <v>0</v>
      </c>
      <c r="H233" s="42">
        <f>F233*(($H$163)+1)+(IF(G233&lt;101,G233,IF(G233&lt;201,G233/2,IF(G233&lt;=301,G233/3,G233/4))))</f>
        <v>0</v>
      </c>
      <c r="I233" s="36"/>
      <c r="N233" s="36"/>
    </row>
    <row r="234" spans="1:20" s="37" customFormat="1" hidden="1" x14ac:dyDescent="0.35">
      <c r="A234" s="95">
        <f>A233+1</f>
        <v>202</v>
      </c>
      <c r="B234" s="95"/>
      <c r="C234" s="42"/>
      <c r="D234" s="42"/>
      <c r="E234" s="42">
        <v>0</v>
      </c>
      <c r="F234" s="42">
        <f>D234+E234</f>
        <v>0</v>
      </c>
      <c r="G234" s="42">
        <v>0</v>
      </c>
      <c r="H234" s="42">
        <f>F234*(($H$163)+1)+(IF(G234&lt;101,G234,IF(G234&lt;201,G234/2,IF(G234&lt;=301,G234/3,G234/4))))</f>
        <v>0</v>
      </c>
      <c r="I234" s="36"/>
      <c r="N234" s="36"/>
    </row>
    <row r="235" spans="1:20" s="37" customFormat="1" hidden="1" x14ac:dyDescent="0.35">
      <c r="A235" s="95">
        <f>A234+1</f>
        <v>203</v>
      </c>
      <c r="B235" s="95"/>
      <c r="C235" s="42"/>
      <c r="D235" s="42"/>
      <c r="E235" s="42">
        <v>0</v>
      </c>
      <c r="F235" s="42">
        <f>D235+E235</f>
        <v>0</v>
      </c>
      <c r="G235" s="42">
        <v>0</v>
      </c>
      <c r="H235" s="42">
        <f>F235*(($H$163)+1)+(IF(G235&lt;101,G235,IF(G235&lt;201,G235/2,IF(G235&lt;=301,G235/3,G235/4))))</f>
        <v>0</v>
      </c>
      <c r="I235" s="36"/>
      <c r="N235" s="36"/>
    </row>
    <row r="236" spans="1:20" s="37" customFormat="1" hidden="1" x14ac:dyDescent="0.35">
      <c r="A236" s="95">
        <f>A235+1</f>
        <v>204</v>
      </c>
      <c r="B236" s="95"/>
      <c r="C236" s="42"/>
      <c r="D236" s="42"/>
      <c r="E236" s="42">
        <v>0</v>
      </c>
      <c r="F236" s="42">
        <f>D236+E236</f>
        <v>0</v>
      </c>
      <c r="G236" s="42">
        <v>0</v>
      </c>
      <c r="H236" s="42">
        <f>F236*(($H$163)+1)+(IF(G236&lt;101,G236,IF(G236&lt;201,G236/2,IF(G236&lt;=301,G236/3,G236/4))))</f>
        <v>0</v>
      </c>
      <c r="I236" s="36"/>
      <c r="N236" s="36"/>
    </row>
    <row r="237" spans="1:20" s="37" customFormat="1" hidden="1" x14ac:dyDescent="0.35">
      <c r="A237" s="95">
        <f>A236+1</f>
        <v>205</v>
      </c>
      <c r="B237" s="95"/>
      <c r="C237" s="42"/>
      <c r="D237" s="42"/>
      <c r="E237" s="42">
        <v>0</v>
      </c>
      <c r="F237" s="42">
        <f>D237+E237</f>
        <v>0</v>
      </c>
      <c r="G237" s="42">
        <v>0</v>
      </c>
      <c r="H237" s="42">
        <f>F237*(($H$163)+1)+(IF(G237&lt;101,G237,IF(G237&lt;201,G237/2,IF(G237&lt;=301,G237/3,G237/4))))</f>
        <v>0</v>
      </c>
      <c r="I237" s="36"/>
      <c r="N237" s="36"/>
    </row>
    <row r="238" spans="1:20" s="37" customFormat="1" ht="15.75" hidden="1" customHeight="1" x14ac:dyDescent="0.35">
      <c r="A238" s="92" t="s">
        <v>150</v>
      </c>
      <c r="B238" s="93"/>
      <c r="C238" s="93"/>
      <c r="D238" s="93"/>
      <c r="E238" s="93"/>
      <c r="F238" s="93"/>
      <c r="G238" s="93"/>
      <c r="H238" s="94"/>
      <c r="I238" s="36"/>
    </row>
    <row r="239" spans="1:20" s="37" customFormat="1" ht="15.75" hidden="1" customHeight="1" x14ac:dyDescent="0.35">
      <c r="A239" s="87"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10^ROW(INDIRECT("1:"&amp;LEN((LEFT(A238,SUM(LEN(A238)-LEN(SUBSTITUTE(A238,{"0","1","2"},""))))))))/10))*100+1&amp;""&amp;" ,..,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",LEN(A238))),LEN(A238)))))))/10))*100+1</f>
        <v>301 ,.., 1501</v>
      </c>
      <c r="B239" s="88"/>
      <c r="C239" s="42"/>
      <c r="D239" s="42"/>
      <c r="E239" s="42">
        <v>0</v>
      </c>
      <c r="F239" s="42">
        <f>D239+E239</f>
        <v>0</v>
      </c>
      <c r="G239" s="42">
        <v>0</v>
      </c>
      <c r="H239" s="42">
        <f>F239*(($H$163)+1)+(IF(G239&lt;101,G239,IF(G239&lt;201,G239/2,IF(G239&lt;=301,G239/3,G239/4))))</f>
        <v>0</v>
      </c>
      <c r="I239" s="36"/>
    </row>
    <row r="240" spans="1:20" s="37" customFormat="1" ht="15.75" hidden="1" customHeight="1" x14ac:dyDescent="0.35">
      <c r="A240" s="87"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302 ,.., 1502</v>
      </c>
      <c r="B240" s="88"/>
      <c r="C240" s="42"/>
      <c r="D240" s="42"/>
      <c r="E240" s="42">
        <v>0</v>
      </c>
      <c r="F240" s="42">
        <f>D240+E240</f>
        <v>0</v>
      </c>
      <c r="G240" s="42">
        <v>0</v>
      </c>
      <c r="H240" s="42">
        <f>F240*(($H$163)+1)+(IF(G240&lt;101,G240,IF(G240&lt;201,G240/2,IF(G240&lt;=301,G240/3,G240/4))))</f>
        <v>0</v>
      </c>
      <c r="I240" s="36"/>
    </row>
    <row r="241" spans="1:20" s="37" customFormat="1" ht="15.75" hidden="1" customHeight="1" x14ac:dyDescent="0.35">
      <c r="A241" s="87"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303 ,.., 1503</v>
      </c>
      <c r="B241" s="88"/>
      <c r="C241" s="42"/>
      <c r="D241" s="42"/>
      <c r="E241" s="42">
        <v>0</v>
      </c>
      <c r="F241" s="42">
        <f>D241+E241</f>
        <v>0</v>
      </c>
      <c r="G241" s="42">
        <v>0</v>
      </c>
      <c r="H241" s="42">
        <f>F241*(($H$163)+1)+(IF(G241&lt;101,G241,IF(G241&lt;201,G241/2,IF(G241&lt;=301,G241/3,G241/4))))</f>
        <v>0</v>
      </c>
      <c r="I241" s="36"/>
    </row>
    <row r="242" spans="1:20" s="37" customFormat="1" ht="15.75" hidden="1" customHeight="1" x14ac:dyDescent="0.35">
      <c r="A242" s="87"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304 ,.., 1504</v>
      </c>
      <c r="B242" s="88"/>
      <c r="C242" s="42"/>
      <c r="D242" s="42"/>
      <c r="E242" s="42">
        <v>0</v>
      </c>
      <c r="F242" s="42">
        <f>D242+E242</f>
        <v>0</v>
      </c>
      <c r="G242" s="42">
        <v>0</v>
      </c>
      <c r="H242" s="42">
        <f>F242*(($H$163)+1)+(IF(G242&lt;101,G242,IF(G242&lt;201,G242/2,IF(G242&lt;=301,G242/3,G242/4))))</f>
        <v>0</v>
      </c>
      <c r="I242" s="36"/>
    </row>
    <row r="243" spans="1:20" s="37" customFormat="1" ht="15.75" hidden="1" customHeight="1" x14ac:dyDescent="0.35">
      <c r="A243" s="87"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305 ,.., 1505</v>
      </c>
      <c r="B243" s="88"/>
      <c r="C243" s="42"/>
      <c r="D243" s="42"/>
      <c r="E243" s="42">
        <v>0</v>
      </c>
      <c r="F243" s="42">
        <f>D243+E243</f>
        <v>0</v>
      </c>
      <c r="G243" s="42">
        <v>0</v>
      </c>
      <c r="H243" s="42">
        <f>F243*(($H$163)+1)+(IF(G243&lt;101,G243,IF(G243&lt;201,G243/2,IF(G243&lt;=301,G243/3,G243/4))))</f>
        <v>0</v>
      </c>
      <c r="I243" s="36"/>
    </row>
    <row r="244" spans="1:20" s="37" customFormat="1" hidden="1" x14ac:dyDescent="0.35">
      <c r="A244" s="92" t="s">
        <v>144</v>
      </c>
      <c r="B244" s="93"/>
      <c r="C244" s="93"/>
      <c r="D244" s="93"/>
      <c r="E244" s="93"/>
      <c r="F244" s="93"/>
      <c r="G244" s="93"/>
      <c r="H244" s="94"/>
      <c r="I244" s="36"/>
    </row>
    <row r="245" spans="1:20" s="37" customFormat="1" ht="15.75" hidden="1" customHeight="1" x14ac:dyDescent="0.35">
      <c r="A245" s="87"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10^ROW(INDIRECT("1:"&amp;LEN((LEFT(A244,SUM(LEN(A244)-LEN(SUBSTITUTE(A244,{"0","1","2"},""))))))))/10))*100+1&amp;""&amp;" to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",LEN(A244))),LEN(A244)))))))/10))*100+1</f>
        <v>201 to 501</v>
      </c>
      <c r="B245" s="88"/>
      <c r="C245" s="42"/>
      <c r="D245" s="42"/>
      <c r="E245" s="42">
        <v>0</v>
      </c>
      <c r="F245" s="42">
        <f>D245+E245</f>
        <v>0</v>
      </c>
      <c r="G245" s="42">
        <v>0</v>
      </c>
      <c r="H245" s="42">
        <f>F245*(($H$163)+1)+(IF(G245&lt;101,G245,IF(G245&lt;201,G245/2,IF(G245&lt;=301,G245/3,G245/4))))</f>
        <v>0</v>
      </c>
      <c r="I245" s="36"/>
    </row>
    <row r="246" spans="1:20" s="37" customFormat="1" ht="15.75" hidden="1" customHeight="1" x14ac:dyDescent="0.35">
      <c r="A246" s="87"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10^ROW(INDIRECT("1:"&amp;LEN((LEFT(A245,SUM(LEN(A245)-LEN(SUBSTITUTE(A245,{"0","1","2"},""))))))))/10))*1+1&amp;""&amp;" to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",LEN(A245))),LEN(A245)))))))/10))*1+1</f>
        <v>202 to 502</v>
      </c>
      <c r="B246" s="88"/>
      <c r="C246" s="42"/>
      <c r="D246" s="42"/>
      <c r="E246" s="42">
        <v>0</v>
      </c>
      <c r="F246" s="42">
        <f>D246+E246</f>
        <v>0</v>
      </c>
      <c r="G246" s="42">
        <v>0</v>
      </c>
      <c r="H246" s="42">
        <f>F246*(($H$163)+1)+(IF(G246&lt;101,G246,IF(G246&lt;201,G246/2,IF(G246&lt;=301,G246/3,G246/4))))</f>
        <v>0</v>
      </c>
      <c r="I246" s="36"/>
    </row>
    <row r="247" spans="1:20" s="37" customFormat="1" ht="15.75" hidden="1" customHeight="1" x14ac:dyDescent="0.35">
      <c r="A247" s="87"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to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203 to 503</v>
      </c>
      <c r="B247" s="88"/>
      <c r="C247" s="42"/>
      <c r="D247" s="42"/>
      <c r="E247" s="42">
        <v>0</v>
      </c>
      <c r="F247" s="42">
        <f>D247+E247</f>
        <v>0</v>
      </c>
      <c r="G247" s="42">
        <v>0</v>
      </c>
      <c r="H247" s="42">
        <f>F247*(($H$163)+1)+(IF(G247&lt;101,G247,IF(G247&lt;201,G247/2,IF(G247&lt;=301,G247/3,G247/4))))</f>
        <v>0</v>
      </c>
      <c r="I247" s="36"/>
    </row>
    <row r="248" spans="1:20" s="37" customFormat="1" ht="15.75" hidden="1" customHeight="1" x14ac:dyDescent="0.35">
      <c r="A248" s="87"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to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204 to 504</v>
      </c>
      <c r="B248" s="88"/>
      <c r="C248" s="42"/>
      <c r="D248" s="42"/>
      <c r="E248" s="42">
        <v>0</v>
      </c>
      <c r="F248" s="42">
        <f>D248+E248</f>
        <v>0</v>
      </c>
      <c r="G248" s="42">
        <v>0</v>
      </c>
      <c r="H248" s="42">
        <f>F248*(($H$163)+1)+(IF(G248&lt;101,G248,IF(G248&lt;201,G248/2,IF(G248&lt;=301,G248/3,G248/4))))</f>
        <v>0</v>
      </c>
      <c r="I248" s="36"/>
    </row>
    <row r="249" spans="1:20" s="37" customFormat="1" ht="15.75" hidden="1" customHeight="1" x14ac:dyDescent="0.35">
      <c r="A249" s="87"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to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205 to 505</v>
      </c>
      <c r="B249" s="88"/>
      <c r="C249" s="42"/>
      <c r="D249" s="42"/>
      <c r="E249" s="42">
        <v>0</v>
      </c>
      <c r="F249" s="42">
        <f>D249+E249</f>
        <v>0</v>
      </c>
      <c r="G249" s="42">
        <v>0</v>
      </c>
      <c r="H249" s="42">
        <f>F249*(($H$163)+1)+(IF(G249&lt;101,G249,IF(G249&lt;201,G249/2,IF(G249&lt;=301,G249/3,G249/4))))</f>
        <v>0</v>
      </c>
      <c r="I249" s="36"/>
    </row>
    <row r="250" spans="1:20" s="37" customFormat="1" hidden="1" x14ac:dyDescent="0.35">
      <c r="A250" s="92" t="s">
        <v>145</v>
      </c>
      <c r="B250" s="93"/>
      <c r="C250" s="93"/>
      <c r="D250" s="93"/>
      <c r="E250" s="93"/>
      <c r="F250" s="93"/>
      <c r="G250" s="93"/>
      <c r="H250" s="94"/>
      <c r="I250" s="36"/>
    </row>
    <row r="251" spans="1:20" s="37" customFormat="1" ht="15.75" hidden="1" customHeight="1" x14ac:dyDescent="0.35">
      <c r="A251" s="87"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10^ROW(INDIRECT("1:"&amp;LEN((LEFT(A250,SUM(LEN(A250)-LEN(SUBSTITUTE(A250,{"0","1","2"},""))))))))/10))*100+1&amp;""&amp;" &amp;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",LEN(A250))),LEN(A250)))))))/10))*100+1</f>
        <v>201 &amp; 501</v>
      </c>
      <c r="B251" s="88"/>
      <c r="C251" s="42"/>
      <c r="D251" s="42"/>
      <c r="E251" s="42">
        <v>0</v>
      </c>
      <c r="F251" s="42">
        <f>D251+E251</f>
        <v>0</v>
      </c>
      <c r="G251" s="42">
        <v>0</v>
      </c>
      <c r="H251" s="42">
        <f>F251*(($H$163)+1)+(IF(G251&lt;101,G251,IF(G251&lt;201,G251/2,IF(G251&lt;=301,G251/3,G251/4))))</f>
        <v>0</v>
      </c>
      <c r="I251" s="36"/>
    </row>
    <row r="252" spans="1:20" s="37" customFormat="1" ht="15.75" hidden="1" customHeight="1" x14ac:dyDescent="0.35">
      <c r="A252" s="87"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&amp;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202 &amp; 502</v>
      </c>
      <c r="B252" s="88"/>
      <c r="C252" s="42"/>
      <c r="D252" s="42"/>
      <c r="E252" s="42">
        <v>0</v>
      </c>
      <c r="F252" s="42">
        <f>D252+E252</f>
        <v>0</v>
      </c>
      <c r="G252" s="42">
        <v>0</v>
      </c>
      <c r="H252" s="42">
        <f>F252*(($H$163)+1)+(IF(G252&lt;101,G252,IF(G252&lt;201,G252/2,IF(G252&lt;=301,G252/3,G252/4))))</f>
        <v>0</v>
      </c>
      <c r="I252" s="36"/>
    </row>
    <row r="253" spans="1:20" s="37" customFormat="1" ht="15.75" hidden="1" customHeight="1" x14ac:dyDescent="0.35">
      <c r="A253" s="87"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&amp;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203 &amp; 503</v>
      </c>
      <c r="B253" s="88"/>
      <c r="C253" s="42"/>
      <c r="D253" s="42"/>
      <c r="E253" s="42">
        <v>0</v>
      </c>
      <c r="F253" s="42">
        <f>D253+E253</f>
        <v>0</v>
      </c>
      <c r="G253" s="42">
        <v>0</v>
      </c>
      <c r="H253" s="42">
        <f>F253*(($H$163)+1)+(IF(G253&lt;101,G253,IF(G253&lt;201,G253/2,IF(G253&lt;=301,G253/3,G253/4))))</f>
        <v>0</v>
      </c>
      <c r="I253" s="36"/>
    </row>
    <row r="254" spans="1:20" s="37" customFormat="1" ht="15.75" hidden="1" customHeight="1" x14ac:dyDescent="0.35">
      <c r="A254" s="87"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&amp;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204 &amp; 504</v>
      </c>
      <c r="B254" s="88"/>
      <c r="C254" s="42"/>
      <c r="D254" s="42"/>
      <c r="E254" s="42">
        <v>0</v>
      </c>
      <c r="F254" s="42">
        <f>D254+E254</f>
        <v>0</v>
      </c>
      <c r="G254" s="42">
        <v>0</v>
      </c>
      <c r="H254" s="42">
        <f>F254*(($H$163)+1)+(IF(G254&lt;101,G254,IF(G254&lt;201,G254/2,IF(G254&lt;=301,G254/3,G254/4))))</f>
        <v>0</v>
      </c>
      <c r="I254" s="36"/>
    </row>
    <row r="255" spans="1:20" s="37" customFormat="1" ht="15.75" hidden="1" customHeight="1" x14ac:dyDescent="0.35">
      <c r="A255" s="87"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&amp;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205 &amp; 505</v>
      </c>
      <c r="B255" s="88"/>
      <c r="C255" s="42"/>
      <c r="D255" s="42"/>
      <c r="E255" s="42">
        <v>0</v>
      </c>
      <c r="F255" s="42">
        <f>D255+E255</f>
        <v>0</v>
      </c>
      <c r="G255" s="42">
        <v>0</v>
      </c>
      <c r="H255" s="42">
        <f>F255*(($H$163)+1)+(IF(G255&lt;101,G255,IF(G255&lt;201,G255/2,IF(G255&lt;=301,G255/3,G255/4))))</f>
        <v>0</v>
      </c>
      <c r="I255" s="36"/>
    </row>
    <row r="256" spans="1:20" s="35" customFormat="1" x14ac:dyDescent="0.35">
      <c r="A256" s="111" t="s">
        <v>65</v>
      </c>
      <c r="B256" s="111"/>
      <c r="C256" s="111"/>
      <c r="D256" s="111"/>
      <c r="E256" s="111"/>
      <c r="F256" s="111"/>
      <c r="G256" s="111"/>
      <c r="H256" s="111"/>
      <c r="T256" s="37"/>
    </row>
    <row r="257" spans="1:20" s="35" customFormat="1" x14ac:dyDescent="0.35">
      <c r="A257" s="46" t="s">
        <v>154</v>
      </c>
      <c r="B257" s="145" t="s">
        <v>407</v>
      </c>
      <c r="C257" s="146"/>
      <c r="D257" s="146"/>
      <c r="E257" s="146"/>
      <c r="F257" s="146"/>
      <c r="G257" s="146"/>
      <c r="H257" s="147"/>
      <c r="T257" s="37"/>
    </row>
    <row r="258" spans="1:20" s="35" customFormat="1" x14ac:dyDescent="0.35">
      <c r="A258" s="46" t="s">
        <v>154</v>
      </c>
      <c r="B258" s="145" t="str">
        <f>(IF(H162="Saleable area Loading :","We have considered Saleable area of Flats as per our Calculation.","We considered Saleable area of Flat as per Builder area Sheet."))</f>
        <v>We have considered Saleable area of Flats as per our Calculation.</v>
      </c>
      <c r="C258" s="146"/>
      <c r="D258" s="146"/>
      <c r="E258" s="146"/>
      <c r="F258" s="146"/>
      <c r="G258" s="146"/>
      <c r="H258" s="147"/>
      <c r="T258" s="37"/>
    </row>
    <row r="259" spans="1:20" s="35" customFormat="1" x14ac:dyDescent="0.35">
      <c r="A259" s="46" t="s">
        <v>154</v>
      </c>
      <c r="B259" s="145" t="str">
        <f>(IF(H142="Saleable area Loading :","We have considered Saleable area of Commercial as per our Calculation.","We considered Saleable area of Commercial as per Builder area Sheet."))</f>
        <v>We have considered Saleable area of Commercial as per our Calculation.</v>
      </c>
      <c r="C259" s="146"/>
      <c r="D259" s="146"/>
      <c r="E259" s="146"/>
      <c r="F259" s="146"/>
      <c r="G259" s="146"/>
      <c r="H259" s="147"/>
      <c r="T259" s="37"/>
    </row>
    <row r="260" spans="1:20" s="35" customFormat="1" x14ac:dyDescent="0.35">
      <c r="A260" s="46" t="s">
        <v>154</v>
      </c>
      <c r="B260" s="142" t="s">
        <v>121</v>
      </c>
      <c r="C260" s="143"/>
      <c r="D260" s="143"/>
      <c r="E260" s="143"/>
      <c r="F260" s="143"/>
      <c r="G260" s="143"/>
      <c r="H260" s="144"/>
      <c r="T260" s="37"/>
    </row>
    <row r="261" spans="1:20" s="35" customFormat="1" x14ac:dyDescent="0.35">
      <c r="A261" s="46" t="s">
        <v>154</v>
      </c>
      <c r="B261" s="142" t="s">
        <v>385</v>
      </c>
      <c r="C261" s="143"/>
      <c r="D261" s="143"/>
      <c r="E261" s="143"/>
      <c r="F261" s="143"/>
      <c r="G261" s="143"/>
      <c r="H261" s="144"/>
      <c r="T261" s="37"/>
    </row>
    <row r="262" spans="1:20" s="35" customFormat="1" x14ac:dyDescent="0.35">
      <c r="A262" s="46" t="s">
        <v>154</v>
      </c>
      <c r="B262" s="142" t="s">
        <v>153</v>
      </c>
      <c r="C262" s="143"/>
      <c r="D262" s="143"/>
      <c r="E262" s="143"/>
      <c r="F262" s="143"/>
      <c r="G262" s="143"/>
      <c r="H262" s="144"/>
    </row>
    <row r="263" spans="1:20" s="35" customFormat="1" x14ac:dyDescent="0.35">
      <c r="A263" s="46" t="s">
        <v>154</v>
      </c>
      <c r="B263" s="142" t="s">
        <v>122</v>
      </c>
      <c r="C263" s="143"/>
      <c r="D263" s="143"/>
      <c r="E263" s="143"/>
      <c r="F263" s="143"/>
      <c r="G263" s="143"/>
      <c r="H263" s="144"/>
    </row>
    <row r="264" spans="1:20" s="35" customFormat="1" ht="31.5" customHeight="1" x14ac:dyDescent="0.35">
      <c r="A264" s="46" t="s">
        <v>154</v>
      </c>
      <c r="B264" s="142" t="s">
        <v>155</v>
      </c>
      <c r="C264" s="143"/>
      <c r="D264" s="143"/>
      <c r="E264" s="143"/>
      <c r="F264" s="143"/>
      <c r="G264" s="143"/>
      <c r="H264" s="144"/>
    </row>
    <row r="265" spans="1:20" s="35" customFormat="1" x14ac:dyDescent="0.35">
      <c r="A265" s="46" t="s">
        <v>154</v>
      </c>
      <c r="B265" s="142" t="s">
        <v>123</v>
      </c>
      <c r="C265" s="143"/>
      <c r="D265" s="143"/>
      <c r="E265" s="143"/>
      <c r="F265" s="143"/>
      <c r="G265" s="143"/>
      <c r="H265" s="144"/>
    </row>
    <row r="266" spans="1:20" s="35" customFormat="1" ht="32.25" customHeight="1" x14ac:dyDescent="0.35">
      <c r="A266" s="46" t="s">
        <v>154</v>
      </c>
      <c r="B266" s="145" t="s">
        <v>180</v>
      </c>
      <c r="C266" s="146"/>
      <c r="D266" s="146"/>
      <c r="E266" s="146"/>
      <c r="F266" s="146"/>
      <c r="G266" s="146"/>
      <c r="H266" s="147"/>
    </row>
    <row r="267" spans="1:20" s="35" customFormat="1" x14ac:dyDescent="0.35">
      <c r="A267" s="46" t="s">
        <v>154</v>
      </c>
      <c r="B267" s="145" t="s">
        <v>386</v>
      </c>
      <c r="C267" s="146"/>
      <c r="D267" s="146"/>
      <c r="E267" s="146"/>
      <c r="F267" s="146"/>
      <c r="G267" s="146"/>
      <c r="H267" s="147"/>
    </row>
    <row r="268" spans="1:20" s="35" customFormat="1" x14ac:dyDescent="0.35">
      <c r="A268" s="86" t="s">
        <v>154</v>
      </c>
      <c r="B268" s="145" t="s">
        <v>410</v>
      </c>
      <c r="C268" s="146"/>
      <c r="D268" s="146"/>
      <c r="E268" s="146"/>
      <c r="F268" s="146"/>
      <c r="G268" s="146"/>
      <c r="H268" s="147"/>
    </row>
    <row r="269" spans="1:20" x14ac:dyDescent="0.35">
      <c r="A269" s="157" t="s">
        <v>58</v>
      </c>
      <c r="B269" s="157"/>
      <c r="C269" s="157"/>
      <c r="D269" s="157"/>
      <c r="E269" s="157"/>
      <c r="F269" s="157"/>
      <c r="G269" s="157"/>
      <c r="H269" s="157"/>
      <c r="T269" s="35"/>
    </row>
    <row r="270" spans="1:20" x14ac:dyDescent="0.35">
      <c r="A270" s="105" t="s">
        <v>59</v>
      </c>
      <c r="B270" s="105"/>
      <c r="C270" s="105"/>
      <c r="D270" s="105"/>
      <c r="E270" s="105"/>
      <c r="F270" s="105"/>
      <c r="G270" s="105"/>
      <c r="H270" s="105"/>
      <c r="T270" s="35"/>
    </row>
    <row r="271" spans="1:20" ht="15.75" customHeight="1" x14ac:dyDescent="0.35">
      <c r="A271" s="135" t="s">
        <v>60</v>
      </c>
      <c r="B271" s="135"/>
      <c r="C271" s="135"/>
      <c r="D271" s="135"/>
      <c r="E271" s="135"/>
      <c r="F271" s="135"/>
      <c r="G271" s="135"/>
      <c r="H271" s="135"/>
      <c r="T271" s="35"/>
    </row>
    <row r="272" spans="1:20" x14ac:dyDescent="0.35">
      <c r="A272" s="105" t="s">
        <v>61</v>
      </c>
      <c r="B272" s="105"/>
      <c r="C272" s="105"/>
      <c r="D272" s="105"/>
      <c r="E272" s="105"/>
      <c r="F272" s="105"/>
      <c r="G272" s="105"/>
      <c r="H272" s="105"/>
      <c r="T272" s="35"/>
    </row>
    <row r="273" spans="1:20" x14ac:dyDescent="0.35">
      <c r="A273" s="105" t="s">
        <v>62</v>
      </c>
      <c r="B273" s="105"/>
      <c r="C273" s="105"/>
      <c r="D273" s="105"/>
      <c r="E273" s="105"/>
      <c r="F273" s="105"/>
      <c r="G273" s="105"/>
      <c r="H273" s="105"/>
      <c r="T273" s="35"/>
    </row>
    <row r="274" spans="1:20" x14ac:dyDescent="0.35">
      <c r="A274" s="105" t="s">
        <v>124</v>
      </c>
      <c r="B274" s="105"/>
      <c r="C274" s="105"/>
      <c r="D274" s="105"/>
      <c r="E274" s="105"/>
      <c r="F274" s="105"/>
      <c r="G274" s="105"/>
      <c r="H274" s="105"/>
      <c r="T274" s="35"/>
    </row>
    <row r="275" spans="1:20" ht="34" customHeight="1" x14ac:dyDescent="0.35">
      <c r="A275" s="112" t="s">
        <v>125</v>
      </c>
      <c r="B275" s="112"/>
      <c r="C275" s="112"/>
      <c r="D275" s="112"/>
      <c r="E275" s="112"/>
      <c r="F275" s="112"/>
      <c r="G275" s="112"/>
      <c r="H275" s="112"/>
    </row>
    <row r="276" spans="1:20" x14ac:dyDescent="0.35">
      <c r="A276" s="153" t="s">
        <v>73</v>
      </c>
      <c r="B276" s="153"/>
      <c r="C276" s="153" t="s">
        <v>412</v>
      </c>
      <c r="D276" s="153"/>
      <c r="E276" s="153" t="s">
        <v>103</v>
      </c>
      <c r="F276" s="153"/>
      <c r="G276" s="153" t="s">
        <v>411</v>
      </c>
      <c r="H276" s="153"/>
    </row>
    <row r="277" spans="1:20" x14ac:dyDescent="0.35">
      <c r="A277" s="152" t="s">
        <v>75</v>
      </c>
      <c r="B277" s="152"/>
      <c r="C277" s="152"/>
      <c r="D277" s="152"/>
      <c r="E277" s="152"/>
      <c r="F277" s="152"/>
      <c r="G277" s="152"/>
      <c r="H277" s="152"/>
    </row>
    <row r="278" spans="1:20" x14ac:dyDescent="0.35">
      <c r="A278" s="152"/>
      <c r="B278" s="152"/>
      <c r="C278" s="152"/>
      <c r="D278" s="152"/>
      <c r="E278" s="152"/>
      <c r="F278" s="152"/>
      <c r="G278" s="152"/>
      <c r="H278" s="152"/>
    </row>
    <row r="279" spans="1:20" x14ac:dyDescent="0.35">
      <c r="A279" s="152"/>
      <c r="B279" s="152"/>
      <c r="C279" s="152"/>
      <c r="D279" s="152"/>
      <c r="E279" s="152"/>
      <c r="F279" s="152"/>
      <c r="G279" s="152"/>
      <c r="H279" s="152"/>
    </row>
    <row r="280" spans="1:20" x14ac:dyDescent="0.35">
      <c r="A280" s="152"/>
      <c r="B280" s="152"/>
      <c r="C280" s="152"/>
      <c r="D280" s="152"/>
      <c r="E280" s="152"/>
      <c r="F280" s="152"/>
      <c r="G280" s="152"/>
      <c r="H280" s="152"/>
    </row>
    <row r="281" spans="1:20" x14ac:dyDescent="0.35">
      <c r="A281" s="38" t="s">
        <v>63</v>
      </c>
      <c r="B281" s="39"/>
      <c r="C281" s="39"/>
      <c r="D281" s="38" t="str">
        <f>E9</f>
        <v>Dhananjay Hill View</v>
      </c>
      <c r="F281" s="39"/>
      <c r="G281" s="39"/>
      <c r="H281" s="39"/>
    </row>
    <row r="282" spans="1:20" x14ac:dyDescent="0.35">
      <c r="A282" s="39"/>
      <c r="B282" s="39"/>
      <c r="C282" s="39"/>
      <c r="D282" s="39"/>
      <c r="E282" s="39"/>
      <c r="F282" s="39"/>
      <c r="G282" s="39"/>
      <c r="H282" s="39"/>
    </row>
    <row r="283" spans="1:20" x14ac:dyDescent="0.35">
      <c r="A283" s="39"/>
      <c r="B283" s="39"/>
      <c r="C283" s="39"/>
      <c r="D283" s="39"/>
      <c r="E283" s="39"/>
      <c r="F283" s="39"/>
      <c r="G283" s="39"/>
      <c r="H283" s="39"/>
    </row>
    <row r="284" spans="1:20" ht="15" customHeight="1" x14ac:dyDescent="0.35"/>
    <row r="323" spans="1:1" x14ac:dyDescent="0.35">
      <c r="A323" s="41" t="s">
        <v>165</v>
      </c>
    </row>
    <row r="365" spans="1:1" x14ac:dyDescent="0.35">
      <c r="A365" s="41" t="s">
        <v>64</v>
      </c>
    </row>
  </sheetData>
  <mergeCells count="450">
    <mergeCell ref="B268:H268"/>
    <mergeCell ref="A159:B159"/>
    <mergeCell ref="L159:M159"/>
    <mergeCell ref="A160:B160"/>
    <mergeCell ref="L160:M160"/>
    <mergeCell ref="A154:B154"/>
    <mergeCell ref="L154:M154"/>
    <mergeCell ref="A155:B155"/>
    <mergeCell ref="L155:M155"/>
    <mergeCell ref="A156:B156"/>
    <mergeCell ref="L156:M156"/>
    <mergeCell ref="A157:B157"/>
    <mergeCell ref="L157:M157"/>
    <mergeCell ref="A158:H158"/>
    <mergeCell ref="A90:B90"/>
    <mergeCell ref="L149:M149"/>
    <mergeCell ref="L148:M148"/>
    <mergeCell ref="L147:M147"/>
    <mergeCell ref="L146:M146"/>
    <mergeCell ref="E136:F136"/>
    <mergeCell ref="G136:H136"/>
    <mergeCell ref="A117:E117"/>
    <mergeCell ref="A88:B88"/>
    <mergeCell ref="C88:H88"/>
    <mergeCell ref="A145:H145"/>
    <mergeCell ref="E142:E143"/>
    <mergeCell ref="A92:B92"/>
    <mergeCell ref="C90:H90"/>
    <mergeCell ref="A93:B93"/>
    <mergeCell ref="A94:B94"/>
    <mergeCell ref="G92:H101"/>
    <mergeCell ref="A95:B95"/>
    <mergeCell ref="A97:B97"/>
    <mergeCell ref="A99:B99"/>
    <mergeCell ref="A100:B100"/>
    <mergeCell ref="G91:H91"/>
    <mergeCell ref="G135:H135"/>
    <mergeCell ref="A150:B150"/>
    <mergeCell ref="L150:M150"/>
    <mergeCell ref="A151:B151"/>
    <mergeCell ref="L151:M151"/>
    <mergeCell ref="A152:B152"/>
    <mergeCell ref="L152:M152"/>
    <mergeCell ref="A153:B153"/>
    <mergeCell ref="L153:M153"/>
    <mergeCell ref="A115:B115"/>
    <mergeCell ref="C142:C143"/>
    <mergeCell ref="F118:H118"/>
    <mergeCell ref="A118:E118"/>
    <mergeCell ref="D142:D143"/>
    <mergeCell ref="A120:E120"/>
    <mergeCell ref="A119:E119"/>
    <mergeCell ref="A116:E116"/>
    <mergeCell ref="F120:H120"/>
    <mergeCell ref="F116:H116"/>
    <mergeCell ref="F121:H121"/>
    <mergeCell ref="A122:E122"/>
    <mergeCell ref="F122:H122"/>
    <mergeCell ref="A124:E124"/>
    <mergeCell ref="F119:H119"/>
    <mergeCell ref="A123:E123"/>
    <mergeCell ref="B259:H259"/>
    <mergeCell ref="A91:B91"/>
    <mergeCell ref="E91:F91"/>
    <mergeCell ref="E92:F101"/>
    <mergeCell ref="A102:B102"/>
    <mergeCell ref="C102:H102"/>
    <mergeCell ref="A104:B104"/>
    <mergeCell ref="C104:H104"/>
    <mergeCell ref="A105:B105"/>
    <mergeCell ref="E105:F105"/>
    <mergeCell ref="G105:H105"/>
    <mergeCell ref="A106:B106"/>
    <mergeCell ref="E106:F115"/>
    <mergeCell ref="G106:H115"/>
    <mergeCell ref="A107:B107"/>
    <mergeCell ref="A108:B108"/>
    <mergeCell ref="A109:B109"/>
    <mergeCell ref="A110:B110"/>
    <mergeCell ref="A111:B111"/>
    <mergeCell ref="A112:B112"/>
    <mergeCell ref="A113:B113"/>
    <mergeCell ref="A114:B114"/>
    <mergeCell ref="G142:G143"/>
    <mergeCell ref="A144:H144"/>
    <mergeCell ref="A80:B80"/>
    <mergeCell ref="E78:F87"/>
    <mergeCell ref="G78:H87"/>
    <mergeCell ref="B267:H267"/>
    <mergeCell ref="A121:E121"/>
    <mergeCell ref="A138:B138"/>
    <mergeCell ref="E138:F138"/>
    <mergeCell ref="A126:E126"/>
    <mergeCell ref="G138:H138"/>
    <mergeCell ref="C132:D132"/>
    <mergeCell ref="E132:F132"/>
    <mergeCell ref="G132:H132"/>
    <mergeCell ref="A133:B133"/>
    <mergeCell ref="C133:D133"/>
    <mergeCell ref="E133:F133"/>
    <mergeCell ref="G133:H133"/>
    <mergeCell ref="A137:B137"/>
    <mergeCell ref="C137:D137"/>
    <mergeCell ref="E137:F137"/>
    <mergeCell ref="G137:H137"/>
    <mergeCell ref="B264:H264"/>
    <mergeCell ref="A85:B85"/>
    <mergeCell ref="C136:D136"/>
    <mergeCell ref="B162:B163"/>
    <mergeCell ref="L232:M232"/>
    <mergeCell ref="A237:B237"/>
    <mergeCell ref="A234:B234"/>
    <mergeCell ref="A235:B235"/>
    <mergeCell ref="A245:B245"/>
    <mergeCell ref="A40:B40"/>
    <mergeCell ref="C40:H40"/>
    <mergeCell ref="F142:F143"/>
    <mergeCell ref="C131:D131"/>
    <mergeCell ref="E131:F131"/>
    <mergeCell ref="B142:B143"/>
    <mergeCell ref="A142:A143"/>
    <mergeCell ref="C162:C163"/>
    <mergeCell ref="G162:G163"/>
    <mergeCell ref="L231:M231"/>
    <mergeCell ref="L228:M228"/>
    <mergeCell ref="A229:B229"/>
    <mergeCell ref="G139:H139"/>
    <mergeCell ref="L229:M229"/>
    <mergeCell ref="A230:B230"/>
    <mergeCell ref="L230:M230"/>
    <mergeCell ref="C55:H55"/>
    <mergeCell ref="A231:B231"/>
    <mergeCell ref="A77:B77"/>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D68:H68"/>
    <mergeCell ref="A44:D44"/>
    <mergeCell ref="E44:H44"/>
    <mergeCell ref="E45:H45"/>
    <mergeCell ref="E46:H46"/>
    <mergeCell ref="E47:H47"/>
    <mergeCell ref="C57:H57"/>
    <mergeCell ref="C59:H59"/>
    <mergeCell ref="A48:H48"/>
    <mergeCell ref="D64:H64"/>
    <mergeCell ref="A64:C64"/>
    <mergeCell ref="A45:D45"/>
    <mergeCell ref="A49:B49"/>
    <mergeCell ref="C49:H49"/>
    <mergeCell ref="A65:C66"/>
    <mergeCell ref="D65:H65"/>
    <mergeCell ref="D66:H66"/>
    <mergeCell ref="G52:H52"/>
    <mergeCell ref="A61:H61"/>
    <mergeCell ref="A62:C62"/>
    <mergeCell ref="A63:C63"/>
    <mergeCell ref="C53:H53"/>
    <mergeCell ref="A76:B76"/>
    <mergeCell ref="A74:B74"/>
    <mergeCell ref="C74:H74"/>
    <mergeCell ref="A69:C69"/>
    <mergeCell ref="D69:H69"/>
    <mergeCell ref="C76:H76"/>
    <mergeCell ref="A70:C70"/>
    <mergeCell ref="D70:H70"/>
    <mergeCell ref="A73:C73"/>
    <mergeCell ref="D73:H73"/>
    <mergeCell ref="A72:C72"/>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G20:H20"/>
    <mergeCell ref="A21:B21"/>
    <mergeCell ref="C21:D21"/>
    <mergeCell ref="E21:F21"/>
    <mergeCell ref="G21:H21"/>
    <mergeCell ref="A22:B22"/>
    <mergeCell ref="C22:D22"/>
    <mergeCell ref="E22:F22"/>
    <mergeCell ref="G22:H22"/>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B262:H262"/>
    <mergeCell ref="A247:B247"/>
    <mergeCell ref="A236:B236"/>
    <mergeCell ref="A243:B24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62:A163"/>
    <mergeCell ref="A277:H280"/>
    <mergeCell ref="A276:B276"/>
    <mergeCell ref="E276:F276"/>
    <mergeCell ref="C276:D276"/>
    <mergeCell ref="G276:H276"/>
    <mergeCell ref="A129:H129"/>
    <mergeCell ref="A127:E127"/>
    <mergeCell ref="F127:H127"/>
    <mergeCell ref="A128:E128"/>
    <mergeCell ref="F128:H128"/>
    <mergeCell ref="A232:H232"/>
    <mergeCell ref="A136:B136"/>
    <mergeCell ref="A241:B241"/>
    <mergeCell ref="A272:H272"/>
    <mergeCell ref="A134:H134"/>
    <mergeCell ref="A275:H275"/>
    <mergeCell ref="A273:H273"/>
    <mergeCell ref="A270:H270"/>
    <mergeCell ref="A228:B228"/>
    <mergeCell ref="A149:B149"/>
    <mergeCell ref="A148:B148"/>
    <mergeCell ref="A161:H161"/>
    <mergeCell ref="E135:F135"/>
    <mergeCell ref="A269:H269"/>
    <mergeCell ref="F162:F163"/>
    <mergeCell ref="A239:B239"/>
    <mergeCell ref="A146:B146"/>
    <mergeCell ref="B266:H266"/>
    <mergeCell ref="A139:B139"/>
    <mergeCell ref="C139:D139"/>
    <mergeCell ref="E139:F139"/>
    <mergeCell ref="B265:H265"/>
    <mergeCell ref="B263:H263"/>
    <mergeCell ref="A165:H165"/>
    <mergeCell ref="A183:H183"/>
    <mergeCell ref="A190:B190"/>
    <mergeCell ref="A191:B191"/>
    <mergeCell ref="A174:H174"/>
    <mergeCell ref="A175:B175"/>
    <mergeCell ref="A176:B176"/>
    <mergeCell ref="A177:B177"/>
    <mergeCell ref="A178:B178"/>
    <mergeCell ref="A179:B179"/>
    <mergeCell ref="A180:B180"/>
    <mergeCell ref="A181:B181"/>
    <mergeCell ref="A182:B182"/>
    <mergeCell ref="A246:B246"/>
    <mergeCell ref="A184:B184"/>
    <mergeCell ref="A274:H274"/>
    <mergeCell ref="A271:H271"/>
    <mergeCell ref="A233:B233"/>
    <mergeCell ref="A135:B135"/>
    <mergeCell ref="D162:D163"/>
    <mergeCell ref="E162:E163"/>
    <mergeCell ref="A96:B96"/>
    <mergeCell ref="A98:B98"/>
    <mergeCell ref="F117:H117"/>
    <mergeCell ref="G131:H131"/>
    <mergeCell ref="A101:B101"/>
    <mergeCell ref="F123:H123"/>
    <mergeCell ref="C130:D130"/>
    <mergeCell ref="C138:D138"/>
    <mergeCell ref="A227:H227"/>
    <mergeCell ref="A242:B242"/>
    <mergeCell ref="B261:H261"/>
    <mergeCell ref="A251:B251"/>
    <mergeCell ref="A252:B252"/>
    <mergeCell ref="A255:B255"/>
    <mergeCell ref="A254:B254"/>
    <mergeCell ref="B257:H257"/>
    <mergeCell ref="B258:H258"/>
    <mergeCell ref="B260:H260"/>
    <mergeCell ref="I15:P15"/>
    <mergeCell ref="F126:H126"/>
    <mergeCell ref="F124:H124"/>
    <mergeCell ref="A240:B240"/>
    <mergeCell ref="A141:H141"/>
    <mergeCell ref="G130:H130"/>
    <mergeCell ref="A125:E125"/>
    <mergeCell ref="A147:B147"/>
    <mergeCell ref="A60:B60"/>
    <mergeCell ref="C60:E60"/>
    <mergeCell ref="D62:H62"/>
    <mergeCell ref="F125:H125"/>
    <mergeCell ref="E130:F130"/>
    <mergeCell ref="A130:B130"/>
    <mergeCell ref="C135:D135"/>
    <mergeCell ref="D71:H71"/>
    <mergeCell ref="D63:H63"/>
    <mergeCell ref="G60:H60"/>
    <mergeCell ref="A54:B55"/>
    <mergeCell ref="C54:E54"/>
    <mergeCell ref="G54:H54"/>
    <mergeCell ref="A56:B57"/>
    <mergeCell ref="C56:E56"/>
    <mergeCell ref="A140:H140"/>
    <mergeCell ref="E43:H43"/>
    <mergeCell ref="A43:D43"/>
    <mergeCell ref="A83:B83"/>
    <mergeCell ref="A50:B50"/>
    <mergeCell ref="C52:E52"/>
    <mergeCell ref="A256:H256"/>
    <mergeCell ref="A248:B248"/>
    <mergeCell ref="A249:B249"/>
    <mergeCell ref="A244:H244"/>
    <mergeCell ref="A238:H238"/>
    <mergeCell ref="A253:B253"/>
    <mergeCell ref="A250:H250"/>
    <mergeCell ref="A71:C71"/>
    <mergeCell ref="D72:H72"/>
    <mergeCell ref="A78:B78"/>
    <mergeCell ref="G77:H77"/>
    <mergeCell ref="A86:B86"/>
    <mergeCell ref="A87:B87"/>
    <mergeCell ref="A82:B82"/>
    <mergeCell ref="A79:B79"/>
    <mergeCell ref="A81:B81"/>
    <mergeCell ref="E77:F77"/>
    <mergeCell ref="A84:B84"/>
    <mergeCell ref="A164:H164"/>
    <mergeCell ref="A185:B185"/>
    <mergeCell ref="A186:B186"/>
    <mergeCell ref="A187:B187"/>
    <mergeCell ref="A188:B188"/>
    <mergeCell ref="A189:B189"/>
    <mergeCell ref="L165:M165"/>
    <mergeCell ref="A166:B166"/>
    <mergeCell ref="A167:B167"/>
    <mergeCell ref="A168:B168"/>
    <mergeCell ref="A169:B169"/>
    <mergeCell ref="A170:B170"/>
    <mergeCell ref="A171:B171"/>
    <mergeCell ref="A172:B172"/>
    <mergeCell ref="A173:B173"/>
    <mergeCell ref="C166:H166"/>
    <mergeCell ref="C168:H169"/>
    <mergeCell ref="A203:H203"/>
    <mergeCell ref="L203:M203"/>
    <mergeCell ref="A204:B204"/>
    <mergeCell ref="A205:B205"/>
    <mergeCell ref="A206:B206"/>
    <mergeCell ref="A207:B207"/>
    <mergeCell ref="A192:H192"/>
    <mergeCell ref="L192:M192"/>
    <mergeCell ref="A193:B193"/>
    <mergeCell ref="A194:B194"/>
    <mergeCell ref="A195:B195"/>
    <mergeCell ref="A196:B196"/>
    <mergeCell ref="A197:B197"/>
    <mergeCell ref="A198:B198"/>
    <mergeCell ref="A199:B199"/>
    <mergeCell ref="A220:B220"/>
    <mergeCell ref="A221:B221"/>
    <mergeCell ref="A222:B222"/>
    <mergeCell ref="A223:B223"/>
    <mergeCell ref="A224:B224"/>
    <mergeCell ref="A225:B225"/>
    <mergeCell ref="A226:B226"/>
    <mergeCell ref="C226:H226"/>
    <mergeCell ref="A131:A132"/>
    <mergeCell ref="A216:B216"/>
    <mergeCell ref="A217:B217"/>
    <mergeCell ref="A218:B218"/>
    <mergeCell ref="A211:H211"/>
    <mergeCell ref="A212:B212"/>
    <mergeCell ref="A213:B213"/>
    <mergeCell ref="A214:B214"/>
    <mergeCell ref="A215:B215"/>
    <mergeCell ref="A219:H219"/>
    <mergeCell ref="A208:B208"/>
    <mergeCell ref="A209:B209"/>
    <mergeCell ref="A210:B210"/>
    <mergeCell ref="A200:B200"/>
    <mergeCell ref="A201:H201"/>
    <mergeCell ref="A202:H20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76:H276">
      <formula1>"Kunal Kadam,Pranita Mhatre,Shruti Fule,Pooja Kawale,Gaurav Panchal,Shruti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2:B143">
      <formula1>"Shop No. (Sale Plan),Sale / Rehab,Sale / Mhada"</formula1>
    </dataValidation>
    <dataValidation type="list" allowBlank="1" showInputMessage="1" showErrorMessage="1" sqref="B162:B16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2:E163">
      <formula1>"Fungible area,Balcony Area,Chajja Area,Cornice Area,AP Area,WS Area"</formula1>
    </dataValidation>
    <dataValidation type="list" allowBlank="1" showInputMessage="1" showErrorMessage="1" sqref="H143 H16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2 H162">
      <formula1>"Saleable area Loading :,Builder Saleable Area"</formula1>
    </dataValidation>
    <dataValidation type="list" allowBlank="1" showInputMessage="1" showErrorMessage="1" sqref="D142:D143 D162:D16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16383" man="1"/>
    <brk id="280" max="16383" man="1"/>
    <brk id="322" max="16383" man="1"/>
    <brk id="36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3" t="s">
        <v>104</v>
      </c>
      <c r="C3" s="223"/>
      <c r="D3" s="223"/>
      <c r="E3" s="223"/>
      <c r="F3" s="223"/>
      <c r="G3" s="223"/>
      <c r="H3" s="223"/>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11</v>
      </c>
      <c r="D4" s="54" t="s">
        <v>181</v>
      </c>
      <c r="E4" s="54" t="s">
        <v>191</v>
      </c>
      <c r="F4" s="54" t="s">
        <v>174</v>
      </c>
      <c r="G4" s="54" t="s">
        <v>196</v>
      </c>
      <c r="H4" s="54" t="s">
        <v>214</v>
      </c>
      <c r="J4" t="s">
        <v>196</v>
      </c>
      <c r="K4" t="s">
        <v>212</v>
      </c>
    </row>
    <row r="5" spans="2:11" x14ac:dyDescent="0.35">
      <c r="B5" s="53"/>
      <c r="C5" s="53"/>
      <c r="D5" s="54" t="s">
        <v>182</v>
      </c>
      <c r="E5" s="54" t="s">
        <v>189</v>
      </c>
      <c r="F5" s="54" t="s">
        <v>211</v>
      </c>
      <c r="G5" s="54" t="s">
        <v>197</v>
      </c>
      <c r="H5" s="54" t="s">
        <v>215</v>
      </c>
    </row>
    <row r="6" spans="2:11" x14ac:dyDescent="0.35">
      <c r="B6" s="53"/>
      <c r="C6" s="53"/>
      <c r="D6" s="54" t="s">
        <v>183</v>
      </c>
      <c r="E6" s="54" t="s">
        <v>190</v>
      </c>
      <c r="F6" s="54" t="s">
        <v>212</v>
      </c>
      <c r="G6" s="54" t="s">
        <v>198</v>
      </c>
      <c r="H6" s="54" t="s">
        <v>228</v>
      </c>
    </row>
    <row r="7" spans="2:11" x14ac:dyDescent="0.35">
      <c r="B7" s="53"/>
      <c r="C7" s="53"/>
      <c r="D7" s="54" t="s">
        <v>184</v>
      </c>
      <c r="E7" s="54" t="s">
        <v>192</v>
      </c>
      <c r="F7" s="54" t="s">
        <v>213</v>
      </c>
      <c r="G7" s="54" t="s">
        <v>199</v>
      </c>
      <c r="H7" s="54" t="s">
        <v>216</v>
      </c>
    </row>
    <row r="8" spans="2:11" x14ac:dyDescent="0.35">
      <c r="B8" s="53"/>
      <c r="C8" s="53"/>
      <c r="D8" s="54" t="s">
        <v>185</v>
      </c>
      <c r="E8" s="54" t="s">
        <v>193</v>
      </c>
      <c r="F8" s="54"/>
      <c r="G8" s="54" t="s">
        <v>200</v>
      </c>
      <c r="H8" s="54" t="s">
        <v>217</v>
      </c>
    </row>
    <row r="9" spans="2:11" x14ac:dyDescent="0.35">
      <c r="B9" s="53"/>
      <c r="C9" s="53"/>
      <c r="D9" s="54" t="s">
        <v>186</v>
      </c>
      <c r="E9" s="54" t="s">
        <v>191</v>
      </c>
      <c r="F9" s="54"/>
      <c r="G9" s="54" t="s">
        <v>201</v>
      </c>
      <c r="H9" s="54" t="s">
        <v>218</v>
      </c>
    </row>
    <row r="10" spans="2:11" x14ac:dyDescent="0.35">
      <c r="B10" s="53"/>
      <c r="C10" s="53"/>
      <c r="D10" s="54" t="s">
        <v>187</v>
      </c>
      <c r="E10" s="54" t="s">
        <v>194</v>
      </c>
      <c r="F10" s="54"/>
      <c r="G10" s="54" t="s">
        <v>202</v>
      </c>
      <c r="H10" s="54" t="s">
        <v>219</v>
      </c>
    </row>
    <row r="11" spans="2:11" x14ac:dyDescent="0.35">
      <c r="B11" s="53"/>
      <c r="C11" s="53"/>
      <c r="D11" s="54" t="s">
        <v>188</v>
      </c>
      <c r="E11" s="54" t="s">
        <v>195</v>
      </c>
      <c r="F11" s="54"/>
      <c r="G11" s="54" t="s">
        <v>203</v>
      </c>
      <c r="H11" s="54" t="s">
        <v>220</v>
      </c>
    </row>
    <row r="12" spans="2:11" x14ac:dyDescent="0.35">
      <c r="B12" s="53"/>
      <c r="C12" s="53"/>
      <c r="D12" s="54"/>
      <c r="E12" s="54"/>
      <c r="F12" s="54"/>
      <c r="G12" s="54" t="s">
        <v>204</v>
      </c>
      <c r="H12" s="54" t="s">
        <v>221</v>
      </c>
    </row>
    <row r="13" spans="2:11" x14ac:dyDescent="0.35">
      <c r="B13" s="53"/>
      <c r="C13" s="53"/>
      <c r="D13" s="54"/>
      <c r="E13" s="54"/>
      <c r="F13" s="54"/>
      <c r="G13" s="54" t="s">
        <v>205</v>
      </c>
      <c r="H13" s="54" t="s">
        <v>222</v>
      </c>
    </row>
    <row r="14" spans="2:11" x14ac:dyDescent="0.35">
      <c r="B14" s="53"/>
      <c r="C14" s="53"/>
      <c r="D14" s="54"/>
      <c r="E14" s="54"/>
      <c r="F14" s="54"/>
      <c r="G14" s="54" t="s">
        <v>206</v>
      </c>
      <c r="H14" s="54" t="s">
        <v>223</v>
      </c>
    </row>
    <row r="15" spans="2:11" x14ac:dyDescent="0.35">
      <c r="B15" s="53"/>
      <c r="C15" s="53"/>
      <c r="D15" s="54"/>
      <c r="E15" s="54"/>
      <c r="F15" s="54"/>
      <c r="G15" s="54" t="s">
        <v>207</v>
      </c>
      <c r="H15" s="54" t="s">
        <v>224</v>
      </c>
    </row>
    <row r="16" spans="2:11" x14ac:dyDescent="0.35">
      <c r="B16" s="53"/>
      <c r="C16" s="53"/>
      <c r="D16" s="54"/>
      <c r="E16" s="54"/>
      <c r="F16" s="54"/>
      <c r="G16" s="54" t="s">
        <v>208</v>
      </c>
      <c r="H16" s="54" t="s">
        <v>225</v>
      </c>
    </row>
    <row r="17" spans="2:8" x14ac:dyDescent="0.35">
      <c r="B17" s="53"/>
      <c r="C17" s="53"/>
      <c r="D17" s="54"/>
      <c r="E17" s="54"/>
      <c r="F17" s="54"/>
      <c r="G17" s="54" t="s">
        <v>209</v>
      </c>
      <c r="H17" s="54" t="s">
        <v>226</v>
      </c>
    </row>
    <row r="18" spans="2:8" x14ac:dyDescent="0.35">
      <c r="B18" s="53"/>
      <c r="C18" s="53"/>
      <c r="D18" s="54"/>
      <c r="E18" s="54"/>
      <c r="F18" s="54"/>
      <c r="G18" s="54" t="s">
        <v>210</v>
      </c>
      <c r="H18" s="54" t="s">
        <v>227</v>
      </c>
    </row>
    <row r="24" spans="2:8" x14ac:dyDescent="0.35">
      <c r="C24" t="s">
        <v>171</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171</v>
      </c>
    </row>
    <row r="33" spans="3:11" x14ac:dyDescent="0.35">
      <c r="J33">
        <v>1</v>
      </c>
      <c r="K33">
        <v>2</v>
      </c>
    </row>
    <row r="34" spans="3:11" x14ac:dyDescent="0.35">
      <c r="C34" s="55" t="s">
        <v>239</v>
      </c>
      <c r="D34" s="54" t="s">
        <v>237</v>
      </c>
      <c r="E34" s="54" t="s">
        <v>242</v>
      </c>
      <c r="F34" s="54" t="s">
        <v>240</v>
      </c>
      <c r="G34" s="54" t="s">
        <v>241</v>
      </c>
      <c r="H34" s="54" t="s">
        <v>243</v>
      </c>
      <c r="J34" t="s">
        <v>196</v>
      </c>
      <c r="K34" t="s">
        <v>212</v>
      </c>
    </row>
    <row r="35" spans="3:11" x14ac:dyDescent="0.35">
      <c r="C35" s="53" t="s">
        <v>238</v>
      </c>
      <c r="D35" s="54" t="s">
        <v>172</v>
      </c>
      <c r="E35" s="54" t="s">
        <v>247</v>
      </c>
      <c r="F35" s="54" t="s">
        <v>249</v>
      </c>
      <c r="G35" s="54" t="s">
        <v>251</v>
      </c>
      <c r="H35" s="54"/>
    </row>
    <row r="36" spans="3:11" x14ac:dyDescent="0.35">
      <c r="C36" s="53"/>
      <c r="D36" s="54" t="s">
        <v>244</v>
      </c>
      <c r="E36" s="54" t="s">
        <v>248</v>
      </c>
      <c r="F36" s="54" t="s">
        <v>250</v>
      </c>
      <c r="G36" s="54" t="s">
        <v>252</v>
      </c>
      <c r="H36" s="54"/>
    </row>
    <row r="37" spans="3:11" x14ac:dyDescent="0.35">
      <c r="C37" s="53"/>
      <c r="D37" s="54" t="s">
        <v>245</v>
      </c>
      <c r="E37" s="54"/>
      <c r="F37" s="54"/>
      <c r="G37" s="54" t="s">
        <v>253</v>
      </c>
      <c r="H37" s="54"/>
    </row>
    <row r="38" spans="3:11" x14ac:dyDescent="0.35">
      <c r="C38" s="53"/>
      <c r="D38" s="54" t="s">
        <v>246</v>
      </c>
      <c r="E38" s="54"/>
      <c r="F38" s="54"/>
      <c r="G38" s="54" t="s">
        <v>253</v>
      </c>
      <c r="H38" s="54"/>
    </row>
    <row r="39" spans="3:11" x14ac:dyDescent="0.35">
      <c r="C39" s="53"/>
      <c r="D39" s="54"/>
      <c r="E39" s="54"/>
      <c r="F39" s="54"/>
      <c r="G39" s="54" t="s">
        <v>254</v>
      </c>
      <c r="H39" s="54"/>
    </row>
    <row r="40" spans="3:11" x14ac:dyDescent="0.35">
      <c r="C40" s="53"/>
      <c r="D40" s="54"/>
      <c r="E40" s="54"/>
      <c r="F40" s="54"/>
      <c r="G40" s="54" t="s">
        <v>255</v>
      </c>
      <c r="H40" s="54"/>
    </row>
    <row r="41" spans="3:11" x14ac:dyDescent="0.35">
      <c r="C41" s="53"/>
      <c r="D41" s="54"/>
      <c r="E41" s="54"/>
      <c r="F41" s="54"/>
      <c r="G41" s="54"/>
      <c r="H41" s="54"/>
    </row>
    <row r="43" spans="3:11" x14ac:dyDescent="0.35">
      <c r="C43" t="s">
        <v>256</v>
      </c>
    </row>
    <row r="44" spans="3:11" x14ac:dyDescent="0.35">
      <c r="C44" t="s">
        <v>174</v>
      </c>
      <c r="D44" t="s">
        <v>257</v>
      </c>
    </row>
    <row r="45" spans="3:11" x14ac:dyDescent="0.35">
      <c r="D45" t="s">
        <v>258</v>
      </c>
    </row>
    <row r="46" spans="3:11" x14ac:dyDescent="0.35">
      <c r="D46" t="s">
        <v>259</v>
      </c>
    </row>
    <row r="47" spans="3:11" x14ac:dyDescent="0.35">
      <c r="D47" t="s">
        <v>260</v>
      </c>
    </row>
    <row r="48" spans="3:11" x14ac:dyDescent="0.35">
      <c r="D48" t="s">
        <v>261</v>
      </c>
    </row>
    <row r="49" spans="3:4" x14ac:dyDescent="0.35">
      <c r="C49" t="s">
        <v>181</v>
      </c>
      <c r="D49" t="s">
        <v>262</v>
      </c>
    </row>
    <row r="50" spans="3:4" x14ac:dyDescent="0.35">
      <c r="D50" t="s">
        <v>263</v>
      </c>
    </row>
    <row r="51" spans="3:4" x14ac:dyDescent="0.35">
      <c r="D51" t="s">
        <v>264</v>
      </c>
    </row>
    <row r="52" spans="3:4" x14ac:dyDescent="0.35">
      <c r="D52" t="s">
        <v>267</v>
      </c>
    </row>
    <row r="53" spans="3:4" x14ac:dyDescent="0.35">
      <c r="D53" t="s">
        <v>265</v>
      </c>
    </row>
    <row r="54" spans="3:4" x14ac:dyDescent="0.35">
      <c r="D54" t="s">
        <v>266</v>
      </c>
    </row>
    <row r="55" spans="3:4" x14ac:dyDescent="0.35">
      <c r="D55" t="s">
        <v>268</v>
      </c>
    </row>
    <row r="56" spans="3:4" x14ac:dyDescent="0.35">
      <c r="D56" t="s">
        <v>269</v>
      </c>
    </row>
    <row r="57" spans="3:4" x14ac:dyDescent="0.35">
      <c r="D57" t="s">
        <v>270</v>
      </c>
    </row>
    <row r="58" spans="3:4" x14ac:dyDescent="0.35">
      <c r="D58" t="s">
        <v>272</v>
      </c>
    </row>
    <row r="59" spans="3:4" x14ac:dyDescent="0.35">
      <c r="D59" t="s">
        <v>281</v>
      </c>
    </row>
    <row r="60" spans="3:4" x14ac:dyDescent="0.35">
      <c r="C60" t="s">
        <v>196</v>
      </c>
      <c r="D60" t="s">
        <v>273</v>
      </c>
    </row>
    <row r="61" spans="3:4" x14ac:dyDescent="0.35">
      <c r="D61" t="s">
        <v>271</v>
      </c>
    </row>
    <row r="62" spans="3:4" x14ac:dyDescent="0.35">
      <c r="D62" t="s">
        <v>261</v>
      </c>
    </row>
    <row r="63" spans="3:4" x14ac:dyDescent="0.35">
      <c r="D63" t="s">
        <v>274</v>
      </c>
    </row>
    <row r="64" spans="3:4" x14ac:dyDescent="0.35">
      <c r="D64" t="s">
        <v>275</v>
      </c>
    </row>
    <row r="65" spans="3:4" x14ac:dyDescent="0.35">
      <c r="D65" t="s">
        <v>276</v>
      </c>
    </row>
    <row r="66" spans="3:4" x14ac:dyDescent="0.35">
      <c r="D66" t="s">
        <v>277</v>
      </c>
    </row>
    <row r="67" spans="3:4" x14ac:dyDescent="0.35">
      <c r="C67" t="s">
        <v>191</v>
      </c>
      <c r="D67" t="s">
        <v>278</v>
      </c>
    </row>
    <row r="68" spans="3:4" x14ac:dyDescent="0.35">
      <c r="D68" t="s">
        <v>279</v>
      </c>
    </row>
    <row r="69" spans="3:4" x14ac:dyDescent="0.3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7" sqref="C7"/>
    </sheetView>
  </sheetViews>
  <sheetFormatPr defaultRowHeight="14.5" x14ac:dyDescent="0.35"/>
  <cols>
    <col min="2" max="2" width="3" bestFit="1" customWidth="1"/>
    <col min="3" max="3" width="155.26953125" customWidth="1"/>
  </cols>
  <sheetData>
    <row r="2" spans="2:3" ht="15" customHeight="1" x14ac:dyDescent="0.35">
      <c r="B2" s="56">
        <v>1</v>
      </c>
      <c r="C2" s="58" t="s">
        <v>287</v>
      </c>
    </row>
    <row r="3" spans="2:3" x14ac:dyDescent="0.35">
      <c r="B3" s="56">
        <v>2</v>
      </c>
      <c r="C3" s="57" t="s">
        <v>288</v>
      </c>
    </row>
    <row r="4" spans="2:3" x14ac:dyDescent="0.35">
      <c r="B4" s="56">
        <v>3</v>
      </c>
      <c r="C4" s="56" t="s">
        <v>289</v>
      </c>
    </row>
    <row r="5" spans="2:3" x14ac:dyDescent="0.35">
      <c r="B5" s="56">
        <v>4</v>
      </c>
      <c r="C5" s="57" t="s">
        <v>290</v>
      </c>
    </row>
    <row r="6" spans="2:3" x14ac:dyDescent="0.35">
      <c r="B6" s="56">
        <v>5</v>
      </c>
      <c r="C6" s="56" t="s">
        <v>291</v>
      </c>
    </row>
    <row r="7" spans="2:3" ht="29" x14ac:dyDescent="0.35">
      <c r="B7" s="56">
        <v>6</v>
      </c>
      <c r="C7" s="57" t="s">
        <v>292</v>
      </c>
    </row>
    <row r="8" spans="2:3" ht="72.5" x14ac:dyDescent="0.35">
      <c r="B8" s="56">
        <v>7</v>
      </c>
      <c r="C8" s="57" t="s">
        <v>293</v>
      </c>
    </row>
    <row r="9" spans="2:3" x14ac:dyDescent="0.35">
      <c r="B9" s="56">
        <v>8</v>
      </c>
      <c r="C9" s="56" t="s">
        <v>294</v>
      </c>
    </row>
    <row r="10" spans="2:3" x14ac:dyDescent="0.35">
      <c r="B10" s="56">
        <v>9</v>
      </c>
      <c r="C10" s="56" t="s">
        <v>295</v>
      </c>
    </row>
    <row r="11" spans="2:3" x14ac:dyDescent="0.35">
      <c r="B11" s="56">
        <v>10</v>
      </c>
      <c r="C11" s="56" t="s">
        <v>296</v>
      </c>
    </row>
    <row r="12" spans="2:3" x14ac:dyDescent="0.35">
      <c r="B12" s="56">
        <v>11</v>
      </c>
      <c r="C12" s="56" t="s">
        <v>297</v>
      </c>
    </row>
    <row r="13" spans="2:3" x14ac:dyDescent="0.35">
      <c r="B13" s="56">
        <v>12</v>
      </c>
      <c r="C13" s="56" t="s">
        <v>298</v>
      </c>
    </row>
    <row r="14" spans="2:3" x14ac:dyDescent="0.35">
      <c r="B14" s="56">
        <v>13</v>
      </c>
      <c r="C14" s="56" t="s">
        <v>299</v>
      </c>
    </row>
    <row r="15" spans="2:3" x14ac:dyDescent="0.35">
      <c r="B15" s="56">
        <v>14</v>
      </c>
      <c r="C15" s="56" t="s">
        <v>289</v>
      </c>
    </row>
    <row r="16" spans="2:3" x14ac:dyDescent="0.35">
      <c r="B16" s="56">
        <v>15</v>
      </c>
      <c r="C16" s="56" t="s">
        <v>301</v>
      </c>
    </row>
    <row r="17" spans="2:3" x14ac:dyDescent="0.35">
      <c r="B17" s="75">
        <v>16</v>
      </c>
      <c r="C17" s="62" t="s">
        <v>302</v>
      </c>
    </row>
    <row r="18" spans="2:3" x14ac:dyDescent="0.35">
      <c r="B18" s="61">
        <v>17</v>
      </c>
      <c r="C18" s="62" t="s">
        <v>303</v>
      </c>
    </row>
    <row r="19" spans="2:3" x14ac:dyDescent="0.35">
      <c r="B19" s="60">
        <v>18</v>
      </c>
      <c r="C19" s="56" t="s">
        <v>304</v>
      </c>
    </row>
    <row r="20" spans="2:3" x14ac:dyDescent="0.35">
      <c r="B20" s="61">
        <v>19</v>
      </c>
      <c r="C20" s="56" t="s">
        <v>340</v>
      </c>
    </row>
    <row r="21" spans="2:3" x14ac:dyDescent="0.35">
      <c r="B21" s="56">
        <v>20</v>
      </c>
      <c r="C21" s="56" t="s">
        <v>305</v>
      </c>
    </row>
    <row r="22" spans="2:3" x14ac:dyDescent="0.35">
      <c r="B22" s="61">
        <v>21</v>
      </c>
      <c r="C22" s="56" t="s">
        <v>304</v>
      </c>
    </row>
    <row r="23" spans="2:3" s="70" customFormat="1" ht="29.25" customHeight="1" x14ac:dyDescent="0.35">
      <c r="B23" s="69">
        <v>22</v>
      </c>
      <c r="C23" s="58" t="s">
        <v>332</v>
      </c>
    </row>
    <row r="24" spans="2:3" s="70" customFormat="1" ht="30.75" customHeight="1" x14ac:dyDescent="0.35">
      <c r="B24" s="71">
        <v>23</v>
      </c>
      <c r="C24" s="58" t="s">
        <v>333</v>
      </c>
    </row>
    <row r="25" spans="2:3" x14ac:dyDescent="0.35">
      <c r="B25" s="56">
        <v>24</v>
      </c>
      <c r="C25" s="56" t="s">
        <v>336</v>
      </c>
    </row>
    <row r="26" spans="2:3" x14ac:dyDescent="0.35">
      <c r="B26" s="61">
        <v>25</v>
      </c>
      <c r="C26" s="56" t="s">
        <v>334</v>
      </c>
    </row>
    <row r="27" spans="2:3" x14ac:dyDescent="0.35">
      <c r="B27" s="71">
        <v>26</v>
      </c>
      <c r="C27" s="56" t="s">
        <v>335</v>
      </c>
    </row>
    <row r="28" spans="2:3" x14ac:dyDescent="0.35">
      <c r="B28" s="61">
        <v>27</v>
      </c>
      <c r="C28" s="56" t="s">
        <v>337</v>
      </c>
    </row>
    <row r="29" spans="2:3" ht="43.5" x14ac:dyDescent="0.35">
      <c r="B29" s="74">
        <v>28</v>
      </c>
      <c r="C29" s="57" t="s">
        <v>338</v>
      </c>
    </row>
    <row r="30" spans="2:3" x14ac:dyDescent="0.35">
      <c r="B30" s="71">
        <v>29</v>
      </c>
      <c r="C30" s="56" t="s">
        <v>339</v>
      </c>
    </row>
    <row r="31" spans="2:3" ht="29" x14ac:dyDescent="0.35">
      <c r="B31" s="71">
        <v>30</v>
      </c>
      <c r="C31" s="57" t="s">
        <v>341</v>
      </c>
    </row>
    <row r="32" spans="2:3" x14ac:dyDescent="0.35">
      <c r="B32" s="71">
        <v>31</v>
      </c>
      <c r="C32" s="56" t="s">
        <v>342</v>
      </c>
    </row>
    <row r="33" spans="2:3" x14ac:dyDescent="0.35">
      <c r="B33" s="71">
        <v>32</v>
      </c>
      <c r="C33" s="56" t="s">
        <v>343</v>
      </c>
    </row>
    <row r="34" spans="2:3" ht="36.75" customHeight="1" x14ac:dyDescent="0.35">
      <c r="B34" s="71">
        <v>33</v>
      </c>
      <c r="C34" s="62" t="s">
        <v>344</v>
      </c>
    </row>
    <row r="35" spans="2:3" x14ac:dyDescent="0.35">
      <c r="B35" s="71">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3"/>
    <col min="2" max="2" width="12.26953125" style="53" customWidth="1"/>
    <col min="3" max="16384" width="9.1796875" style="53"/>
  </cols>
  <sheetData>
    <row r="2" spans="1:12" x14ac:dyDescent="0.35">
      <c r="B2" s="63" t="s">
        <v>306</v>
      </c>
      <c r="C2" s="224"/>
      <c r="D2" s="224"/>
    </row>
    <row r="3" spans="1:12" x14ac:dyDescent="0.35">
      <c r="D3" s="64"/>
      <c r="E3" s="64"/>
      <c r="F3" s="64"/>
      <c r="G3" s="64"/>
      <c r="H3" s="64"/>
      <c r="I3" s="64"/>
    </row>
    <row r="4" spans="1:12" x14ac:dyDescent="0.35">
      <c r="A4" s="63" t="s">
        <v>66</v>
      </c>
      <c r="B4" s="65" t="s">
        <v>307</v>
      </c>
      <c r="C4" s="225" t="s">
        <v>308</v>
      </c>
      <c r="D4" s="225"/>
      <c r="E4" s="225"/>
      <c r="F4" s="65"/>
      <c r="G4" s="226" t="s">
        <v>309</v>
      </c>
      <c r="H4" s="226"/>
      <c r="I4" s="226"/>
      <c r="J4" s="227" t="s">
        <v>310</v>
      </c>
      <c r="K4" s="227"/>
      <c r="L4" s="227"/>
    </row>
    <row r="5" spans="1:12" x14ac:dyDescent="0.35">
      <c r="A5" s="63"/>
      <c r="B5" s="65"/>
      <c r="C5" s="65" t="s">
        <v>311</v>
      </c>
      <c r="D5" s="65" t="s">
        <v>312</v>
      </c>
      <c r="E5" s="65" t="s">
        <v>313</v>
      </c>
      <c r="F5" s="65"/>
      <c r="G5" s="65" t="s">
        <v>311</v>
      </c>
      <c r="H5" s="65" t="s">
        <v>312</v>
      </c>
      <c r="I5" s="65" t="s">
        <v>313</v>
      </c>
      <c r="J5" s="65" t="s">
        <v>311</v>
      </c>
      <c r="K5" s="65" t="s">
        <v>312</v>
      </c>
      <c r="L5" s="65" t="s">
        <v>313</v>
      </c>
    </row>
    <row r="6" spans="1:12" x14ac:dyDescent="0.35">
      <c r="B6" s="54" t="s">
        <v>314</v>
      </c>
      <c r="C6" s="54"/>
      <c r="D6" s="54"/>
      <c r="E6" s="54">
        <f>C6*D6</f>
        <v>0</v>
      </c>
      <c r="F6" s="54" t="s">
        <v>331</v>
      </c>
      <c r="G6" s="54"/>
      <c r="H6" s="54"/>
      <c r="I6" s="54">
        <f>G6*H6</f>
        <v>0</v>
      </c>
      <c r="J6" s="54"/>
      <c r="K6" s="54"/>
      <c r="L6" s="54">
        <f>J6*K6</f>
        <v>0</v>
      </c>
    </row>
    <row r="7" spans="1:12" x14ac:dyDescent="0.35">
      <c r="B7" s="54"/>
      <c r="C7" s="54"/>
      <c r="D7" s="54"/>
      <c r="E7" s="54">
        <f t="shared" ref="E7:E41" si="0">C7*D7</f>
        <v>0</v>
      </c>
      <c r="F7" s="54" t="s">
        <v>331</v>
      </c>
      <c r="G7" s="54"/>
      <c r="H7" s="54"/>
      <c r="I7" s="54">
        <f t="shared" ref="I7:I35" si="1">G7*H7</f>
        <v>0</v>
      </c>
      <c r="J7" s="54"/>
      <c r="K7" s="54"/>
      <c r="L7" s="54">
        <f t="shared" ref="L7:L35" si="2">J7*K7</f>
        <v>0</v>
      </c>
    </row>
    <row r="8" spans="1:12" x14ac:dyDescent="0.35">
      <c r="B8" s="54"/>
      <c r="C8" s="54"/>
      <c r="D8" s="54"/>
      <c r="E8" s="54">
        <f t="shared" si="0"/>
        <v>0</v>
      </c>
      <c r="F8" s="54"/>
      <c r="G8" s="54"/>
      <c r="H8" s="54"/>
      <c r="I8" s="54">
        <f t="shared" si="1"/>
        <v>0</v>
      </c>
      <c r="J8" s="54"/>
      <c r="K8" s="54"/>
      <c r="L8" s="54">
        <f t="shared" si="2"/>
        <v>0</v>
      </c>
    </row>
    <row r="9" spans="1:12" x14ac:dyDescent="0.35">
      <c r="B9" s="54"/>
      <c r="C9" s="54"/>
      <c r="D9" s="54"/>
      <c r="E9" s="54">
        <f t="shared" si="0"/>
        <v>0</v>
      </c>
      <c r="F9" s="54" t="s">
        <v>315</v>
      </c>
      <c r="G9" s="54"/>
      <c r="H9" s="54"/>
      <c r="I9" s="54">
        <f t="shared" si="1"/>
        <v>0</v>
      </c>
      <c r="J9" s="54"/>
      <c r="K9" s="54"/>
      <c r="L9" s="54">
        <f t="shared" si="2"/>
        <v>0</v>
      </c>
    </row>
    <row r="10" spans="1:12" x14ac:dyDescent="0.35">
      <c r="B10" s="54" t="s">
        <v>316</v>
      </c>
      <c r="C10" s="54"/>
      <c r="D10" s="54"/>
      <c r="E10" s="54">
        <f t="shared" si="0"/>
        <v>0</v>
      </c>
      <c r="F10" s="54" t="s">
        <v>315</v>
      </c>
      <c r="G10" s="54"/>
      <c r="H10" s="54"/>
      <c r="I10" s="54">
        <f t="shared" si="1"/>
        <v>0</v>
      </c>
      <c r="J10" s="54"/>
      <c r="K10" s="54"/>
      <c r="L10" s="54">
        <f t="shared" si="2"/>
        <v>0</v>
      </c>
    </row>
    <row r="11" spans="1:12" x14ac:dyDescent="0.35">
      <c r="B11" s="54"/>
      <c r="C11" s="54"/>
      <c r="D11" s="54"/>
      <c r="E11" s="54">
        <f t="shared" si="0"/>
        <v>0</v>
      </c>
      <c r="F11" s="54" t="s">
        <v>317</v>
      </c>
      <c r="G11" s="54"/>
      <c r="H11" s="54"/>
      <c r="I11" s="54">
        <f t="shared" si="1"/>
        <v>0</v>
      </c>
      <c r="J11" s="54"/>
      <c r="K11" s="54"/>
      <c r="L11" s="54">
        <f t="shared" si="2"/>
        <v>0</v>
      </c>
    </row>
    <row r="12" spans="1:12" x14ac:dyDescent="0.35">
      <c r="B12" s="54"/>
      <c r="C12" s="54"/>
      <c r="D12" s="54"/>
      <c r="E12" s="54">
        <f t="shared" si="0"/>
        <v>0</v>
      </c>
      <c r="F12" s="54"/>
      <c r="G12" s="54"/>
      <c r="H12" s="54"/>
      <c r="I12" s="54">
        <f t="shared" si="1"/>
        <v>0</v>
      </c>
      <c r="J12" s="54"/>
      <c r="K12" s="54"/>
      <c r="L12" s="54">
        <f t="shared" si="2"/>
        <v>0</v>
      </c>
    </row>
    <row r="13" spans="1:12" x14ac:dyDescent="0.35">
      <c r="B13" s="54"/>
      <c r="C13" s="54"/>
      <c r="D13" s="54"/>
      <c r="E13" s="54">
        <f t="shared" si="0"/>
        <v>0</v>
      </c>
      <c r="F13" s="54"/>
      <c r="G13" s="54"/>
      <c r="H13" s="54"/>
      <c r="I13" s="54">
        <f t="shared" si="1"/>
        <v>0</v>
      </c>
      <c r="J13" s="54"/>
      <c r="K13" s="54"/>
      <c r="L13" s="54">
        <f t="shared" si="2"/>
        <v>0</v>
      </c>
    </row>
    <row r="14" spans="1:12" x14ac:dyDescent="0.35">
      <c r="B14" s="54" t="s">
        <v>318</v>
      </c>
      <c r="C14" s="54"/>
      <c r="D14" s="54"/>
      <c r="E14" s="54">
        <f t="shared" si="0"/>
        <v>0</v>
      </c>
      <c r="F14" s="54" t="s">
        <v>315</v>
      </c>
      <c r="G14" s="54"/>
      <c r="H14" s="54"/>
      <c r="I14" s="54">
        <f t="shared" si="1"/>
        <v>0</v>
      </c>
      <c r="J14" s="54"/>
      <c r="K14" s="54"/>
      <c r="L14" s="54">
        <f t="shared" si="2"/>
        <v>0</v>
      </c>
    </row>
    <row r="15" spans="1:12" x14ac:dyDescent="0.35">
      <c r="B15" s="54"/>
      <c r="C15" s="54"/>
      <c r="D15" s="54"/>
      <c r="E15" s="54">
        <f t="shared" si="0"/>
        <v>0</v>
      </c>
      <c r="F15" s="54" t="s">
        <v>317</v>
      </c>
      <c r="G15" s="54"/>
      <c r="H15" s="54"/>
      <c r="I15" s="54">
        <f t="shared" si="1"/>
        <v>0</v>
      </c>
      <c r="J15" s="54"/>
      <c r="K15" s="54"/>
      <c r="L15" s="54">
        <f t="shared" si="2"/>
        <v>0</v>
      </c>
    </row>
    <row r="16" spans="1:12" x14ac:dyDescent="0.35">
      <c r="B16" s="54"/>
      <c r="C16" s="54"/>
      <c r="D16" s="54"/>
      <c r="E16" s="54">
        <f t="shared" si="0"/>
        <v>0</v>
      </c>
      <c r="F16" s="54"/>
      <c r="G16" s="54"/>
      <c r="H16" s="54"/>
      <c r="I16" s="54">
        <f t="shared" si="1"/>
        <v>0</v>
      </c>
      <c r="J16" s="54"/>
      <c r="K16" s="54"/>
      <c r="L16" s="54">
        <f t="shared" si="2"/>
        <v>0</v>
      </c>
    </row>
    <row r="17" spans="2:12" x14ac:dyDescent="0.35">
      <c r="B17" s="54"/>
      <c r="C17" s="54"/>
      <c r="D17" s="54"/>
      <c r="E17" s="54">
        <f t="shared" si="0"/>
        <v>0</v>
      </c>
      <c r="F17" s="54"/>
      <c r="G17" s="54"/>
      <c r="H17" s="54"/>
      <c r="I17" s="54">
        <f t="shared" si="1"/>
        <v>0</v>
      </c>
      <c r="J17" s="54"/>
      <c r="K17" s="54"/>
      <c r="L17" s="54">
        <f t="shared" si="2"/>
        <v>0</v>
      </c>
    </row>
    <row r="18" spans="2:12" x14ac:dyDescent="0.35">
      <c r="B18" s="54" t="s">
        <v>319</v>
      </c>
      <c r="C18" s="54"/>
      <c r="D18" s="54"/>
      <c r="E18" s="54">
        <f t="shared" si="0"/>
        <v>0</v>
      </c>
      <c r="F18" s="54" t="s">
        <v>315</v>
      </c>
      <c r="G18" s="54"/>
      <c r="H18" s="54"/>
      <c r="I18" s="54">
        <f t="shared" si="1"/>
        <v>0</v>
      </c>
      <c r="J18" s="54"/>
      <c r="K18" s="54"/>
      <c r="L18" s="54">
        <f t="shared" si="2"/>
        <v>0</v>
      </c>
    </row>
    <row r="19" spans="2:12" x14ac:dyDescent="0.35">
      <c r="B19" s="54"/>
      <c r="C19" s="54"/>
      <c r="D19" s="54"/>
      <c r="E19" s="54">
        <f t="shared" si="0"/>
        <v>0</v>
      </c>
      <c r="F19" s="54" t="s">
        <v>317</v>
      </c>
      <c r="G19" s="54"/>
      <c r="H19" s="54"/>
      <c r="I19" s="54">
        <f t="shared" si="1"/>
        <v>0</v>
      </c>
      <c r="J19" s="54"/>
      <c r="K19" s="54"/>
      <c r="L19" s="54">
        <f t="shared" si="2"/>
        <v>0</v>
      </c>
    </row>
    <row r="20" spans="2:12" x14ac:dyDescent="0.35">
      <c r="B20" s="54"/>
      <c r="C20" s="54"/>
      <c r="D20" s="54"/>
      <c r="E20" s="54">
        <f t="shared" si="0"/>
        <v>0</v>
      </c>
      <c r="F20" s="54"/>
      <c r="G20" s="54"/>
      <c r="H20" s="54"/>
      <c r="I20" s="54">
        <f t="shared" si="1"/>
        <v>0</v>
      </c>
      <c r="J20" s="54"/>
      <c r="K20" s="54"/>
      <c r="L20" s="54">
        <f t="shared" si="2"/>
        <v>0</v>
      </c>
    </row>
    <row r="21" spans="2:12" x14ac:dyDescent="0.35">
      <c r="B21" s="54" t="s">
        <v>320</v>
      </c>
      <c r="C21" s="54"/>
      <c r="D21" s="54"/>
      <c r="E21" s="54">
        <f t="shared" si="0"/>
        <v>0</v>
      </c>
      <c r="F21" s="54" t="s">
        <v>315</v>
      </c>
      <c r="G21" s="54"/>
      <c r="H21" s="54"/>
      <c r="I21" s="54">
        <f t="shared" si="1"/>
        <v>0</v>
      </c>
      <c r="J21" s="54"/>
      <c r="K21" s="54"/>
      <c r="L21" s="54">
        <f t="shared" si="2"/>
        <v>0</v>
      </c>
    </row>
    <row r="22" spans="2:12" x14ac:dyDescent="0.35">
      <c r="B22" s="54"/>
      <c r="C22" s="54"/>
      <c r="D22" s="54"/>
      <c r="E22" s="54">
        <f t="shared" si="0"/>
        <v>0</v>
      </c>
      <c r="F22" s="54" t="s">
        <v>317</v>
      </c>
      <c r="G22" s="54"/>
      <c r="H22" s="54"/>
      <c r="I22" s="54">
        <f t="shared" si="1"/>
        <v>0</v>
      </c>
      <c r="J22" s="54"/>
      <c r="K22" s="54"/>
      <c r="L22" s="54">
        <f t="shared" si="2"/>
        <v>0</v>
      </c>
    </row>
    <row r="23" spans="2:12" x14ac:dyDescent="0.35">
      <c r="B23" s="54"/>
      <c r="C23" s="54"/>
      <c r="D23" s="54"/>
      <c r="E23" s="54">
        <f t="shared" si="0"/>
        <v>0</v>
      </c>
      <c r="F23" s="54"/>
      <c r="G23" s="54"/>
      <c r="H23" s="54"/>
      <c r="I23" s="54">
        <f t="shared" si="1"/>
        <v>0</v>
      </c>
      <c r="J23" s="54"/>
      <c r="K23" s="54"/>
      <c r="L23" s="54">
        <f t="shared" si="2"/>
        <v>0</v>
      </c>
    </row>
    <row r="24" spans="2:12" x14ac:dyDescent="0.35">
      <c r="B24" s="54" t="s">
        <v>321</v>
      </c>
      <c r="C24" s="54"/>
      <c r="D24" s="54"/>
      <c r="E24" s="54">
        <f t="shared" si="0"/>
        <v>0</v>
      </c>
      <c r="F24" s="54" t="s">
        <v>322</v>
      </c>
      <c r="G24" s="54"/>
      <c r="H24" s="54"/>
      <c r="I24" s="54">
        <f t="shared" si="1"/>
        <v>0</v>
      </c>
      <c r="J24" s="54"/>
      <c r="K24" s="54"/>
      <c r="L24" s="54">
        <f t="shared" si="2"/>
        <v>0</v>
      </c>
    </row>
    <row r="25" spans="2:12" x14ac:dyDescent="0.35">
      <c r="B25" s="54"/>
      <c r="C25" s="54"/>
      <c r="D25" s="54"/>
      <c r="E25" s="54">
        <f t="shared" ref="E25:E27" si="3">C25*D25</f>
        <v>0</v>
      </c>
      <c r="F25" s="54" t="s">
        <v>322</v>
      </c>
      <c r="G25" s="54"/>
      <c r="H25" s="54"/>
      <c r="I25" s="54">
        <f t="shared" ref="I25:I27" si="4">G25*H25</f>
        <v>0</v>
      </c>
      <c r="J25" s="54"/>
      <c r="K25" s="54"/>
      <c r="L25" s="54">
        <f t="shared" ref="L25:L27" si="5">J25*K25</f>
        <v>0</v>
      </c>
    </row>
    <row r="26" spans="2:12" x14ac:dyDescent="0.35">
      <c r="B26" s="54"/>
      <c r="C26" s="54"/>
      <c r="D26" s="54"/>
      <c r="E26" s="54">
        <f t="shared" si="3"/>
        <v>0</v>
      </c>
      <c r="F26" s="54" t="s">
        <v>322</v>
      </c>
      <c r="G26" s="54"/>
      <c r="H26" s="54"/>
      <c r="I26" s="54">
        <f t="shared" si="4"/>
        <v>0</v>
      </c>
      <c r="J26" s="54"/>
      <c r="K26" s="54"/>
      <c r="L26" s="54">
        <f t="shared" si="5"/>
        <v>0</v>
      </c>
    </row>
    <row r="27" spans="2:12" x14ac:dyDescent="0.35">
      <c r="B27" s="54"/>
      <c r="C27" s="54"/>
      <c r="D27" s="54"/>
      <c r="E27" s="54">
        <f t="shared" si="3"/>
        <v>0</v>
      </c>
      <c r="F27" s="54" t="s">
        <v>322</v>
      </c>
      <c r="G27" s="54"/>
      <c r="H27" s="54"/>
      <c r="I27" s="54">
        <f t="shared" si="4"/>
        <v>0</v>
      </c>
      <c r="J27" s="54"/>
      <c r="K27" s="54"/>
      <c r="L27" s="54">
        <f t="shared" si="5"/>
        <v>0</v>
      </c>
    </row>
    <row r="28" spans="2:12" x14ac:dyDescent="0.35">
      <c r="B28" s="54" t="s">
        <v>323</v>
      </c>
      <c r="C28" s="54"/>
      <c r="D28" s="54"/>
      <c r="E28" s="54">
        <f t="shared" si="0"/>
        <v>0</v>
      </c>
      <c r="F28" s="54" t="s">
        <v>322</v>
      </c>
      <c r="G28" s="54"/>
      <c r="H28" s="54"/>
      <c r="I28" s="54">
        <f t="shared" si="1"/>
        <v>0</v>
      </c>
      <c r="J28" s="54"/>
      <c r="K28" s="54"/>
      <c r="L28" s="54">
        <f t="shared" si="2"/>
        <v>0</v>
      </c>
    </row>
    <row r="29" spans="2:12" x14ac:dyDescent="0.35">
      <c r="B29" s="54" t="s">
        <v>324</v>
      </c>
      <c r="C29" s="54"/>
      <c r="D29" s="54"/>
      <c r="E29" s="54">
        <f t="shared" si="0"/>
        <v>0</v>
      </c>
      <c r="F29" s="54" t="s">
        <v>322</v>
      </c>
      <c r="G29" s="54"/>
      <c r="H29" s="54"/>
      <c r="I29" s="54">
        <f t="shared" si="1"/>
        <v>0</v>
      </c>
      <c r="J29" s="54"/>
      <c r="K29" s="54"/>
      <c r="L29" s="54">
        <f t="shared" si="2"/>
        <v>0</v>
      </c>
    </row>
    <row r="30" spans="2:12" x14ac:dyDescent="0.35">
      <c r="B30" s="54" t="s">
        <v>328</v>
      </c>
      <c r="C30" s="54"/>
      <c r="D30" s="54"/>
      <c r="E30" s="54">
        <f t="shared" si="0"/>
        <v>0</v>
      </c>
      <c r="F30" s="54"/>
      <c r="G30" s="54"/>
      <c r="H30" s="54"/>
      <c r="I30" s="54">
        <f t="shared" si="1"/>
        <v>0</v>
      </c>
      <c r="J30" s="54"/>
      <c r="K30" s="54"/>
      <c r="L30" s="54">
        <f t="shared" si="2"/>
        <v>0</v>
      </c>
    </row>
    <row r="31" spans="2:12" x14ac:dyDescent="0.35">
      <c r="B31" s="54"/>
      <c r="C31" s="54"/>
      <c r="D31" s="54"/>
      <c r="E31" s="54">
        <f t="shared" ref="E31:E32" si="6">C31*D31</f>
        <v>0</v>
      </c>
      <c r="F31" s="54"/>
      <c r="G31" s="54"/>
      <c r="H31" s="54"/>
      <c r="I31" s="54">
        <f t="shared" ref="I31:I32" si="7">G31*H31</f>
        <v>0</v>
      </c>
      <c r="J31" s="54"/>
      <c r="K31" s="54"/>
      <c r="L31" s="54">
        <f t="shared" ref="L31:L32" si="8">J31*K31</f>
        <v>0</v>
      </c>
    </row>
    <row r="32" spans="2:12" x14ac:dyDescent="0.35">
      <c r="B32" s="54"/>
      <c r="C32" s="54"/>
      <c r="D32" s="54"/>
      <c r="E32" s="54">
        <f t="shared" si="6"/>
        <v>0</v>
      </c>
      <c r="F32" s="54"/>
      <c r="G32" s="54"/>
      <c r="H32" s="54"/>
      <c r="I32" s="54">
        <f t="shared" si="7"/>
        <v>0</v>
      </c>
      <c r="J32" s="54"/>
      <c r="K32" s="54"/>
      <c r="L32" s="54">
        <f t="shared" si="8"/>
        <v>0</v>
      </c>
    </row>
    <row r="33" spans="2:12" x14ac:dyDescent="0.35">
      <c r="B33" s="54" t="s">
        <v>325</v>
      </c>
      <c r="C33" s="54"/>
      <c r="D33" s="54"/>
      <c r="E33" s="54">
        <f t="shared" si="0"/>
        <v>0</v>
      </c>
      <c r="F33" s="54"/>
      <c r="G33" s="54"/>
      <c r="H33" s="54"/>
      <c r="I33" s="54">
        <f t="shared" si="1"/>
        <v>0</v>
      </c>
      <c r="J33" s="54"/>
      <c r="K33" s="54"/>
      <c r="L33" s="54">
        <f t="shared" si="2"/>
        <v>0</v>
      </c>
    </row>
    <row r="34" spans="2:12" x14ac:dyDescent="0.35">
      <c r="B34" s="54" t="s">
        <v>329</v>
      </c>
      <c r="C34" s="54"/>
      <c r="D34" s="54"/>
      <c r="E34" s="54">
        <f t="shared" si="0"/>
        <v>0</v>
      </c>
      <c r="F34" s="54"/>
      <c r="G34" s="54"/>
      <c r="H34" s="54"/>
      <c r="I34" s="54">
        <f t="shared" si="1"/>
        <v>0</v>
      </c>
      <c r="J34" s="54"/>
      <c r="K34" s="54"/>
      <c r="L34" s="54">
        <f t="shared" si="2"/>
        <v>0</v>
      </c>
    </row>
    <row r="35" spans="2:12" x14ac:dyDescent="0.35">
      <c r="B35" s="54" t="s">
        <v>326</v>
      </c>
      <c r="C35" s="54"/>
      <c r="D35" s="54"/>
      <c r="E35" s="54">
        <f t="shared" si="0"/>
        <v>0</v>
      </c>
      <c r="F35" s="54"/>
      <c r="G35" s="54"/>
      <c r="H35" s="54"/>
      <c r="I35" s="54">
        <f t="shared" si="1"/>
        <v>0</v>
      </c>
      <c r="J35" s="54"/>
      <c r="K35" s="54"/>
      <c r="L35" s="54">
        <f t="shared" si="2"/>
        <v>0</v>
      </c>
    </row>
    <row r="36" spans="2:12" x14ac:dyDescent="0.35">
      <c r="B36" s="54" t="s">
        <v>327</v>
      </c>
      <c r="C36" s="54"/>
      <c r="D36" s="54"/>
      <c r="E36" s="54">
        <f t="shared" si="0"/>
        <v>0</v>
      </c>
      <c r="F36" s="54"/>
      <c r="G36" s="54"/>
      <c r="H36" s="54"/>
      <c r="I36" s="54">
        <f>G36*H36</f>
        <v>0</v>
      </c>
      <c r="J36" s="54"/>
      <c r="K36" s="54"/>
      <c r="L36" s="54">
        <f>J36*K36</f>
        <v>0</v>
      </c>
    </row>
    <row r="37" spans="2:12" x14ac:dyDescent="0.35">
      <c r="B37" s="54"/>
      <c r="C37" s="54"/>
      <c r="D37" s="54"/>
      <c r="E37" s="54">
        <f t="shared" ref="E37:E38" si="9">C37*D37</f>
        <v>0</v>
      </c>
      <c r="F37" s="54"/>
      <c r="G37" s="54"/>
      <c r="H37" s="54"/>
      <c r="I37" s="54">
        <f t="shared" ref="I37:I38" si="10">G37*H37</f>
        <v>0</v>
      </c>
      <c r="J37" s="54"/>
      <c r="K37" s="54"/>
      <c r="L37" s="54">
        <f t="shared" ref="L37:L38" si="11">J37*K37</f>
        <v>0</v>
      </c>
    </row>
    <row r="38" spans="2:12" x14ac:dyDescent="0.35">
      <c r="B38" s="54" t="s">
        <v>330</v>
      </c>
      <c r="C38" s="54"/>
      <c r="D38" s="54"/>
      <c r="E38" s="54">
        <f t="shared" si="9"/>
        <v>0</v>
      </c>
      <c r="F38" s="54"/>
      <c r="G38" s="54"/>
      <c r="H38" s="54"/>
      <c r="I38" s="54">
        <f t="shared" si="10"/>
        <v>0</v>
      </c>
      <c r="J38" s="54"/>
      <c r="K38" s="54"/>
      <c r="L38" s="54">
        <f t="shared" si="11"/>
        <v>0</v>
      </c>
    </row>
    <row r="39" spans="2:12" x14ac:dyDescent="0.35">
      <c r="B39" s="54"/>
      <c r="C39" s="54"/>
      <c r="D39" s="54"/>
      <c r="E39" s="54">
        <f t="shared" si="0"/>
        <v>0</v>
      </c>
      <c r="F39" s="54"/>
      <c r="G39" s="54"/>
      <c r="H39" s="54"/>
      <c r="I39" s="54">
        <f>G39*H39</f>
        <v>0</v>
      </c>
      <c r="J39" s="54"/>
      <c r="K39" s="54"/>
      <c r="L39" s="54">
        <f>J39*K39</f>
        <v>0</v>
      </c>
    </row>
    <row r="40" spans="2:12" x14ac:dyDescent="0.35">
      <c r="B40" s="54"/>
      <c r="C40" s="54"/>
      <c r="D40" s="54"/>
      <c r="E40" s="54">
        <f t="shared" si="0"/>
        <v>0</v>
      </c>
      <c r="F40" s="54"/>
      <c r="G40" s="54"/>
      <c r="H40" s="54"/>
      <c r="I40" s="54">
        <f>G40*H40</f>
        <v>0</v>
      </c>
      <c r="J40" s="54"/>
      <c r="K40" s="54"/>
      <c r="L40" s="54">
        <f>J40*K40</f>
        <v>0</v>
      </c>
    </row>
    <row r="41" spans="2:12" x14ac:dyDescent="0.35">
      <c r="B41" s="54"/>
      <c r="C41" s="54"/>
      <c r="D41" s="54"/>
      <c r="E41" s="54">
        <f t="shared" si="0"/>
        <v>0</v>
      </c>
      <c r="F41" s="54"/>
      <c r="G41" s="54"/>
      <c r="H41" s="54"/>
      <c r="I41" s="54">
        <f>G41*H41</f>
        <v>0</v>
      </c>
      <c r="J41" s="54"/>
      <c r="K41" s="54"/>
      <c r="L41" s="54">
        <f>J41*K41</f>
        <v>0</v>
      </c>
    </row>
    <row r="42" spans="2:12" x14ac:dyDescent="0.35">
      <c r="B42" s="54" t="s">
        <v>151</v>
      </c>
      <c r="C42" s="54"/>
      <c r="D42" s="54">
        <f>E42*10.764</f>
        <v>0</v>
      </c>
      <c r="E42" s="68">
        <f>SUM(E6:E41)</f>
        <v>0</v>
      </c>
      <c r="F42" s="54"/>
      <c r="G42" s="54"/>
      <c r="H42" s="54">
        <f>I42*10.764</f>
        <v>0</v>
      </c>
      <c r="I42" s="67">
        <f>SUM(I6:I41)</f>
        <v>0</v>
      </c>
      <c r="J42" s="54"/>
      <c r="K42" s="54">
        <f>L42*10.764</f>
        <v>0</v>
      </c>
      <c r="L42" s="66">
        <f>SUM(L6:L41)</f>
        <v>0</v>
      </c>
    </row>
    <row r="44" spans="2:12" x14ac:dyDescent="0.3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2025-09-30T09:14:51Z</cp:lastPrinted>
  <dcterms:created xsi:type="dcterms:W3CDTF">2019-07-16T09:29:46Z</dcterms:created>
  <dcterms:modified xsi:type="dcterms:W3CDTF">2025-09-30T09:16:32Z</dcterms:modified>
</cp:coreProperties>
</file>