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Old\Sept 2025\3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Report!$A$1:$H$923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 l="1"/>
  <c r="J72" i="1" l="1"/>
  <c r="D642" i="1"/>
  <c r="D641" i="1"/>
  <c r="D640" i="1"/>
  <c r="D639" i="1"/>
  <c r="D638" i="1"/>
  <c r="D637" i="1"/>
  <c r="D596" i="1"/>
  <c r="D595" i="1"/>
  <c r="D594" i="1"/>
  <c r="D593" i="1"/>
  <c r="D592" i="1"/>
  <c r="D591" i="1"/>
  <c r="D667" i="1"/>
  <c r="D666" i="1"/>
  <c r="D665" i="1"/>
  <c r="D664" i="1"/>
  <c r="D627" i="1"/>
  <c r="D743" i="1"/>
  <c r="D620" i="1"/>
  <c r="D736" i="1"/>
  <c r="A687" i="1"/>
  <c r="G685" i="1"/>
  <c r="G613" i="1"/>
  <c r="J566" i="1"/>
  <c r="D567" i="1"/>
  <c r="F567" i="1" s="1"/>
  <c r="D566" i="1"/>
  <c r="F566" i="1" s="1"/>
  <c r="A567" i="1"/>
  <c r="A568" i="1" s="1"/>
  <c r="G565" i="1"/>
  <c r="D264" i="1"/>
  <c r="F264" i="1" s="1"/>
  <c r="E263" i="1"/>
  <c r="D263" i="1"/>
  <c r="D262" i="1"/>
  <c r="F262" i="1" s="1"/>
  <c r="D261" i="1"/>
  <c r="F261" i="1" s="1"/>
  <c r="G261" i="1"/>
  <c r="A262" i="1"/>
  <c r="A263" i="1" s="1"/>
  <c r="A264" i="1" s="1"/>
  <c r="D258" i="1"/>
  <c r="F258" i="1" s="1"/>
  <c r="D257" i="1"/>
  <c r="F257" i="1" s="1"/>
  <c r="D256" i="1"/>
  <c r="F256" i="1" s="1"/>
  <c r="D255" i="1"/>
  <c r="F255" i="1" s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A250" i="1"/>
  <c r="A251" i="1" s="1"/>
  <c r="A252" i="1" s="1"/>
  <c r="A253" i="1" s="1"/>
  <c r="A254" i="1" s="1"/>
  <c r="A255" i="1" s="1"/>
  <c r="A256" i="1" s="1"/>
  <c r="A257" i="1" s="1"/>
  <c r="A258" i="1" s="1"/>
  <c r="G249" i="1"/>
  <c r="G64" i="1"/>
  <c r="C64" i="1"/>
  <c r="G186" i="1" l="1"/>
  <c r="C186" i="1"/>
  <c r="C187" i="1"/>
  <c r="E186" i="1"/>
  <c r="E187" i="1"/>
  <c r="F263" i="1"/>
  <c r="G187" i="1" s="1"/>
  <c r="G188" i="1" s="1"/>
  <c r="K140" i="1"/>
  <c r="J140" i="1"/>
  <c r="J139" i="1"/>
  <c r="J138" i="1"/>
  <c r="J137" i="1"/>
  <c r="E188" i="1" l="1"/>
  <c r="C188" i="1"/>
  <c r="J109" i="1"/>
  <c r="J110" i="1"/>
  <c r="J111" i="1"/>
  <c r="J112" i="1"/>
  <c r="I72" i="1" l="1"/>
  <c r="J193" i="1"/>
  <c r="I193" i="1"/>
  <c r="I189" i="1" l="1"/>
  <c r="D771" i="1"/>
  <c r="D769" i="1"/>
  <c r="F769" i="1" s="1"/>
  <c r="D768" i="1"/>
  <c r="D767" i="1"/>
  <c r="F767" i="1" s="1"/>
  <c r="D765" i="1"/>
  <c r="F765" i="1" s="1"/>
  <c r="D764" i="1"/>
  <c r="F764" i="1" s="1"/>
  <c r="D763" i="1"/>
  <c r="F763" i="1" s="1"/>
  <c r="D762" i="1"/>
  <c r="F762" i="1" s="1"/>
  <c r="D761" i="1"/>
  <c r="F761" i="1" s="1"/>
  <c r="D759" i="1"/>
  <c r="F759" i="1" s="1"/>
  <c r="D756" i="1"/>
  <c r="F756" i="1" s="1"/>
  <c r="D755" i="1"/>
  <c r="F755" i="1" s="1"/>
  <c r="D754" i="1"/>
  <c r="F754" i="1" s="1"/>
  <c r="D752" i="1"/>
  <c r="F752" i="1" s="1"/>
  <c r="D751" i="1"/>
  <c r="F751" i="1" s="1"/>
  <c r="D750" i="1"/>
  <c r="F750" i="1" s="1"/>
  <c r="D749" i="1"/>
  <c r="F749" i="1" s="1"/>
  <c r="D748" i="1"/>
  <c r="F748" i="1" s="1"/>
  <c r="D747" i="1"/>
  <c r="F747" i="1" s="1"/>
  <c r="D745" i="1"/>
  <c r="F745" i="1" s="1"/>
  <c r="D744" i="1"/>
  <c r="F743" i="1"/>
  <c r="D742" i="1"/>
  <c r="F742" i="1" s="1"/>
  <c r="D741" i="1"/>
  <c r="F741" i="1" s="1"/>
  <c r="D740" i="1"/>
  <c r="F740" i="1" s="1"/>
  <c r="F736" i="1"/>
  <c r="D735" i="1"/>
  <c r="F735" i="1" s="1"/>
  <c r="D734" i="1"/>
  <c r="F734" i="1" s="1"/>
  <c r="D733" i="1"/>
  <c r="D722" i="1"/>
  <c r="F722" i="1" s="1"/>
  <c r="D721" i="1"/>
  <c r="F721" i="1" s="1"/>
  <c r="D720" i="1"/>
  <c r="F720" i="1" s="1"/>
  <c r="D719" i="1"/>
  <c r="D717" i="1"/>
  <c r="F717" i="1" s="1"/>
  <c r="D715" i="1"/>
  <c r="F715" i="1" s="1"/>
  <c r="D714" i="1"/>
  <c r="F714" i="1" s="1"/>
  <c r="D713" i="1"/>
  <c r="F713" i="1" s="1"/>
  <c r="D712" i="1"/>
  <c r="F712" i="1" s="1"/>
  <c r="D711" i="1"/>
  <c r="F711" i="1" s="1"/>
  <c r="D710" i="1"/>
  <c r="F710" i="1" s="1"/>
  <c r="D708" i="1"/>
  <c r="F708" i="1" s="1"/>
  <c r="D707" i="1"/>
  <c r="F707" i="1" s="1"/>
  <c r="D706" i="1"/>
  <c r="F706" i="1" s="1"/>
  <c r="D705" i="1"/>
  <c r="F705" i="1" s="1"/>
  <c r="D703" i="1"/>
  <c r="F703" i="1" s="1"/>
  <c r="D701" i="1"/>
  <c r="F701" i="1" s="1"/>
  <c r="D700" i="1"/>
  <c r="F700" i="1" s="1"/>
  <c r="D699" i="1"/>
  <c r="F699" i="1" s="1"/>
  <c r="D698" i="1"/>
  <c r="F698" i="1" s="1"/>
  <c r="D697" i="1"/>
  <c r="F697" i="1" s="1"/>
  <c r="D696" i="1"/>
  <c r="F696" i="1" s="1"/>
  <c r="D694" i="1"/>
  <c r="F694" i="1" s="1"/>
  <c r="D693" i="1"/>
  <c r="F693" i="1" s="1"/>
  <c r="D692" i="1"/>
  <c r="F692" i="1" s="1"/>
  <c r="D691" i="1"/>
  <c r="F691" i="1" s="1"/>
  <c r="D690" i="1"/>
  <c r="F690" i="1" s="1"/>
  <c r="D689" i="1"/>
  <c r="D728" i="1"/>
  <c r="F728" i="1" s="1"/>
  <c r="D727" i="1"/>
  <c r="F727" i="1" s="1"/>
  <c r="D726" i="1"/>
  <c r="F726" i="1" s="1"/>
  <c r="D680" i="1"/>
  <c r="F680" i="1" s="1"/>
  <c r="D679" i="1"/>
  <c r="F679" i="1" s="1"/>
  <c r="D677" i="1"/>
  <c r="F677" i="1" s="1"/>
  <c r="D676" i="1"/>
  <c r="F676" i="1" s="1"/>
  <c r="D675" i="1"/>
  <c r="F675" i="1" s="1"/>
  <c r="D674" i="1"/>
  <c r="F674" i="1" s="1"/>
  <c r="D670" i="1"/>
  <c r="F670" i="1" s="1"/>
  <c r="D669" i="1"/>
  <c r="F669" i="1" s="1"/>
  <c r="F667" i="1"/>
  <c r="F666" i="1"/>
  <c r="F665" i="1"/>
  <c r="F664" i="1"/>
  <c r="D662" i="1"/>
  <c r="F662" i="1" s="1"/>
  <c r="D661" i="1"/>
  <c r="D660" i="1"/>
  <c r="D659" i="1"/>
  <c r="D649" i="1"/>
  <c r="F649" i="1" s="1"/>
  <c r="D646" i="1"/>
  <c r="F646" i="1" s="1"/>
  <c r="D645" i="1"/>
  <c r="F645" i="1" s="1"/>
  <c r="D644" i="1"/>
  <c r="F642" i="1"/>
  <c r="F641" i="1"/>
  <c r="F640" i="1"/>
  <c r="F639" i="1"/>
  <c r="F638" i="1"/>
  <c r="F637" i="1"/>
  <c r="D635" i="1"/>
  <c r="F635" i="1" s="1"/>
  <c r="D632" i="1"/>
  <c r="F632" i="1" s="1"/>
  <c r="D631" i="1"/>
  <c r="F631" i="1" s="1"/>
  <c r="D630" i="1"/>
  <c r="F630" i="1" s="1"/>
  <c r="D628" i="1"/>
  <c r="F628" i="1" s="1"/>
  <c r="F627" i="1"/>
  <c r="D626" i="1"/>
  <c r="F626" i="1" s="1"/>
  <c r="D625" i="1"/>
  <c r="F625" i="1" s="1"/>
  <c r="D624" i="1"/>
  <c r="F624" i="1" s="1"/>
  <c r="D623" i="1"/>
  <c r="F623" i="1" s="1"/>
  <c r="D621" i="1"/>
  <c r="F621" i="1" s="1"/>
  <c r="F620" i="1"/>
  <c r="D619" i="1"/>
  <c r="F619" i="1" s="1"/>
  <c r="D618" i="1"/>
  <c r="F618" i="1" s="1"/>
  <c r="D617" i="1"/>
  <c r="F617" i="1" s="1"/>
  <c r="D616" i="1"/>
  <c r="D654" i="1"/>
  <c r="D653" i="1"/>
  <c r="D652" i="1"/>
  <c r="D603" i="1"/>
  <c r="F603" i="1" s="1"/>
  <c r="D602" i="1"/>
  <c r="F602" i="1" s="1"/>
  <c r="D601" i="1"/>
  <c r="F601" i="1" s="1"/>
  <c r="D600" i="1"/>
  <c r="F600" i="1" s="1"/>
  <c r="F596" i="1"/>
  <c r="F595" i="1"/>
  <c r="F594" i="1"/>
  <c r="F593" i="1"/>
  <c r="F592" i="1"/>
  <c r="F591" i="1"/>
  <c r="D589" i="1"/>
  <c r="F589" i="1" s="1"/>
  <c r="D588" i="1"/>
  <c r="F588" i="1" s="1"/>
  <c r="D587" i="1"/>
  <c r="F587" i="1" s="1"/>
  <c r="D586" i="1"/>
  <c r="F586" i="1" s="1"/>
  <c r="D582" i="1"/>
  <c r="F582" i="1" s="1"/>
  <c r="D581" i="1"/>
  <c r="F581" i="1" s="1"/>
  <c r="D580" i="1"/>
  <c r="F580" i="1" s="1"/>
  <c r="D579" i="1"/>
  <c r="F579" i="1" s="1"/>
  <c r="D578" i="1"/>
  <c r="F578" i="1" s="1"/>
  <c r="D577" i="1"/>
  <c r="F577" i="1" s="1"/>
  <c r="D575" i="1"/>
  <c r="F575" i="1" s="1"/>
  <c r="D574" i="1"/>
  <c r="F574" i="1" s="1"/>
  <c r="D573" i="1"/>
  <c r="F573" i="1" s="1"/>
  <c r="D572" i="1"/>
  <c r="F572" i="1" s="1"/>
  <c r="D571" i="1"/>
  <c r="F571" i="1" s="1"/>
  <c r="D570" i="1"/>
  <c r="D609" i="1"/>
  <c r="D608" i="1"/>
  <c r="D607" i="1"/>
  <c r="D606" i="1"/>
  <c r="D605" i="1"/>
  <c r="F771" i="1"/>
  <c r="A769" i="1"/>
  <c r="A770" i="1" s="1"/>
  <c r="A771" i="1" s="1"/>
  <c r="F768" i="1"/>
  <c r="G767" i="1"/>
  <c r="A719" i="1"/>
  <c r="A720" i="1" s="1"/>
  <c r="A721" i="1" s="1"/>
  <c r="A722" i="1" s="1"/>
  <c r="G717" i="1"/>
  <c r="A681" i="1"/>
  <c r="A682" i="1" s="1"/>
  <c r="G679" i="1"/>
  <c r="A646" i="1"/>
  <c r="A647" i="1" s="1"/>
  <c r="A648" i="1" s="1"/>
  <c r="A649" i="1" s="1"/>
  <c r="G644" i="1"/>
  <c r="A600" i="1"/>
  <c r="A601" i="1" s="1"/>
  <c r="A602" i="1" s="1"/>
  <c r="A603" i="1" s="1"/>
  <c r="G598" i="1"/>
  <c r="A763" i="1"/>
  <c r="A764" i="1" s="1"/>
  <c r="A765" i="1" s="1"/>
  <c r="G761" i="1"/>
  <c r="A712" i="1"/>
  <c r="A713" i="1" s="1"/>
  <c r="A714" i="1" s="1"/>
  <c r="A715" i="1" s="1"/>
  <c r="G710" i="1"/>
  <c r="A676" i="1"/>
  <c r="A677" i="1" s="1"/>
  <c r="G674" i="1"/>
  <c r="A639" i="1"/>
  <c r="A640" i="1" s="1"/>
  <c r="A641" i="1" s="1"/>
  <c r="A642" i="1" s="1"/>
  <c r="G637" i="1"/>
  <c r="A593" i="1"/>
  <c r="A594" i="1" s="1"/>
  <c r="A595" i="1" s="1"/>
  <c r="A596" i="1" s="1"/>
  <c r="G591" i="1"/>
  <c r="A756" i="1"/>
  <c r="A757" i="1" s="1"/>
  <c r="A758" i="1" s="1"/>
  <c r="A759" i="1" s="1"/>
  <c r="G754" i="1"/>
  <c r="A705" i="1"/>
  <c r="A706" i="1" s="1"/>
  <c r="A707" i="1" s="1"/>
  <c r="A708" i="1" s="1"/>
  <c r="G703" i="1"/>
  <c r="A671" i="1"/>
  <c r="A672" i="1" s="1"/>
  <c r="G669" i="1"/>
  <c r="A632" i="1"/>
  <c r="A633" i="1" s="1"/>
  <c r="A634" i="1" s="1"/>
  <c r="A635" i="1" s="1"/>
  <c r="G630" i="1"/>
  <c r="A586" i="1"/>
  <c r="A587" i="1" s="1"/>
  <c r="A588" i="1" s="1"/>
  <c r="A589" i="1" s="1"/>
  <c r="G584" i="1"/>
  <c r="A749" i="1"/>
  <c r="A750" i="1" s="1"/>
  <c r="A751" i="1" s="1"/>
  <c r="A752" i="1" s="1"/>
  <c r="G747" i="1"/>
  <c r="A698" i="1"/>
  <c r="A699" i="1" s="1"/>
  <c r="A700" i="1" s="1"/>
  <c r="A701" i="1" s="1"/>
  <c r="G696" i="1"/>
  <c r="A666" i="1"/>
  <c r="A667" i="1" s="1"/>
  <c r="G664" i="1"/>
  <c r="A625" i="1"/>
  <c r="A626" i="1" s="1"/>
  <c r="A627" i="1" s="1"/>
  <c r="A628" i="1" s="1"/>
  <c r="G623" i="1"/>
  <c r="A579" i="1"/>
  <c r="A580" i="1" s="1"/>
  <c r="A581" i="1" s="1"/>
  <c r="A582" i="1" s="1"/>
  <c r="G577" i="1"/>
  <c r="A742" i="1"/>
  <c r="A743" i="1" s="1"/>
  <c r="A744" i="1" s="1"/>
  <c r="A745" i="1" s="1"/>
  <c r="G740" i="1"/>
  <c r="A691" i="1"/>
  <c r="A692" i="1" s="1"/>
  <c r="A693" i="1" s="1"/>
  <c r="A694" i="1" s="1"/>
  <c r="G689" i="1"/>
  <c r="G659" i="1"/>
  <c r="A618" i="1"/>
  <c r="A619" i="1" s="1"/>
  <c r="A620" i="1" s="1"/>
  <c r="A621" i="1" s="1"/>
  <c r="G616" i="1"/>
  <c r="A572" i="1"/>
  <c r="A573" i="1" s="1"/>
  <c r="A574" i="1" s="1"/>
  <c r="A575" i="1" s="1"/>
  <c r="G570" i="1"/>
  <c r="A735" i="1"/>
  <c r="A736" i="1" s="1"/>
  <c r="A737" i="1" s="1"/>
  <c r="A738" i="1" s="1"/>
  <c r="G733" i="1"/>
  <c r="A726" i="1"/>
  <c r="A727" i="1" s="1"/>
  <c r="A728" i="1" s="1"/>
  <c r="A729" i="1" s="1"/>
  <c r="G724" i="1"/>
  <c r="E199" i="1" l="1"/>
  <c r="E200" i="1" s="1"/>
  <c r="F570" i="1"/>
  <c r="G191" i="1" s="1"/>
  <c r="C191" i="1"/>
  <c r="E191" i="1"/>
  <c r="F689" i="1"/>
  <c r="E194" i="1"/>
  <c r="C194" i="1"/>
  <c r="F616" i="1"/>
  <c r="G192" i="1" s="1"/>
  <c r="C192" i="1"/>
  <c r="E192" i="1"/>
  <c r="E195" i="1"/>
  <c r="C195" i="1"/>
  <c r="C193" i="1"/>
  <c r="E193" i="1"/>
  <c r="F644" i="1"/>
  <c r="F719" i="1"/>
  <c r="F744" i="1"/>
  <c r="G195" i="1" s="1"/>
  <c r="F659" i="1"/>
  <c r="C199" i="1"/>
  <c r="C200" i="1" s="1"/>
  <c r="F733" i="1"/>
  <c r="G199" i="1" s="1"/>
  <c r="G200" i="1" s="1"/>
  <c r="F661" i="1"/>
  <c r="A661" i="1"/>
  <c r="F660" i="1"/>
  <c r="F654" i="1"/>
  <c r="F653" i="1"/>
  <c r="F652" i="1"/>
  <c r="A653" i="1"/>
  <c r="A654" i="1" s="1"/>
  <c r="A655" i="1" s="1"/>
  <c r="A656" i="1" s="1"/>
  <c r="G651" i="1"/>
  <c r="F609" i="1"/>
  <c r="F608" i="1"/>
  <c r="F607" i="1"/>
  <c r="F606" i="1"/>
  <c r="F605" i="1"/>
  <c r="J607" i="1"/>
  <c r="I607" i="1"/>
  <c r="I562" i="1"/>
  <c r="G605" i="1"/>
  <c r="A607" i="1"/>
  <c r="A608" i="1" s="1"/>
  <c r="A609" i="1" s="1"/>
  <c r="A610" i="1" s="1"/>
  <c r="G194" i="1" l="1"/>
  <c r="G196" i="1" s="1"/>
  <c r="G201" i="1" s="1"/>
  <c r="E196" i="1"/>
  <c r="E201" i="1" s="1"/>
  <c r="C196" i="1"/>
  <c r="C201" i="1" s="1"/>
  <c r="G193" i="1"/>
  <c r="A662" i="1"/>
  <c r="K607" i="1"/>
  <c r="J126" i="1"/>
  <c r="J125" i="1"/>
  <c r="J124" i="1"/>
  <c r="J123" i="1"/>
  <c r="E51" i="1"/>
  <c r="E52" i="1" s="1"/>
  <c r="K126" i="1" l="1"/>
  <c r="G554" i="1" l="1"/>
  <c r="G547" i="1"/>
  <c r="G540" i="1"/>
  <c r="G533" i="1"/>
  <c r="G525" i="1"/>
  <c r="G518" i="1"/>
  <c r="G511" i="1"/>
  <c r="G504" i="1"/>
  <c r="G497" i="1"/>
  <c r="G490" i="1"/>
  <c r="G482" i="1"/>
  <c r="G475" i="1"/>
  <c r="G468" i="1"/>
  <c r="G461" i="1"/>
  <c r="G454" i="1"/>
  <c r="G447" i="1"/>
  <c r="G416" i="1"/>
  <c r="G409" i="1"/>
  <c r="G402" i="1"/>
  <c r="G395" i="1"/>
  <c r="G388" i="1"/>
  <c r="G381" i="1"/>
  <c r="G374" i="1"/>
  <c r="G367" i="1"/>
  <c r="G360" i="1"/>
  <c r="G353" i="1"/>
  <c r="G346" i="1"/>
  <c r="G339" i="1"/>
  <c r="G332" i="1"/>
  <c r="G325" i="1"/>
  <c r="G318" i="1"/>
  <c r="G307" i="1"/>
  <c r="G300" i="1"/>
  <c r="G293" i="1"/>
  <c r="G286" i="1"/>
  <c r="G279" i="1"/>
  <c r="G226" i="1"/>
  <c r="G216" i="1"/>
  <c r="G211" i="1"/>
  <c r="A484" i="1"/>
  <c r="A485" i="1" s="1"/>
  <c r="A486" i="1" s="1"/>
  <c r="A487" i="1" s="1"/>
  <c r="A477" i="1"/>
  <c r="A478" i="1" s="1"/>
  <c r="A479" i="1" s="1"/>
  <c r="A480" i="1" s="1"/>
  <c r="A470" i="1"/>
  <c r="A471" i="1" s="1"/>
  <c r="A472" i="1" s="1"/>
  <c r="A473" i="1" s="1"/>
  <c r="A463" i="1"/>
  <c r="A464" i="1" s="1"/>
  <c r="A465" i="1" s="1"/>
  <c r="A466" i="1" s="1"/>
  <c r="A456" i="1"/>
  <c r="A457" i="1" s="1"/>
  <c r="A458" i="1" s="1"/>
  <c r="A459" i="1" s="1"/>
  <c r="D447" i="1"/>
  <c r="A449" i="1"/>
  <c r="A450" i="1" s="1"/>
  <c r="A451" i="1" s="1"/>
  <c r="A452" i="1" s="1"/>
  <c r="F447" i="1" l="1"/>
  <c r="A443" i="1"/>
  <c r="A444" i="1" s="1"/>
  <c r="A438" i="1"/>
  <c r="A439" i="1" s="1"/>
  <c r="A433" i="1"/>
  <c r="A434" i="1" s="1"/>
  <c r="A428" i="1"/>
  <c r="A429" i="1" s="1"/>
  <c r="D421" i="1"/>
  <c r="F421" i="1" s="1"/>
  <c r="D420" i="1"/>
  <c r="F420" i="1" s="1"/>
  <c r="D419" i="1"/>
  <c r="F419" i="1" s="1"/>
  <c r="D418" i="1"/>
  <c r="F418" i="1" s="1"/>
  <c r="A418" i="1"/>
  <c r="A419" i="1" s="1"/>
  <c r="A420" i="1" s="1"/>
  <c r="A421" i="1" s="1"/>
  <c r="D417" i="1"/>
  <c r="F417" i="1" s="1"/>
  <c r="D416" i="1"/>
  <c r="F416" i="1" s="1"/>
  <c r="A411" i="1"/>
  <c r="A412" i="1" s="1"/>
  <c r="A413" i="1" s="1"/>
  <c r="A414" i="1" s="1"/>
  <c r="A404" i="1"/>
  <c r="A405" i="1" s="1"/>
  <c r="A406" i="1" s="1"/>
  <c r="A407" i="1" s="1"/>
  <c r="A397" i="1"/>
  <c r="A398" i="1" s="1"/>
  <c r="A399" i="1" s="1"/>
  <c r="A400" i="1" s="1"/>
  <c r="A390" i="1"/>
  <c r="A391" i="1" s="1"/>
  <c r="A392" i="1" s="1"/>
  <c r="A393" i="1" s="1"/>
  <c r="A383" i="1"/>
  <c r="A384" i="1" s="1"/>
  <c r="A385" i="1" s="1"/>
  <c r="A386" i="1" s="1"/>
  <c r="A376" i="1"/>
  <c r="A377" i="1" s="1"/>
  <c r="A378" i="1" s="1"/>
  <c r="A379" i="1" s="1"/>
  <c r="A369" i="1"/>
  <c r="A370" i="1" s="1"/>
  <c r="A371" i="1" s="1"/>
  <c r="A372" i="1" s="1"/>
  <c r="A362" i="1"/>
  <c r="A363" i="1" s="1"/>
  <c r="A364" i="1" s="1"/>
  <c r="A365" i="1" s="1"/>
  <c r="A355" i="1"/>
  <c r="A356" i="1" s="1"/>
  <c r="A357" i="1" s="1"/>
  <c r="A358" i="1" s="1"/>
  <c r="A348" i="1"/>
  <c r="A349" i="1" s="1"/>
  <c r="A350" i="1" s="1"/>
  <c r="A351" i="1" s="1"/>
  <c r="A341" i="1"/>
  <c r="A342" i="1" s="1"/>
  <c r="A343" i="1" s="1"/>
  <c r="A344" i="1" s="1"/>
  <c r="A334" i="1"/>
  <c r="A335" i="1" s="1"/>
  <c r="A336" i="1" s="1"/>
  <c r="A337" i="1" s="1"/>
  <c r="A327" i="1"/>
  <c r="A328" i="1" s="1"/>
  <c r="A329" i="1" s="1"/>
  <c r="A330" i="1" s="1"/>
  <c r="A320" i="1"/>
  <c r="A321" i="1" s="1"/>
  <c r="A322" i="1" s="1"/>
  <c r="A323" i="1" s="1"/>
  <c r="A309" i="1"/>
  <c r="A310" i="1" s="1"/>
  <c r="A311" i="1" s="1"/>
  <c r="A312" i="1" s="1"/>
  <c r="A302" i="1"/>
  <c r="A303" i="1" s="1"/>
  <c r="A304" i="1" s="1"/>
  <c r="A305" i="1" s="1"/>
  <c r="A295" i="1"/>
  <c r="A296" i="1" s="1"/>
  <c r="A297" i="1" s="1"/>
  <c r="A298" i="1" s="1"/>
  <c r="A288" i="1"/>
  <c r="A289" i="1" s="1"/>
  <c r="A290" i="1" s="1"/>
  <c r="A291" i="1" s="1"/>
  <c r="A281" i="1"/>
  <c r="A282" i="1" s="1"/>
  <c r="A283" i="1" s="1"/>
  <c r="A284" i="1" s="1"/>
  <c r="D556" i="1"/>
  <c r="F556" i="1" s="1"/>
  <c r="D559" i="1"/>
  <c r="F559" i="1" s="1"/>
  <c r="D555" i="1"/>
  <c r="F555" i="1" s="1"/>
  <c r="A555" i="1"/>
  <c r="A556" i="1" s="1"/>
  <c r="A557" i="1" s="1"/>
  <c r="A558" i="1" s="1"/>
  <c r="A559" i="1" s="1"/>
  <c r="D554" i="1"/>
  <c r="F554" i="1" s="1"/>
  <c r="D549" i="1"/>
  <c r="D527" i="1"/>
  <c r="F527" i="1" s="1"/>
  <c r="D520" i="1"/>
  <c r="F520" i="1" s="1"/>
  <c r="D530" i="1"/>
  <c r="F530" i="1" s="1"/>
  <c r="D529" i="1"/>
  <c r="F529" i="1" s="1"/>
  <c r="D528" i="1"/>
  <c r="D523" i="1"/>
  <c r="F523" i="1" s="1"/>
  <c r="D522" i="1"/>
  <c r="F522" i="1" s="1"/>
  <c r="D521" i="1"/>
  <c r="F521" i="1" s="1"/>
  <c r="D478" i="1"/>
  <c r="F478" i="1" s="1"/>
  <c r="D487" i="1"/>
  <c r="F487" i="1" s="1"/>
  <c r="D486" i="1"/>
  <c r="F486" i="1" s="1"/>
  <c r="D485" i="1"/>
  <c r="F485" i="1" s="1"/>
  <c r="D482" i="1"/>
  <c r="F482" i="1" s="1"/>
  <c r="D480" i="1"/>
  <c r="F480" i="1" s="1"/>
  <c r="D479" i="1"/>
  <c r="F479" i="1" s="1"/>
  <c r="D475" i="1"/>
  <c r="F475" i="1" s="1"/>
  <c r="F528" i="1" l="1"/>
  <c r="D412" i="1"/>
  <c r="F412" i="1" s="1"/>
  <c r="D363" i="1"/>
  <c r="D411" i="1"/>
  <c r="F411" i="1" s="1"/>
  <c r="D410" i="1"/>
  <c r="F410" i="1" s="1"/>
  <c r="D409" i="1"/>
  <c r="F409" i="1" s="1"/>
  <c r="D407" i="1"/>
  <c r="F407" i="1" s="1"/>
  <c r="D406" i="1"/>
  <c r="F406" i="1" s="1"/>
  <c r="D405" i="1"/>
  <c r="F405" i="1" s="1"/>
  <c r="D404" i="1"/>
  <c r="F404" i="1" s="1"/>
  <c r="D403" i="1"/>
  <c r="F403" i="1" s="1"/>
  <c r="D402" i="1"/>
  <c r="F402" i="1" s="1"/>
  <c r="D400" i="1"/>
  <c r="F400" i="1" s="1"/>
  <c r="D399" i="1"/>
  <c r="F399" i="1" s="1"/>
  <c r="D398" i="1"/>
  <c r="F398" i="1" s="1"/>
  <c r="D397" i="1"/>
  <c r="F397" i="1" s="1"/>
  <c r="D396" i="1"/>
  <c r="F396" i="1" s="1"/>
  <c r="D395" i="1"/>
  <c r="F395" i="1" s="1"/>
  <c r="D393" i="1"/>
  <c r="F393" i="1" s="1"/>
  <c r="D392" i="1"/>
  <c r="F392" i="1" s="1"/>
  <c r="D391" i="1"/>
  <c r="F391" i="1" s="1"/>
  <c r="D390" i="1"/>
  <c r="F390" i="1" s="1"/>
  <c r="D389" i="1"/>
  <c r="F389" i="1" s="1"/>
  <c r="D388" i="1"/>
  <c r="F388" i="1" s="1"/>
  <c r="D386" i="1"/>
  <c r="F386" i="1" s="1"/>
  <c r="D385" i="1"/>
  <c r="F385" i="1" s="1"/>
  <c r="D384" i="1"/>
  <c r="F384" i="1" s="1"/>
  <c r="D383" i="1"/>
  <c r="F383" i="1" s="1"/>
  <c r="D382" i="1"/>
  <c r="F382" i="1" s="1"/>
  <c r="D381" i="1"/>
  <c r="F381" i="1" s="1"/>
  <c r="D379" i="1"/>
  <c r="F379" i="1" s="1"/>
  <c r="D378" i="1"/>
  <c r="F378" i="1" s="1"/>
  <c r="D377" i="1"/>
  <c r="F377" i="1" s="1"/>
  <c r="D376" i="1"/>
  <c r="F376" i="1" s="1"/>
  <c r="D375" i="1"/>
  <c r="F375" i="1" s="1"/>
  <c r="D374" i="1"/>
  <c r="F374" i="1" s="1"/>
  <c r="D372" i="1"/>
  <c r="F372" i="1" s="1"/>
  <c r="D371" i="1"/>
  <c r="F371" i="1" s="1"/>
  <c r="D370" i="1"/>
  <c r="F370" i="1" s="1"/>
  <c r="D369" i="1"/>
  <c r="F369" i="1" s="1"/>
  <c r="D368" i="1"/>
  <c r="F368" i="1" s="1"/>
  <c r="D367" i="1"/>
  <c r="F367" i="1" s="1"/>
  <c r="F363" i="1"/>
  <c r="D362" i="1"/>
  <c r="F362" i="1" s="1"/>
  <c r="D361" i="1"/>
  <c r="F361" i="1" s="1"/>
  <c r="D360" i="1"/>
  <c r="F360" i="1" s="1"/>
  <c r="D358" i="1"/>
  <c r="F358" i="1" s="1"/>
  <c r="D357" i="1"/>
  <c r="F357" i="1" s="1"/>
  <c r="D356" i="1"/>
  <c r="F356" i="1" s="1"/>
  <c r="D355" i="1"/>
  <c r="F355" i="1" s="1"/>
  <c r="D354" i="1"/>
  <c r="F354" i="1" s="1"/>
  <c r="D353" i="1"/>
  <c r="F353" i="1" s="1"/>
  <c r="D351" i="1"/>
  <c r="F351" i="1" s="1"/>
  <c r="D350" i="1"/>
  <c r="F350" i="1" s="1"/>
  <c r="D349" i="1"/>
  <c r="F349" i="1" s="1"/>
  <c r="D348" i="1"/>
  <c r="F348" i="1" s="1"/>
  <c r="D347" i="1"/>
  <c r="F347" i="1" s="1"/>
  <c r="D346" i="1"/>
  <c r="F346" i="1" s="1"/>
  <c r="D344" i="1"/>
  <c r="F344" i="1" s="1"/>
  <c r="D343" i="1"/>
  <c r="F343" i="1" s="1"/>
  <c r="D342" i="1"/>
  <c r="F342" i="1" s="1"/>
  <c r="D341" i="1"/>
  <c r="F341" i="1" s="1"/>
  <c r="D340" i="1"/>
  <c r="F340" i="1" s="1"/>
  <c r="D339" i="1"/>
  <c r="F339" i="1" s="1"/>
  <c r="D310" i="1"/>
  <c r="F310" i="1" s="1"/>
  <c r="D312" i="1"/>
  <c r="F312" i="1" s="1"/>
  <c r="D311" i="1"/>
  <c r="F311" i="1" s="1"/>
  <c r="D307" i="1"/>
  <c r="F307" i="1" s="1"/>
  <c r="D303" i="1"/>
  <c r="F303" i="1" s="1"/>
  <c r="D300" i="1"/>
  <c r="F300" i="1" s="1"/>
  <c r="A274" i="1"/>
  <c r="A275" i="1" s="1"/>
  <c r="A276" i="1" s="1"/>
  <c r="A277" i="1" s="1"/>
  <c r="D305" i="1"/>
  <c r="F305" i="1" s="1"/>
  <c r="D304" i="1"/>
  <c r="F304" i="1" s="1"/>
  <c r="D298" i="1"/>
  <c r="F298" i="1" s="1"/>
  <c r="D297" i="1"/>
  <c r="F297" i="1" s="1"/>
  <c r="D296" i="1"/>
  <c r="F296" i="1" s="1"/>
  <c r="D295" i="1"/>
  <c r="F295" i="1" s="1"/>
  <c r="D294" i="1"/>
  <c r="F294" i="1" s="1"/>
  <c r="D293" i="1"/>
  <c r="F293" i="1" s="1"/>
  <c r="D552" i="1"/>
  <c r="F552" i="1" s="1"/>
  <c r="J545" i="1" s="1"/>
  <c r="F549" i="1"/>
  <c r="D548" i="1"/>
  <c r="F548" i="1" s="1"/>
  <c r="D547" i="1"/>
  <c r="F547" i="1" s="1"/>
  <c r="A548" i="1"/>
  <c r="A549" i="1" s="1"/>
  <c r="A550" i="1" s="1"/>
  <c r="A551" i="1" s="1"/>
  <c r="A552" i="1" s="1"/>
  <c r="D516" i="1"/>
  <c r="F516" i="1" s="1"/>
  <c r="D515" i="1"/>
  <c r="F515" i="1" s="1"/>
  <c r="D514" i="1"/>
  <c r="F514" i="1" s="1"/>
  <c r="D513" i="1"/>
  <c r="F513" i="1" s="1"/>
  <c r="D512" i="1"/>
  <c r="F512" i="1" s="1"/>
  <c r="D511" i="1"/>
  <c r="F511" i="1" s="1"/>
  <c r="D509" i="1"/>
  <c r="F509" i="1" s="1"/>
  <c r="D508" i="1"/>
  <c r="D507" i="1"/>
  <c r="F507" i="1" s="1"/>
  <c r="D506" i="1"/>
  <c r="F506" i="1" s="1"/>
  <c r="D505" i="1"/>
  <c r="F505" i="1" s="1"/>
  <c r="D504" i="1"/>
  <c r="F504" i="1" s="1"/>
  <c r="D473" i="1"/>
  <c r="F473" i="1" s="1"/>
  <c r="D472" i="1"/>
  <c r="F472" i="1" s="1"/>
  <c r="D471" i="1"/>
  <c r="F471" i="1" s="1"/>
  <c r="D470" i="1"/>
  <c r="F470" i="1" s="1"/>
  <c r="D469" i="1"/>
  <c r="F469" i="1" s="1"/>
  <c r="D468" i="1"/>
  <c r="F468" i="1" s="1"/>
  <c r="D466" i="1"/>
  <c r="F466" i="1" s="1"/>
  <c r="D465" i="1"/>
  <c r="F465" i="1" s="1"/>
  <c r="D464" i="1"/>
  <c r="D463" i="1"/>
  <c r="F463" i="1" s="1"/>
  <c r="D462" i="1"/>
  <c r="F462" i="1" s="1"/>
  <c r="D461" i="1"/>
  <c r="F461" i="1" s="1"/>
  <c r="D444" i="1"/>
  <c r="F444" i="1" s="1"/>
  <c r="D442" i="1"/>
  <c r="F442" i="1" s="1"/>
  <c r="G441" i="1"/>
  <c r="D441" i="1"/>
  <c r="F441" i="1" s="1"/>
  <c r="D439" i="1"/>
  <c r="F439" i="1" s="1"/>
  <c r="D438" i="1"/>
  <c r="F438" i="1" s="1"/>
  <c r="D437" i="1"/>
  <c r="F437" i="1" s="1"/>
  <c r="G436" i="1"/>
  <c r="D436" i="1"/>
  <c r="F436" i="1" s="1"/>
  <c r="D545" i="1"/>
  <c r="D544" i="1"/>
  <c r="D543" i="1"/>
  <c r="D542" i="1"/>
  <c r="D541" i="1"/>
  <c r="D540" i="1"/>
  <c r="D538" i="1"/>
  <c r="D537" i="1"/>
  <c r="D536" i="1"/>
  <c r="D535" i="1"/>
  <c r="D534" i="1"/>
  <c r="D533" i="1"/>
  <c r="D502" i="1"/>
  <c r="D501" i="1"/>
  <c r="D500" i="1"/>
  <c r="D499" i="1"/>
  <c r="D498" i="1"/>
  <c r="D497" i="1"/>
  <c r="D495" i="1"/>
  <c r="D494" i="1"/>
  <c r="D493" i="1"/>
  <c r="D492" i="1"/>
  <c r="D491" i="1"/>
  <c r="D490" i="1"/>
  <c r="D459" i="1"/>
  <c r="D458" i="1"/>
  <c r="D457" i="1"/>
  <c r="D456" i="1"/>
  <c r="D455" i="1"/>
  <c r="D454" i="1"/>
  <c r="D452" i="1"/>
  <c r="D451" i="1"/>
  <c r="D450" i="1"/>
  <c r="D449" i="1"/>
  <c r="D448" i="1"/>
  <c r="D434" i="1"/>
  <c r="D433" i="1"/>
  <c r="D432" i="1"/>
  <c r="D431" i="1"/>
  <c r="D429" i="1"/>
  <c r="D428" i="1"/>
  <c r="D427" i="1"/>
  <c r="F427" i="1" s="1"/>
  <c r="D426" i="1"/>
  <c r="D337" i="1"/>
  <c r="D336" i="1"/>
  <c r="F336" i="1" s="1"/>
  <c r="D335" i="1"/>
  <c r="F335" i="1" s="1"/>
  <c r="D334" i="1"/>
  <c r="F334" i="1" s="1"/>
  <c r="D333" i="1"/>
  <c r="F333" i="1" s="1"/>
  <c r="D332" i="1"/>
  <c r="F332" i="1" s="1"/>
  <c r="D330" i="1"/>
  <c r="F330" i="1" s="1"/>
  <c r="D329" i="1"/>
  <c r="F329" i="1" s="1"/>
  <c r="D328" i="1"/>
  <c r="F328" i="1" s="1"/>
  <c r="D327" i="1"/>
  <c r="F327" i="1" s="1"/>
  <c r="D326" i="1"/>
  <c r="F326" i="1" s="1"/>
  <c r="D325" i="1"/>
  <c r="F325" i="1" s="1"/>
  <c r="D323" i="1"/>
  <c r="D322" i="1"/>
  <c r="D321" i="1"/>
  <c r="D320" i="1"/>
  <c r="D319" i="1"/>
  <c r="D318" i="1"/>
  <c r="D291" i="1"/>
  <c r="D290" i="1"/>
  <c r="D289" i="1"/>
  <c r="D288" i="1"/>
  <c r="D287" i="1"/>
  <c r="D286" i="1"/>
  <c r="D284" i="1"/>
  <c r="D283" i="1"/>
  <c r="D282" i="1"/>
  <c r="D281" i="1"/>
  <c r="D280" i="1"/>
  <c r="D279" i="1"/>
  <c r="D277" i="1"/>
  <c r="D276" i="1"/>
  <c r="D275" i="1"/>
  <c r="D274" i="1"/>
  <c r="D273" i="1"/>
  <c r="D272" i="1"/>
  <c r="D245" i="1"/>
  <c r="D244" i="1"/>
  <c r="D243" i="1"/>
  <c r="D242" i="1"/>
  <c r="D241" i="1"/>
  <c r="D240" i="1"/>
  <c r="D239" i="1"/>
  <c r="D238" i="1"/>
  <c r="D237" i="1"/>
  <c r="D233" i="1"/>
  <c r="D232" i="1"/>
  <c r="D231" i="1"/>
  <c r="D230" i="1"/>
  <c r="D229" i="1"/>
  <c r="D228" i="1"/>
  <c r="D227" i="1"/>
  <c r="D226" i="1"/>
  <c r="D222" i="1"/>
  <c r="D221" i="1"/>
  <c r="D220" i="1"/>
  <c r="D219" i="1"/>
  <c r="D218" i="1"/>
  <c r="D217" i="1"/>
  <c r="D216" i="1"/>
  <c r="D212" i="1"/>
  <c r="D211" i="1"/>
  <c r="I206" i="1"/>
  <c r="G426" i="1"/>
  <c r="F337" i="1" l="1"/>
  <c r="F464" i="1"/>
  <c r="C162" i="1"/>
  <c r="C163" i="1"/>
  <c r="C171" i="1"/>
  <c r="C172" i="1"/>
  <c r="C170" i="1"/>
  <c r="C176" i="1"/>
  <c r="E176" i="1"/>
  <c r="E160" i="1"/>
  <c r="C160" i="1"/>
  <c r="C161" i="1"/>
  <c r="C167" i="1"/>
  <c r="C168" i="1"/>
  <c r="C177" i="1"/>
  <c r="E177" i="1"/>
  <c r="C169" i="1"/>
  <c r="F428" i="1"/>
  <c r="C178" i="1"/>
  <c r="E178" i="1"/>
  <c r="C179" i="1"/>
  <c r="E179" i="1"/>
  <c r="F508" i="1"/>
  <c r="G180" i="1" s="1"/>
  <c r="C180" i="1"/>
  <c r="E180" i="1"/>
  <c r="E163" i="1"/>
  <c r="E168" i="1"/>
  <c r="E172" i="1"/>
  <c r="E162" i="1"/>
  <c r="E171" i="1"/>
  <c r="E170" i="1"/>
  <c r="E161" i="1"/>
  <c r="E167" i="1"/>
  <c r="F426" i="1"/>
  <c r="E169" i="1"/>
  <c r="F545" i="1"/>
  <c r="F544" i="1"/>
  <c r="F543" i="1"/>
  <c r="F542" i="1"/>
  <c r="F541" i="1"/>
  <c r="F540" i="1"/>
  <c r="A541" i="1"/>
  <c r="A542" i="1" s="1"/>
  <c r="A543" i="1" s="1"/>
  <c r="A544" i="1" s="1"/>
  <c r="A545" i="1" s="1"/>
  <c r="F538" i="1"/>
  <c r="F537" i="1"/>
  <c r="F536" i="1"/>
  <c r="F535" i="1"/>
  <c r="F534" i="1"/>
  <c r="F533" i="1"/>
  <c r="A533" i="1"/>
  <c r="A534" i="1" s="1"/>
  <c r="A535" i="1" s="1"/>
  <c r="A536" i="1" s="1"/>
  <c r="A537" i="1" s="1"/>
  <c r="A538" i="1" s="1"/>
  <c r="F502" i="1"/>
  <c r="F501" i="1"/>
  <c r="F500" i="1"/>
  <c r="F499" i="1"/>
  <c r="F498" i="1"/>
  <c r="F497" i="1"/>
  <c r="F495" i="1"/>
  <c r="F494" i="1"/>
  <c r="F493" i="1"/>
  <c r="F492" i="1"/>
  <c r="F491" i="1"/>
  <c r="F490" i="1"/>
  <c r="F459" i="1"/>
  <c r="F458" i="1"/>
  <c r="F457" i="1"/>
  <c r="F456" i="1"/>
  <c r="F455" i="1"/>
  <c r="F454" i="1"/>
  <c r="F452" i="1"/>
  <c r="F451" i="1"/>
  <c r="F450" i="1"/>
  <c r="F449" i="1"/>
  <c r="F448" i="1"/>
  <c r="F434" i="1"/>
  <c r="F433" i="1"/>
  <c r="F432" i="1"/>
  <c r="G431" i="1"/>
  <c r="F431" i="1"/>
  <c r="F429" i="1"/>
  <c r="F321" i="1"/>
  <c r="F323" i="1"/>
  <c r="F322" i="1"/>
  <c r="F320" i="1"/>
  <c r="F319" i="1"/>
  <c r="F318" i="1"/>
  <c r="F291" i="1"/>
  <c r="F290" i="1"/>
  <c r="F289" i="1"/>
  <c r="G176" i="1" s="1"/>
  <c r="F288" i="1"/>
  <c r="F287" i="1"/>
  <c r="F286" i="1"/>
  <c r="F284" i="1"/>
  <c r="F283" i="1"/>
  <c r="F282" i="1"/>
  <c r="F281" i="1"/>
  <c r="F280" i="1"/>
  <c r="F279" i="1"/>
  <c r="F277" i="1"/>
  <c r="F220" i="1"/>
  <c r="F219" i="1"/>
  <c r="F222" i="1"/>
  <c r="F221" i="1"/>
  <c r="F218" i="1"/>
  <c r="F217" i="1"/>
  <c r="F216" i="1"/>
  <c r="F233" i="1"/>
  <c r="F232" i="1"/>
  <c r="F231" i="1"/>
  <c r="F228" i="1"/>
  <c r="F230" i="1"/>
  <c r="F229" i="1"/>
  <c r="F227" i="1"/>
  <c r="F226" i="1"/>
  <c r="F245" i="1"/>
  <c r="F244" i="1"/>
  <c r="F243" i="1"/>
  <c r="F242" i="1"/>
  <c r="F241" i="1"/>
  <c r="F240" i="1"/>
  <c r="F239" i="1"/>
  <c r="F238" i="1"/>
  <c r="F237" i="1"/>
  <c r="A238" i="1"/>
  <c r="A239" i="1" s="1"/>
  <c r="A240" i="1" s="1"/>
  <c r="A241" i="1" s="1"/>
  <c r="A242" i="1" s="1"/>
  <c r="A243" i="1" s="1"/>
  <c r="A244" i="1" s="1"/>
  <c r="A245" i="1" s="1"/>
  <c r="G237" i="1"/>
  <c r="A227" i="1"/>
  <c r="A228" i="1" s="1"/>
  <c r="A229" i="1" s="1"/>
  <c r="A230" i="1" s="1"/>
  <c r="A231" i="1" s="1"/>
  <c r="A232" i="1" s="1"/>
  <c r="A233" i="1" s="1"/>
  <c r="A217" i="1"/>
  <c r="A218" i="1" s="1"/>
  <c r="A219" i="1" s="1"/>
  <c r="A220" i="1" s="1"/>
  <c r="A221" i="1" s="1"/>
  <c r="A222" i="1" s="1"/>
  <c r="C164" i="1" l="1"/>
  <c r="G179" i="1"/>
  <c r="G172" i="1"/>
  <c r="G169" i="1"/>
  <c r="G178" i="1"/>
  <c r="G161" i="1"/>
  <c r="G168" i="1"/>
  <c r="G177" i="1"/>
  <c r="G170" i="1"/>
  <c r="G171" i="1"/>
  <c r="E173" i="1"/>
  <c r="C173" i="1"/>
  <c r="J170" i="1" s="1"/>
  <c r="E181" i="1"/>
  <c r="E164" i="1"/>
  <c r="C181" i="1"/>
  <c r="K170" i="1" s="1"/>
  <c r="G162" i="1"/>
  <c r="G163" i="1"/>
  <c r="E182" i="1" l="1"/>
  <c r="E202" i="1" s="1"/>
  <c r="C182" i="1"/>
  <c r="C202" i="1" s="1"/>
  <c r="G181" i="1"/>
  <c r="C101" i="1"/>
  <c r="C16" i="1" l="1"/>
  <c r="F156" i="1" l="1"/>
  <c r="F212" i="1" l="1"/>
  <c r="F211" i="1"/>
  <c r="G160" i="1" l="1"/>
  <c r="G164" i="1" s="1"/>
  <c r="B775" i="1"/>
  <c r="F276" i="1" l="1"/>
  <c r="F275" i="1"/>
  <c r="F273" i="1"/>
  <c r="F272" i="1"/>
  <c r="F274" i="1"/>
  <c r="J267" i="1" s="1"/>
  <c r="I242" i="1" l="1"/>
  <c r="G167" i="1"/>
  <c r="G173" i="1" s="1"/>
  <c r="G182" i="1" s="1"/>
  <c r="G202" i="1" s="1"/>
  <c r="B776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808" i="1"/>
  <c r="G272" i="1"/>
  <c r="A212" i="1"/>
  <c r="J98" i="1"/>
  <c r="J97" i="1"/>
  <c r="J96" i="1"/>
  <c r="J95" i="1"/>
  <c r="C59" i="1"/>
  <c r="E44" i="1"/>
  <c r="E45" i="1" s="1"/>
  <c r="E28" i="1"/>
  <c r="E26" i="1"/>
  <c r="E3" i="1"/>
  <c r="H88" i="1"/>
  <c r="H102" i="1"/>
  <c r="J104" i="1" l="1"/>
  <c r="J105" i="1"/>
  <c r="J106" i="1"/>
  <c r="J107" i="1"/>
  <c r="J108" i="1" s="1"/>
  <c r="J113" i="1" s="1"/>
  <c r="J114" i="1" s="1"/>
  <c r="J101" i="1"/>
  <c r="J103" i="1" s="1"/>
  <c r="D81" i="1"/>
  <c r="D100" i="1"/>
  <c r="D98" i="1"/>
  <c r="D97" i="1"/>
  <c r="D96" i="1"/>
  <c r="D94" i="1"/>
  <c r="J87" i="1"/>
  <c r="D99" i="1"/>
  <c r="D95" i="1"/>
  <c r="J91" i="1"/>
  <c r="J92" i="1"/>
  <c r="J90" i="1"/>
  <c r="J93" i="1"/>
  <c r="J94" i="1" s="1"/>
  <c r="J99" i="1" s="1"/>
  <c r="D114" i="1"/>
  <c r="D112" i="1"/>
  <c r="D110" i="1"/>
  <c r="D108" i="1"/>
  <c r="D113" i="1"/>
  <c r="D111" i="1"/>
  <c r="D109" i="1"/>
  <c r="J100" i="1" l="1"/>
  <c r="D92" i="1" s="1"/>
  <c r="D107" i="1"/>
  <c r="D105" i="1"/>
  <c r="D93" i="1"/>
  <c r="J89" i="1"/>
  <c r="D91" i="1"/>
  <c r="E105" i="1"/>
  <c r="D106" i="1"/>
  <c r="G105" i="1"/>
  <c r="H130" i="1"/>
  <c r="H116" i="1"/>
  <c r="D142" i="1" l="1"/>
  <c r="J134" i="1"/>
  <c r="C133" i="1" s="1"/>
  <c r="D133" i="1" s="1"/>
  <c r="J132" i="1"/>
  <c r="D138" i="1"/>
  <c r="D136" i="1"/>
  <c r="D135" i="1"/>
  <c r="D141" i="1"/>
  <c r="D140" i="1"/>
  <c r="D139" i="1"/>
  <c r="J129" i="1"/>
  <c r="J131" i="1" s="1"/>
  <c r="D137" i="1"/>
  <c r="J133" i="1"/>
  <c r="J135" i="1"/>
  <c r="J115" i="1"/>
  <c r="J117" i="1" s="1"/>
  <c r="I102" i="1"/>
  <c r="I103" i="1" s="1"/>
  <c r="J102" i="1"/>
  <c r="J120" i="1"/>
  <c r="C119" i="1" s="1"/>
  <c r="D128" i="1"/>
  <c r="D124" i="1"/>
  <c r="J119" i="1"/>
  <c r="D127" i="1"/>
  <c r="D123" i="1"/>
  <c r="D121" i="1"/>
  <c r="D126" i="1"/>
  <c r="D122" i="1"/>
  <c r="J121" i="1"/>
  <c r="J118" i="1"/>
  <c r="D125" i="1"/>
  <c r="E91" i="1"/>
  <c r="G91" i="1"/>
  <c r="D85" i="1" s="1"/>
  <c r="D86" i="1" s="1"/>
  <c r="I88" i="1"/>
  <c r="J88" i="1"/>
  <c r="J136" i="1" l="1"/>
  <c r="J141" i="1" s="1"/>
  <c r="J142" i="1" s="1"/>
  <c r="C134" i="1" s="1"/>
  <c r="E133" i="1" s="1"/>
  <c r="J122" i="1"/>
  <c r="D119" i="1"/>
  <c r="F86" i="1"/>
  <c r="I89" i="1"/>
  <c r="I87" i="1" s="1"/>
  <c r="C89" i="1" s="1"/>
  <c r="I101" i="1"/>
  <c r="C103" i="1" s="1"/>
  <c r="G133" i="1" l="1"/>
  <c r="J130" i="1"/>
  <c r="D134" i="1"/>
  <c r="I130" i="1" s="1"/>
  <c r="I131" i="1" s="1"/>
  <c r="J127" i="1"/>
  <c r="J128" i="1" s="1"/>
  <c r="C120" i="1" s="1"/>
  <c r="D120" i="1" s="1"/>
  <c r="I116" i="1" s="1"/>
  <c r="I117" i="1" s="1"/>
  <c r="I129" i="1" l="1"/>
  <c r="C131" i="1" s="1"/>
  <c r="E119" i="1"/>
  <c r="J116" i="1"/>
  <c r="I115" i="1" s="1"/>
  <c r="C117" i="1" s="1"/>
  <c r="G119" i="1"/>
</calcChain>
</file>

<file path=xl/sharedStrings.xml><?xml version="1.0" encoding="utf-8"?>
<sst xmlns="http://schemas.openxmlformats.org/spreadsheetml/2006/main" count="1384" uniqueCount="332">
  <si>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</si>
  <si>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</si>
  <si>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</si>
  <si>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</si>
  <si>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</si>
  <si>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</si>
  <si>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</si>
  <si>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</si>
  <si>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</si>
  <si>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</si>
  <si>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</si>
  <si>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</si>
  <si>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</si>
  <si>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</si>
  <si>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</si>
  <si>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</si>
  <si>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</si>
  <si>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</si>
  <si>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</si>
  <si>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</si>
  <si>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</si>
  <si>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</si>
  <si>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</si>
  <si>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</si>
  <si>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</si>
  <si>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</si>
  <si>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</si>
  <si>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</si>
  <si>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</si>
  <si>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</si>
  <si>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</si>
  <si>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</si>
  <si>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</si>
  <si>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</si>
  <si>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</si>
  <si>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</si>
  <si>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</si>
  <si>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</si>
  <si>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</si>
  <si>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</si>
  <si>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</si>
  <si>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</si>
  <si>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</si>
  <si>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</si>
  <si>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</si>
  <si>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</si>
  <si>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</si>
  <si>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</si>
  <si>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</si>
  <si>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</si>
  <si>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</si>
  <si>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</si>
  <si>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</si>
  <si>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</si>
  <si>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</si>
  <si>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</si>
  <si>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</si>
  <si>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</si>
  <si>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</si>
  <si>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</si>
  <si>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</si>
  <si>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</si>
  <si>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</si>
  <si>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</si>
  <si>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</si>
  <si>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</si>
  <si>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</si>
  <si>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</si>
  <si>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</si>
  <si>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</si>
  <si>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</si>
  <si>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</si>
  <si>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</si>
  <si>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</si>
  <si>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</si>
  <si>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</si>
  <si>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</si>
  <si>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</si>
  <si>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</si>
  <si>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</si>
  <si>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</si>
  <si>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</si>
  <si>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</si>
  <si>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</si>
  <si>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</si>
  <si>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</si>
  <si>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</si>
  <si>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</si>
  <si>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</si>
  <si>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</si>
  <si>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</si>
  <si>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</si>
  <si>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</si>
  <si>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</si>
  <si>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</si>
  <si>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</si>
  <si>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</si>
  <si>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</si>
  <si>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</si>
  <si>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</si>
  <si>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</si>
  <si>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</si>
  <si>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</si>
  <si>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</si>
  <si>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</si>
  <si>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</si>
  <si>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</si>
  <si>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</si>
  <si>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</si>
  <si>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</si>
  <si>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</si>
  <si>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</si>
  <si>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</si>
  <si>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</si>
  <si>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</si>
  <si>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</si>
  <si>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</si>
  <si>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2nd Floor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</si>
  <si>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</si>
  <si>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</si>
  <si>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</si>
  <si>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</si>
  <si>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</si>
  <si>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</si>
  <si>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</si>
  <si>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</si>
  <si>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</si>
  <si>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</si>
  <si>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</si>
  <si>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</si>
  <si>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</si>
  <si>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</si>
  <si>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</si>
  <si>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</si>
  <si>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</si>
  <si>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</si>
  <si>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</si>
  <si>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</si>
  <si>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</si>
  <si>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</si>
  <si>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</si>
  <si>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</si>
  <si>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</si>
  <si>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</si>
  <si>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</si>
  <si>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</si>
  <si>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</si>
  <si>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</si>
  <si>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</si>
  <si>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</si>
  <si>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</si>
  <si>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</si>
  <si>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</si>
  <si>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</si>
  <si>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</si>
  <si>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</si>
  <si>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</si>
  <si>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</si>
  <si>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</si>
  <si>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</si>
  <si>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</si>
  <si>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</si>
  <si>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</si>
  <si>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</si>
  <si>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</si>
  <si>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</si>
  <si>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</si>
  <si>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Galaxy Heights</t>
  </si>
  <si>
    <t>Name of the Project As Per RERA</t>
  </si>
  <si>
    <t>CTS No</t>
  </si>
  <si>
    <t>Dadasaheb Gaikwad Nagar</t>
  </si>
  <si>
    <t>Malvani</t>
  </si>
  <si>
    <t>Mumbai</t>
  </si>
  <si>
    <t>Malad (W)</t>
  </si>
  <si>
    <t>Borivali</t>
  </si>
  <si>
    <t>5.8KM from Malad Railway Station</t>
  </si>
  <si>
    <t>Abdul Hamid Marg/Open Plot</t>
  </si>
  <si>
    <t>https://goo.gl/maps/WiYvTuzpppEoWrVNA</t>
  </si>
  <si>
    <t>Approved Plans, CC, Cost Sheet</t>
  </si>
  <si>
    <t>Maharashtra Police Cooperative Housing Federation Limited</t>
  </si>
  <si>
    <t>Bharat Redij/Sanjay Yadav - 9920200499/7900148708</t>
  </si>
  <si>
    <t>3525 (Pt), Plot No. C-2, Existing Building Name - Maharashtra Police Cooperative Housing Federation Limited</t>
  </si>
  <si>
    <t>Abdul Hamig Marg</t>
  </si>
  <si>
    <t>Mansarovar building</t>
  </si>
  <si>
    <t>Kala Vidya Mandir Institiute of Technology</t>
  </si>
  <si>
    <t>M H B School</t>
  </si>
  <si>
    <t>Slum</t>
  </si>
  <si>
    <t>Layout Plan :</t>
  </si>
  <si>
    <t>Maharashtra Housing and Area Development Authority (MHADA)</t>
  </si>
  <si>
    <t>loading - 60%</t>
  </si>
  <si>
    <t>Residential + Commercial</t>
  </si>
  <si>
    <t>MHADA-64/1081/2023</t>
  </si>
  <si>
    <t>Nameof the Existing Building</t>
  </si>
  <si>
    <t>Basement Floor for Pump</t>
  </si>
  <si>
    <t>Wing A</t>
  </si>
  <si>
    <t>Wing D</t>
  </si>
  <si>
    <t>Wing E</t>
  </si>
  <si>
    <t>Wing F</t>
  </si>
  <si>
    <t>Shop</t>
  </si>
  <si>
    <t>Wing B</t>
  </si>
  <si>
    <t>Ground Floor for Commercial, Entrance Lobby, Meter Room, Society Office, Public Toilet &amp; Parking</t>
  </si>
  <si>
    <t>Ground Floor for Entrance Lobby, Meter Room &amp; Parking</t>
  </si>
  <si>
    <t>Wing C</t>
  </si>
  <si>
    <t>Ground Floor for Commercial, Entrance Lobby, Public Toilet</t>
  </si>
  <si>
    <t>Ground Floor for Commercial, Entrance Lobby &amp; Meter Room</t>
  </si>
  <si>
    <t>1st Floor for Fitness Centre</t>
  </si>
  <si>
    <t>2nd Floor for Residential</t>
  </si>
  <si>
    <t>1.5BHK</t>
  </si>
  <si>
    <t>1BHK</t>
  </si>
  <si>
    <t>3rd Floor</t>
  </si>
  <si>
    <t>4th Floor</t>
  </si>
  <si>
    <t>1st Floor for Residential</t>
  </si>
  <si>
    <t>5th Floor</t>
  </si>
  <si>
    <t>10th Floor</t>
  </si>
  <si>
    <t>3rd, 5th, 6th, 7th, 9th, 11th to 14th, 16th to 22nd Floor</t>
  </si>
  <si>
    <t>8th &amp; 15th Floor (Part Refuge Area)</t>
  </si>
  <si>
    <t>Refuge Area</t>
  </si>
  <si>
    <t>15th Floor (Part Refuge Area)</t>
  </si>
  <si>
    <t>8th Floor (Part Refuge Area)</t>
  </si>
  <si>
    <t>6th Floor</t>
  </si>
  <si>
    <t>7th Floor</t>
  </si>
  <si>
    <t>9th Floor</t>
  </si>
  <si>
    <t>11th Floor</t>
  </si>
  <si>
    <t>12th Floor</t>
  </si>
  <si>
    <t>13th Floor</t>
  </si>
  <si>
    <t>14th, 17th to 22nd Floor</t>
  </si>
  <si>
    <t>3rd to 7th, 9th to 14th, 16th to 22nd Floor</t>
  </si>
  <si>
    <t>2nd, 4th to 7th, 10th to 14th, 16th to 22nd Floor</t>
  </si>
  <si>
    <t>16th Floor</t>
  </si>
  <si>
    <t>2nd to 5th, 7th, 9th to 14th, 17th to 22nd Floor</t>
  </si>
  <si>
    <t>2nd to 7th, 9th to 14th, 16th to 22nd Floor</t>
  </si>
  <si>
    <t>Sale/ Mhada</t>
  </si>
  <si>
    <t xml:space="preserve">Sale </t>
  </si>
  <si>
    <t>Mhada</t>
  </si>
  <si>
    <t>-</t>
  </si>
  <si>
    <t>Sale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</si>
  <si>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</si>
  <si>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Total Project Area</t>
  </si>
  <si>
    <t>We considered Gross carpet area = Net carpet + Balcony.</t>
  </si>
  <si>
    <t xml:space="preserve">We have updated revised plans (on 12/05/2023).
</t>
  </si>
  <si>
    <t>Galaxy Heights Tower I (Wing A to F)</t>
  </si>
  <si>
    <t>Galaxy Heights Tower I (Wing A to F)
Galaxy Heights Tower III (Wing L to P)</t>
  </si>
  <si>
    <t>Latitude &amp; Longitude</t>
  </si>
  <si>
    <t>19.1820767,72.8133306</t>
  </si>
  <si>
    <t>Area Statement Details : Galaxy Heights Tower I (Wing A to F)</t>
  </si>
  <si>
    <t>Area Statement Details : Galaxy Heights Tower III (Wing L to P)</t>
  </si>
  <si>
    <t>Galaxy Heights Tower III (Wing L to P)</t>
  </si>
  <si>
    <t>wings is not mention in any photo of tower III that’s why we mention in the photo Tower III only.</t>
  </si>
  <si>
    <t>Galaxy Heights Tower I &amp; III</t>
  </si>
  <si>
    <t>We have updated Tower III (Wing L to P), Aproved Floor Plan &amp; CC on 24/11/2023.</t>
  </si>
  <si>
    <t>Tower I (Wing A to F) = B + G + 1st to 22nd Floor
Tower III (Wing L to P) = Gr + 1st to 22nd Floor</t>
  </si>
  <si>
    <t>Tower I (Wing D to F) = B + G + 1st to 22nd Floor</t>
  </si>
  <si>
    <t>Tower III (Wing L to P) = Gr + 1st to 22nd Floor</t>
  </si>
  <si>
    <t>Tower I (Wing C) = B + G + 1st to 22nd Floor</t>
  </si>
  <si>
    <t xml:space="preserve">Tower I (Wing A &amp; B) = B + G + 1st to 22nd Floor
</t>
  </si>
  <si>
    <t>Dated
Valid Upto 
Date</t>
  </si>
  <si>
    <t>We have updated approved CC of  Tower I (Wing A to F) on 24/11/2023.</t>
  </si>
  <si>
    <t>Tower I (Wing A, B &amp; C ) = B + G + 1st to 22nd Floor</t>
  </si>
  <si>
    <t>Axis Goregaon</t>
  </si>
  <si>
    <t xml:space="preserve">Layout Approval No.
</t>
  </si>
  <si>
    <t xml:space="preserve">Approved Floor plan No.
</t>
  </si>
  <si>
    <t>Mhada-64/1318/2024</t>
  </si>
  <si>
    <t>As per Layout</t>
  </si>
  <si>
    <t>Wing L</t>
  </si>
  <si>
    <t>2BHK</t>
  </si>
  <si>
    <t>Wing M</t>
  </si>
  <si>
    <t>1st Floor For Residential &amp; Part Fitness Center Area</t>
  </si>
  <si>
    <t>Fitness Center Area</t>
  </si>
  <si>
    <t>Wing N</t>
  </si>
  <si>
    <t>Wing O</t>
  </si>
  <si>
    <t>Wing P</t>
  </si>
  <si>
    <t>2nd &amp; 3rd Floor</t>
  </si>
  <si>
    <t>4th to 7th Floor</t>
  </si>
  <si>
    <t>8th Floor For (Part Refuge Area)</t>
  </si>
  <si>
    <t>9th to 14th &amp; 16th to 22nd Floor</t>
  </si>
  <si>
    <t>15th Floor For (Part Refuge Area)</t>
  </si>
  <si>
    <t>Grand Total</t>
  </si>
  <si>
    <t>Residential Area Details : Sale Flat</t>
  </si>
  <si>
    <t>Residential Area Details : Mhada Flat</t>
  </si>
  <si>
    <t>Approved Builtup Area of  Tower III
(Wing L to P) (Sq.Mt)</t>
  </si>
  <si>
    <t>06 Buildings</t>
  </si>
  <si>
    <t>05 Buildings</t>
  </si>
  <si>
    <t>https://housing.com/in/buy/projects/page/278383-mpchfls-galaxy-heights-by-maharashtra-police-cooperative-housing-federation-ltd-in-malad-west</t>
  </si>
  <si>
    <t>Children's Play Area, Reading Lounge, Recreation Facilities, Party Hall, Lift(s), Landscaping &amp; Tree Planting, Fire Fighting System, Gymnasium, 24X7 Water Supply, Car Parking, Multipurpose Room, Yoga/Meditation AreaCommunity Hall, Senior Citizen Siteout, Gated Community, Paved Compound
Indoor Games, Cycling &amp; Jogging Track, Storm Water Drains, Rain Water Harvesting, Library, CCTV etc.</t>
  </si>
  <si>
    <t xml:space="preserve">EC No
Valid Up to: </t>
  </si>
  <si>
    <t>SIA/MH/MIS/266319/2022</t>
  </si>
  <si>
    <t>C.T.S. No. 3525(pt), Plot No. C2
Proposed Builtup Area = 103394.35 Sq.M
Tower T1 (Wing A to F) = Gr + 1st to 22nd Upper Floor
Tower T3 (Wing L to P) = Gr + 1st to 22nd Upper Floor</t>
  </si>
  <si>
    <t>We have taken approved EC from State Environment Impact Assessment
Authority Maharashtra</t>
  </si>
  <si>
    <t xml:space="preserve">Provide approved layout plan &amp; Ground floor plan for Tower III (Wing L to P) </t>
  </si>
  <si>
    <t>As per RERA - 
Tower I (Wing A to F) = 31/12/2026
Tower III (Wing L to P) = 31/12/2027</t>
  </si>
  <si>
    <t>Commercial Area Details : Shop</t>
  </si>
  <si>
    <t>We have not received approved ground floor plan of Tower III (Wing L to P), So we are not drafted area for Commercial Part</t>
  </si>
  <si>
    <t>We have udated revised approved layout &amp; floor plan for Tower III (Wing L to P) (On 29/02/2024)</t>
  </si>
  <si>
    <t>Rate 9000 Nilesh Verbal   On 09/09/2024</t>
  </si>
  <si>
    <t>Recommended Rates of the Property have been revised on 09/09/2024.</t>
  </si>
  <si>
    <t xml:space="preserve">Dated
</t>
  </si>
  <si>
    <t>We have updated  C.C for Tower I (Wing A to F) from Mhada Site (on 16/10/2024).</t>
  </si>
  <si>
    <t>We have updated  C.C for Tower III (Wing L to P) (on 16/10/2024).</t>
  </si>
  <si>
    <t>Approved Floor plan No.</t>
  </si>
  <si>
    <t>Approved built Up area of building (Sq.Mt)
Tower I &amp; III</t>
  </si>
  <si>
    <t>Ground Floor for Entrance lobby, Meter Room &amp; Parking</t>
  </si>
  <si>
    <t>Wing O + N + M</t>
  </si>
  <si>
    <t xml:space="preserve">1st Floor </t>
  </si>
  <si>
    <t>Office</t>
  </si>
  <si>
    <t>Fitness Center</t>
  </si>
  <si>
    <t>1st Floor for Fitness Center &amp; Society Office</t>
  </si>
  <si>
    <t>Society Office</t>
  </si>
  <si>
    <t>1st Floor For Fitness Center</t>
  </si>
  <si>
    <t>1st Floor For Residential &amp; Fitness Center</t>
  </si>
  <si>
    <t>1st Floor For Residential &amp; Fitness Center (Mhada Flat)</t>
  </si>
  <si>
    <t>Wing O+N+M</t>
  </si>
  <si>
    <t xml:space="preserve">Sale Flats - 1083, Mhada Flats - 195, Shops - 36, Offices - 04, </t>
  </si>
  <si>
    <t>We have updated revised approved floor plans for Tower III (Wing L to P) (On 19/10/2024).</t>
  </si>
  <si>
    <t>Sanket Salvi</t>
  </si>
  <si>
    <t>As per the latest CC the plans for Tower I  &amp; III are revised. Please provide revised approved plan.</t>
  </si>
  <si>
    <t>Site person sanjay told 3 RCC completed dtd 15/04/2025</t>
  </si>
  <si>
    <t>As per discussion with sachin sir 2 slabs given</t>
  </si>
  <si>
    <t>Mr. Sanjay Yadav - 9819382212</t>
  </si>
  <si>
    <t>Galaxy Heights Tower I (Wing A to F) = P51800045503
Galaxy Heights Tower III (Wing L to P) = P51800052922</t>
  </si>
  <si>
    <t>MH/EE/(BP)/GM/MHADA-64/1081/2025/FCC/2/Amend</t>
  </si>
  <si>
    <t>02/06/2025
30/03/2026</t>
  </si>
  <si>
    <r>
      <t xml:space="preserve">This Full C.C. is issued for </t>
    </r>
    <r>
      <rPr>
        <b/>
        <sz val="12"/>
        <color indexed="8"/>
        <rFont val="Times New Roman"/>
        <family val="1"/>
      </rPr>
      <t>wing ‘A’</t>
    </r>
    <r>
      <rPr>
        <sz val="12"/>
        <color indexed="8"/>
        <rFont val="Times New Roman"/>
        <family val="1"/>
      </rPr>
      <t xml:space="preserve">, comprising of Ground (Part) for shops &amp; Stilt (Part) + 1st to 22nd upper floor having height 68.45 mt. + OHT &amp; LMR, </t>
    </r>
    <r>
      <rPr>
        <b/>
        <sz val="12"/>
        <color indexed="8"/>
        <rFont val="Times New Roman"/>
        <family val="1"/>
      </rPr>
      <t xml:space="preserve">Wing ‘B’ </t>
    </r>
    <r>
      <rPr>
        <sz val="12"/>
        <color indexed="8"/>
        <rFont val="Times New Roman"/>
        <family val="1"/>
      </rPr>
      <t xml:space="preserve">comprising of Ground(Pt) + Stilt Part (for parking) + 1st to 22nd upper floor having height 68.45 mt. + OHT &amp; LMR, </t>
    </r>
    <r>
      <rPr>
        <b/>
        <sz val="12"/>
        <color indexed="8"/>
        <rFont val="Times New Roman"/>
        <family val="1"/>
      </rPr>
      <t>Wing ‘C’</t>
    </r>
    <r>
      <rPr>
        <sz val="12"/>
        <color indexed="8"/>
        <rFont val="Times New Roman"/>
        <family val="1"/>
      </rPr>
      <t xml:space="preserve"> comprising of Ground(pt) + Stilt (for parking) + 1st to 22nd upper floor having height 68.45 mt. + OHT &amp; LMR, </t>
    </r>
    <r>
      <rPr>
        <b/>
        <sz val="12"/>
        <color indexed="8"/>
        <rFont val="Times New Roman"/>
        <family val="1"/>
      </rPr>
      <t>Wing ‘D’ &amp; ‘F’</t>
    </r>
    <r>
      <rPr>
        <sz val="12"/>
        <color indexed="8"/>
        <rFont val="Times New Roman"/>
        <family val="1"/>
      </rPr>
      <t xml:space="preserve"> comprising of Ground (for shops) +1st to 22nd upper floor having height 68.45 mt. + OHT &amp; LMR &amp; </t>
    </r>
    <r>
      <rPr>
        <b/>
        <sz val="12"/>
        <color indexed="8"/>
        <rFont val="Times New Roman"/>
        <family val="1"/>
      </rPr>
      <t>Wing ‘E’</t>
    </r>
    <r>
      <rPr>
        <sz val="12"/>
        <color indexed="8"/>
        <rFont val="Times New Roman"/>
        <family val="1"/>
      </rPr>
      <t xml:space="preserve"> comprising of Basement (for pump room) + Ground (for shops)+ 1st to 22nd upper floor having height 68.45 mt. + OHT &amp; LMR with Parking tower as per approved amended plans dated 02/07/2024.
Note:-That the Guidelines for reduction of Air Pollution issued by Chief Engineer(D.P.) BMC dt. 15/09/2023 &amp; Hon’ble Municipal Commissioner (BMC) dt. 25/10/2023 shall be strictly followed on Site.</t>
    </r>
  </si>
  <si>
    <t>MH/EE/(BP)/GM/MHADA-64/1318/2025/FCC/2/Amend</t>
  </si>
  <si>
    <t xml:space="preserve">Commencement-CC No
Valid Up to: </t>
  </si>
  <si>
    <r>
      <t xml:space="preserve">This C.C. is issued for work of </t>
    </r>
    <r>
      <rPr>
        <b/>
        <sz val="12"/>
        <color indexed="8"/>
        <rFont val="Times New Roman"/>
        <family val="1"/>
      </rPr>
      <t>Wing ‘L’</t>
    </r>
    <r>
      <rPr>
        <sz val="12"/>
        <color indexed="8"/>
        <rFont val="Times New Roman"/>
        <family val="1"/>
      </rPr>
      <t xml:space="preserve"> Stilt, Ground + 1st residential, Fitness Centre, Podium recreational + 2nd to 20th top slab, </t>
    </r>
    <r>
      <rPr>
        <b/>
        <sz val="12"/>
        <color indexed="8"/>
        <rFont val="Times New Roman"/>
        <family val="1"/>
      </rPr>
      <t xml:space="preserve">Wing ‘M’ </t>
    </r>
    <r>
      <rPr>
        <sz val="12"/>
        <color indexed="8"/>
        <rFont val="Times New Roman"/>
        <family val="1"/>
      </rPr>
      <t xml:space="preserve">Stilt, Ground+ 1st Offices, Fitness Centre, Podium recreational + 2nd to 20th top slab, </t>
    </r>
    <r>
      <rPr>
        <b/>
        <sz val="12"/>
        <color indexed="8"/>
        <rFont val="Times New Roman"/>
        <family val="1"/>
      </rPr>
      <t>Wing ‘N’,</t>
    </r>
    <r>
      <rPr>
        <sz val="12"/>
        <color indexed="8"/>
        <rFont val="Times New Roman"/>
        <family val="1"/>
      </rPr>
      <t xml:space="preserve"> Basement pump room + Stilt, Ground+ 1st offices, Podium recreational + 2nd to 20th top slab, </t>
    </r>
    <r>
      <rPr>
        <b/>
        <sz val="12"/>
        <color indexed="8"/>
        <rFont val="Times New Roman"/>
        <family val="1"/>
      </rPr>
      <t>Wing ‘O’</t>
    </r>
    <r>
      <rPr>
        <sz val="12"/>
        <color indexed="8"/>
        <rFont val="Times New Roman"/>
        <family val="1"/>
      </rPr>
      <t xml:space="preserve"> Stilt, Ground + 1st Offices, Fitness Centre, Society office, podium recreational + 2nd to 20th top slab &amp; </t>
    </r>
    <r>
      <rPr>
        <b/>
        <sz val="12"/>
        <color indexed="8"/>
        <rFont val="Times New Roman"/>
        <family val="1"/>
      </rPr>
      <t>Wing ‘P’</t>
    </r>
    <r>
      <rPr>
        <sz val="12"/>
        <color indexed="8"/>
        <rFont val="Times New Roman"/>
        <family val="1"/>
      </rPr>
      <t>, Stilt, Ground + 1st residential, Fitness Centre, podium recreational + 2nd to19th top slab as per approved amended plans dated 26/07/2024.
Note:- That the Guidelines for reduction of Air Pollution issued by Chief Engineer(D.P.) BMC dt. 15/09/2023 &amp; Hon’ble Municipal Commissioner (BMC) dt. 25/10/2023 shall be strictly followed on Site.</t>
    </r>
  </si>
  <si>
    <t>We have updated CC for Tower I (Wing A to F) &amp; Tower III (Wing L to P) from Mhada site (On 30/09/2025).</t>
  </si>
  <si>
    <t>Validity of CC is expired on 09/08/2025. Please provide revised CC for Tower III (Wing L to P).</t>
  </si>
  <si>
    <t>Pooja Kawale</t>
  </si>
  <si>
    <t xml:space="preserve">Tower I &amp; III = Construction work is in process at the time of Visit. (Internal Photo was not
Allowed.)
Wing C = Footing work Completed.
Wing D, E &amp; F = Piling work in process.
</t>
  </si>
  <si>
    <t>Tower III (Wing L, M, N &amp; P) = Gr + 1st to 22nd Floor</t>
  </si>
  <si>
    <t>Tower III (Wing O) = Gr + 1st to 22nd Floor</t>
  </si>
  <si>
    <t>As discussed with akash sir Wing O disbursement should be 61%  on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</si>
</sst>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sz val="12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4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2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9" xfId="0" applyFont="1" applyBorder="1" applyProtection="1">
      <protection hidden="1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8" xfId="1" applyFont="1" applyBorder="1"/>
    <xf numFmtId="0" fontId="17" fillId="0" borderId="8" xfId="0" applyFont="1" applyBorder="1" applyProtection="1">
      <protection hidden="1"/>
    </xf>
    <xf numFmtId="1" fontId="0" fillId="0" borderId="8" xfId="0" applyNumberFormat="1" applyBorder="1"/>
    <xf numFmtId="1" fontId="0" fillId="0" borderId="8" xfId="0" applyNumberFormat="1" applyBorder="1" applyAlignment="1">
      <alignment horizontal="right"/>
    </xf>
    <xf numFmtId="1" fontId="0" fillId="0" borderId="10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24" fillId="2" borderId="21" xfId="0" applyFont="1" applyFill="1" applyBorder="1"/>
    <xf numFmtId="0" fontId="25" fillId="0" borderId="22" xfId="0" applyFont="1" applyBorder="1"/>
    <xf numFmtId="0" fontId="25" fillId="0" borderId="1" xfId="0" applyFont="1" applyBorder="1"/>
    <xf numFmtId="0" fontId="25" fillId="0" borderId="5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" fontId="7" fillId="0" borderId="1" xfId="1" applyNumberFormat="1" applyFont="1" applyBorder="1" applyAlignment="1">
      <alignment horizontal="center" vertical="center"/>
    </xf>
    <xf numFmtId="1" fontId="27" fillId="0" borderId="1" xfId="0" applyNumberFormat="1" applyFont="1" applyBorder="1" applyAlignment="1" applyProtection="1">
      <alignment horizontal="center" vertical="center" wrapText="1"/>
      <protection locked="0"/>
    </xf>
    <xf numFmtId="1" fontId="27" fillId="0" borderId="7" xfId="0" applyNumberFormat="1" applyFont="1" applyBorder="1" applyAlignment="1" applyProtection="1">
      <alignment horizontal="center" vertical="center" wrapText="1"/>
      <protection locked="0"/>
    </xf>
    <xf numFmtId="1" fontId="27" fillId="0" borderId="12" xfId="0" applyNumberFormat="1" applyFont="1" applyBorder="1" applyAlignment="1" applyProtection="1">
      <alignment horizontal="center" vertical="center" wrapText="1"/>
      <protection locked="0"/>
    </xf>
    <xf numFmtId="1" fontId="27" fillId="0" borderId="16" xfId="0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vertical="center" wrapText="1"/>
      <protection locked="0"/>
    </xf>
    <xf numFmtId="1" fontId="6" fillId="0" borderId="14" xfId="1" applyNumberFormat="1" applyFont="1" applyBorder="1" applyAlignment="1" applyProtection="1">
      <alignment vertical="center" wrapText="1"/>
      <protection locked="0"/>
    </xf>
    <xf numFmtId="1" fontId="6" fillId="0" borderId="19" xfId="1" applyNumberFormat="1" applyFont="1" applyBorder="1" applyAlignment="1" applyProtection="1">
      <alignment vertical="center" wrapText="1"/>
      <protection locked="0"/>
    </xf>
    <xf numFmtId="1" fontId="6" fillId="0" borderId="20" xfId="1" applyNumberFormat="1" applyFont="1" applyBorder="1" applyAlignment="1" applyProtection="1">
      <alignment vertical="center" wrapText="1"/>
      <protection locked="0"/>
    </xf>
    <xf numFmtId="1" fontId="6" fillId="0" borderId="15" xfId="1" applyNumberFormat="1" applyFont="1" applyBorder="1" applyAlignment="1" applyProtection="1">
      <alignment vertical="center" wrapText="1"/>
      <protection locked="0"/>
    </xf>
    <xf numFmtId="1" fontId="6" fillId="0" borderId="16" xfId="1" applyNumberFormat="1" applyFont="1" applyBorder="1" applyAlignment="1" applyProtection="1">
      <alignment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26" fillId="0" borderId="0" xfId="10" applyFill="1" applyAlignment="1">
      <alignment wrapText="1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1" xfId="0" applyFont="1" applyFill="1" applyBorder="1"/>
    <xf numFmtId="0" fontId="25" fillId="0" borderId="7" xfId="0" applyFont="1" applyBorder="1"/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1" fontId="13" fillId="0" borderId="17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1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center" wrapText="1"/>
      <protection locked="0"/>
    </xf>
    <xf numFmtId="1" fontId="8" fillId="4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6" xfId="0" applyNumberFormat="1" applyFont="1" applyBorder="1" applyAlignment="1" applyProtection="1">
      <alignment vertical="top" wrapText="1"/>
      <protection locked="0"/>
    </xf>
    <xf numFmtId="1" fontId="8" fillId="0" borderId="17" xfId="0" applyNumberFormat="1" applyFont="1" applyBorder="1" applyAlignment="1" applyProtection="1">
      <alignment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2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6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" fontId="8" fillId="5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17" xfId="1" applyNumberFormat="1" applyFont="1" applyFill="1" applyBorder="1" applyAlignment="1" applyProtection="1">
      <alignment horizontal="center" vertical="center" wrapText="1"/>
      <protection locked="0"/>
    </xf>
    <xf numFmtId="1" fontId="8" fillId="5" borderId="7" xfId="1" applyNumberFormat="1" applyFont="1" applyFill="1" applyBorder="1" applyAlignment="1" applyProtection="1">
      <alignment horizontal="center" vertical="center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left" vertical="top"/>
      <protection locked="0"/>
    </xf>
    <xf numFmtId="14" fontId="6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14" xfId="1" applyFont="1" applyBorder="1" applyAlignment="1" applyProtection="1">
      <alignment horizontal="left" vertical="top"/>
      <protection locked="0"/>
    </xf>
    <xf numFmtId="0" fontId="12" fillId="0" borderId="19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8" fillId="0" borderId="6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17" xfId="1" applyFont="1" applyBorder="1" applyAlignment="1" applyProtection="1">
      <alignment horizontal="left" vertical="top" wrapText="1"/>
      <protection locked="0"/>
    </xf>
    <xf numFmtId="1" fontId="4" fillId="0" borderId="3" xfId="1" applyNumberFormat="1" applyFont="1" applyBorder="1" applyAlignment="1" applyProtection="1">
      <alignment horizontal="center" vertical="top" wrapText="1"/>
      <protection locked="0"/>
    </xf>
    <xf numFmtId="1" fontId="4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left"/>
      <protection locked="0"/>
    </xf>
    <xf numFmtId="0" fontId="7" fillId="0" borderId="17" xfId="1" applyFont="1" applyBorder="1" applyAlignment="1" applyProtection="1">
      <alignment horizontal="left"/>
      <protection locked="0"/>
    </xf>
    <xf numFmtId="0" fontId="7" fillId="0" borderId="7" xfId="1" applyFont="1" applyBorder="1" applyAlignment="1" applyProtection="1">
      <alignment horizontal="left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14" fontId="6" fillId="0" borderId="6" xfId="1" applyNumberFormat="1" applyFont="1" applyBorder="1" applyAlignment="1" applyProtection="1">
      <alignment horizontal="left" vertical="top" wrapText="1"/>
      <protection locked="0"/>
    </xf>
    <xf numFmtId="0" fontId="8" fillId="5" borderId="1" xfId="1" applyFont="1" applyFill="1" applyBorder="1" applyAlignment="1" applyProtection="1">
      <alignment horizontal="center" vertical="top" wrapText="1"/>
      <protection locked="0"/>
    </xf>
    <xf numFmtId="0" fontId="8" fillId="5" borderId="6" xfId="1" applyFont="1" applyFill="1" applyBorder="1" applyAlignment="1" applyProtection="1">
      <alignment horizontal="center" vertical="top" wrapText="1"/>
      <protection locked="0"/>
    </xf>
    <xf numFmtId="0" fontId="8" fillId="5" borderId="17" xfId="1" applyFont="1" applyFill="1" applyBorder="1" applyAlignment="1" applyProtection="1">
      <alignment horizontal="center" vertical="top" wrapText="1"/>
      <protection locked="0"/>
    </xf>
    <xf numFmtId="0" fontId="8" fillId="5" borderId="7" xfId="1" applyFont="1" applyFill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8" fillId="0" borderId="3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1" xfId="1" applyFont="1" applyBorder="1" applyAlignment="1" applyProtection="1">
      <alignment horizontal="center" vertical="center" wrapText="1"/>
      <protection locked="0"/>
    </xf>
    <xf numFmtId="0" fontId="12" fillId="0" borderId="3" xfId="1" applyFont="1" applyBorder="1" applyAlignment="1" applyProtection="1">
      <alignment horizontal="left" vertical="top" wrapText="1"/>
      <protection locked="0"/>
    </xf>
    <xf numFmtId="0" fontId="12" fillId="0" borderId="13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167" fontId="13" fillId="0" borderId="1" xfId="9" applyNumberFormat="1" applyFont="1" applyFill="1" applyBorder="1" applyAlignment="1" applyProtection="1">
      <alignment horizontal="left" vertical="top"/>
      <protection locked="0"/>
    </xf>
    <xf numFmtId="0" fontId="13" fillId="0" borderId="4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2" xfId="1" applyFont="1" applyBorder="1" applyAlignment="1" applyProtection="1">
      <alignment horizontal="left" vertical="top" wrapText="1"/>
      <protection locked="0"/>
    </xf>
    <xf numFmtId="0" fontId="13" fillId="0" borderId="24" xfId="1" applyFont="1" applyBorder="1" applyAlignment="1" applyProtection="1">
      <alignment horizontal="left" vertical="top" wrapText="1"/>
      <protection locked="0"/>
    </xf>
    <xf numFmtId="1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8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0" fillId="3" borderId="6" xfId="0" applyNumberFormat="1" applyFont="1" applyFill="1" applyBorder="1" applyAlignment="1" applyProtection="1">
      <alignment horizontal="center" vertical="top" wrapText="1"/>
      <protection locked="0"/>
    </xf>
    <xf numFmtId="1" fontId="10" fillId="3" borderId="7" xfId="0" applyNumberFormat="1" applyFont="1" applyFill="1" applyBorder="1" applyAlignment="1" applyProtection="1">
      <alignment horizontal="center" vertical="top" wrapText="1"/>
      <protection locked="0"/>
    </xf>
    <xf numFmtId="1" fontId="8" fillId="2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3.png"/><Relationship Id="rId3" Type="http://schemas.openxmlformats.org/officeDocument/2006/relationships/image" Target="../media/image28.png"/><Relationship Id="rId7" Type="http://schemas.openxmlformats.org/officeDocument/2006/relationships/image" Target="../media/image32.png"/><Relationship Id="rId2" Type="http://schemas.openxmlformats.org/officeDocument/2006/relationships/image" Target="../media/image27.png"/><Relationship Id="rId1" Type="http://schemas.openxmlformats.org/officeDocument/2006/relationships/image" Target="../media/image26.png"/><Relationship Id="rId6" Type="http://schemas.openxmlformats.org/officeDocument/2006/relationships/image" Target="../media/image31.png"/><Relationship Id="rId5" Type="http://schemas.openxmlformats.org/officeDocument/2006/relationships/image" Target="../media/image30.png"/><Relationship Id="rId4" Type="http://schemas.openxmlformats.org/officeDocument/2006/relationships/image" Target="../media/image29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5.png"/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457198</xdr:colOff>
      <xdr:row>849</xdr:row>
      <xdr:rowOff>145677</xdr:rowOff>
    </xdr:from>
    <xdr:to>
      <xdr:col>6</xdr:col>
      <xdr:colOff>761593</xdr:colOff>
      <xdr:row>874</xdr:row>
      <xdr:rowOff>168089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198" y="123847412"/>
          <a:ext cx="5223777" cy="506505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47626</xdr:colOff>
      <xdr:row>882</xdr:row>
      <xdr:rowOff>152939</xdr:rowOff>
    </xdr:from>
    <xdr:to>
      <xdr:col>6</xdr:col>
      <xdr:colOff>616935</xdr:colOff>
      <xdr:row>898</xdr:row>
      <xdr:rowOff>192540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809626" y="131712239"/>
          <a:ext cx="4722209" cy="3240000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  <xdr:oneCellAnchor>
    <xdr:from>
      <xdr:col>9</xdr:col>
      <xdr:colOff>694087</xdr:colOff>
      <xdr:row>651</xdr:row>
      <xdr:rowOff>128792</xdr:rowOff>
    </xdr:from>
    <xdr:ext cx="512320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8380762" y="113581067"/>
          <a:ext cx="512320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A &amp; B</a:t>
          </a:r>
        </a:p>
      </xdr:txBody>
    </xdr:sp>
    <xdr:clientData/>
  </xdr:oneCellAnchor>
  <xdr:oneCellAnchor>
    <xdr:from>
      <xdr:col>10</xdr:col>
      <xdr:colOff>627794</xdr:colOff>
      <xdr:row>651</xdr:row>
      <xdr:rowOff>112641</xdr:rowOff>
    </xdr:from>
    <xdr:ext cx="511358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9076469" y="113564916"/>
          <a:ext cx="511358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C &amp; D</a:t>
          </a:r>
        </a:p>
      </xdr:txBody>
    </xdr:sp>
    <xdr:clientData/>
  </xdr:oneCellAnchor>
  <xdr:twoCellAnchor>
    <xdr:from>
      <xdr:col>0</xdr:col>
      <xdr:colOff>242455</xdr:colOff>
      <xdr:row>899</xdr:row>
      <xdr:rowOff>138545</xdr:rowOff>
    </xdr:from>
    <xdr:to>
      <xdr:col>7</xdr:col>
      <xdr:colOff>467591</xdr:colOff>
      <xdr:row>922</xdr:row>
      <xdr:rowOff>0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42455" y="186593595"/>
          <a:ext cx="6168736" cy="4389005"/>
          <a:chOff x="311727" y="139601864"/>
          <a:chExt cx="6952765" cy="5248197"/>
        </a:xfrm>
      </xdr:grpSpPr>
      <xdr:pic>
        <xdr:nvPicPr>
          <xdr:cNvPr id="19" name="Picture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311727" y="139601864"/>
            <a:ext cx="6952765" cy="5248197"/>
          </a:xfrm>
          <a:prstGeom prst="rect">
            <a:avLst/>
          </a:prstGeom>
          <a:ln w="3175">
            <a:solidFill>
              <a:schemeClr val="tx1"/>
            </a:solidFill>
          </a:ln>
        </xdr:spPr>
      </xdr:pic>
      <xdr:sp macro="" textlink="">
        <xdr:nvSpPr>
          <xdr:cNvPr id="21" name="Freeform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 rot="21390650">
            <a:off x="2542472" y="141478720"/>
            <a:ext cx="1810762" cy="2493536"/>
          </a:xfrm>
          <a:custGeom>
            <a:avLst/>
            <a:gdLst>
              <a:gd name="connsiteX0" fmla="*/ 1323975 w 1371600"/>
              <a:gd name="connsiteY0" fmla="*/ 933450 h 1866900"/>
              <a:gd name="connsiteX1" fmla="*/ 1247775 w 1371600"/>
              <a:gd name="connsiteY1" fmla="*/ 1381125 h 1866900"/>
              <a:gd name="connsiteX2" fmla="*/ 1095375 w 1371600"/>
              <a:gd name="connsiteY2" fmla="*/ 1343025 h 1866900"/>
              <a:gd name="connsiteX3" fmla="*/ 962025 w 1371600"/>
              <a:gd name="connsiteY3" fmla="*/ 1866900 h 1866900"/>
              <a:gd name="connsiteX4" fmla="*/ 19050 w 1371600"/>
              <a:gd name="connsiteY4" fmla="*/ 1685925 h 1866900"/>
              <a:gd name="connsiteX5" fmla="*/ 0 w 1371600"/>
              <a:gd name="connsiteY5" fmla="*/ 1619250 h 1866900"/>
              <a:gd name="connsiteX6" fmla="*/ 9525 w 1371600"/>
              <a:gd name="connsiteY6" fmla="*/ 1524000 h 1866900"/>
              <a:gd name="connsiteX7" fmla="*/ 276225 w 1371600"/>
              <a:gd name="connsiteY7" fmla="*/ 447675 h 1866900"/>
              <a:gd name="connsiteX8" fmla="*/ 781050 w 1371600"/>
              <a:gd name="connsiteY8" fmla="*/ 504825 h 1866900"/>
              <a:gd name="connsiteX9" fmla="*/ 895350 w 1371600"/>
              <a:gd name="connsiteY9" fmla="*/ 9525 h 1866900"/>
              <a:gd name="connsiteX10" fmla="*/ 1114425 w 1371600"/>
              <a:gd name="connsiteY10" fmla="*/ 66675 h 1866900"/>
              <a:gd name="connsiteX11" fmla="*/ 1371600 w 1371600"/>
              <a:gd name="connsiteY11" fmla="*/ 0 h 1866900"/>
              <a:gd name="connsiteX12" fmla="*/ 1152525 w 1371600"/>
              <a:gd name="connsiteY12" fmla="*/ 895350 h 1866900"/>
              <a:gd name="connsiteX13" fmla="*/ 1323975 w 1371600"/>
              <a:gd name="connsiteY13" fmla="*/ 933450 h 18669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</a:cxnLst>
            <a:rect l="l" t="t" r="r" b="b"/>
            <a:pathLst>
              <a:path w="1371600" h="1866900">
                <a:moveTo>
                  <a:pt x="1323975" y="933450"/>
                </a:moveTo>
                <a:lnTo>
                  <a:pt x="1247775" y="1381125"/>
                </a:lnTo>
                <a:lnTo>
                  <a:pt x="1095375" y="1343025"/>
                </a:lnTo>
                <a:lnTo>
                  <a:pt x="962025" y="1866900"/>
                </a:lnTo>
                <a:lnTo>
                  <a:pt x="19050" y="1685925"/>
                </a:lnTo>
                <a:lnTo>
                  <a:pt x="0" y="1619250"/>
                </a:lnTo>
                <a:lnTo>
                  <a:pt x="9525" y="1524000"/>
                </a:lnTo>
                <a:lnTo>
                  <a:pt x="276225" y="447675"/>
                </a:lnTo>
                <a:lnTo>
                  <a:pt x="781050" y="504825"/>
                </a:lnTo>
                <a:lnTo>
                  <a:pt x="895350" y="9525"/>
                </a:lnTo>
                <a:lnTo>
                  <a:pt x="1114425" y="66675"/>
                </a:lnTo>
                <a:lnTo>
                  <a:pt x="1371600" y="0"/>
                </a:lnTo>
                <a:lnTo>
                  <a:pt x="1152525" y="895350"/>
                </a:lnTo>
                <a:lnTo>
                  <a:pt x="1323975" y="933450"/>
                </a:lnTo>
                <a:close/>
              </a:path>
            </a:pathLst>
          </a:custGeom>
          <a:noFill/>
          <a:ln w="285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</xdr:grpSp>
    <xdr:clientData/>
  </xdr:twoCellAnchor>
  <xdr:twoCellAnchor editAs="oneCell">
    <xdr:from>
      <xdr:col>8</xdr:col>
      <xdr:colOff>704850</xdr:colOff>
      <xdr:row>61</xdr:row>
      <xdr:rowOff>95251</xdr:rowOff>
    </xdr:from>
    <xdr:to>
      <xdr:col>12</xdr:col>
      <xdr:colOff>774250</xdr:colOff>
      <xdr:row>66</xdr:row>
      <xdr:rowOff>480808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18400" y="17913351"/>
          <a:ext cx="3561900" cy="164285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9</xdr:col>
      <xdr:colOff>694087</xdr:colOff>
      <xdr:row>613</xdr:row>
      <xdr:rowOff>128792</xdr:rowOff>
    </xdr:from>
    <xdr:ext cx="512320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8758587" y="131275342"/>
          <a:ext cx="512320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A &amp; B</a:t>
          </a:r>
        </a:p>
      </xdr:txBody>
    </xdr:sp>
    <xdr:clientData/>
  </xdr:oneCellAnchor>
  <xdr:oneCellAnchor>
    <xdr:from>
      <xdr:col>10</xdr:col>
      <xdr:colOff>627794</xdr:colOff>
      <xdr:row>613</xdr:row>
      <xdr:rowOff>112641</xdr:rowOff>
    </xdr:from>
    <xdr:ext cx="511358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492394" y="131259191"/>
          <a:ext cx="511358" cy="26456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1100" b="1"/>
            <a:t>C &amp; D</a:t>
          </a:r>
        </a:p>
      </xdr:txBody>
    </xdr:sp>
    <xdr:clientData/>
  </xdr:oneCellAnchor>
  <xdr:twoCellAnchor editAs="oneCell">
    <xdr:from>
      <xdr:col>8</xdr:col>
      <xdr:colOff>628650</xdr:colOff>
      <xdr:row>603</xdr:row>
      <xdr:rowOff>44450</xdr:rowOff>
    </xdr:from>
    <xdr:to>
      <xdr:col>12</xdr:col>
      <xdr:colOff>736150</xdr:colOff>
      <xdr:row>629</xdr:row>
      <xdr:rowOff>94499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73950" y="125088650"/>
          <a:ext cx="3600000" cy="383464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895350</xdr:colOff>
      <xdr:row>626</xdr:row>
      <xdr:rowOff>95250</xdr:rowOff>
    </xdr:from>
    <xdr:to>
      <xdr:col>13</xdr:col>
      <xdr:colOff>177350</xdr:colOff>
      <xdr:row>644</xdr:row>
      <xdr:rowOff>133583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740650" y="132422900"/>
          <a:ext cx="3600000" cy="358163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812800</xdr:colOff>
      <xdr:row>656</xdr:row>
      <xdr:rowOff>69850</xdr:rowOff>
    </xdr:from>
    <xdr:to>
      <xdr:col>13</xdr:col>
      <xdr:colOff>94800</xdr:colOff>
      <xdr:row>671</xdr:row>
      <xdr:rowOff>28464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658100" y="138296650"/>
          <a:ext cx="3600000" cy="291136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774700</xdr:colOff>
      <xdr:row>691</xdr:row>
      <xdr:rowOff>101601</xdr:rowOff>
    </xdr:from>
    <xdr:to>
      <xdr:col>13</xdr:col>
      <xdr:colOff>56700</xdr:colOff>
      <xdr:row>715</xdr:row>
      <xdr:rowOff>90178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620000" y="145218151"/>
          <a:ext cx="3600000" cy="47129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869950</xdr:colOff>
      <xdr:row>742</xdr:row>
      <xdr:rowOff>69850</xdr:rowOff>
    </xdr:from>
    <xdr:to>
      <xdr:col>12</xdr:col>
      <xdr:colOff>617450</xdr:colOff>
      <xdr:row>764</xdr:row>
      <xdr:rowOff>1986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5250" y="155257500"/>
          <a:ext cx="3240000" cy="426283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13</xdr:col>
      <xdr:colOff>584367</xdr:colOff>
      <xdr:row>845</xdr:row>
      <xdr:rowOff>68580</xdr:rowOff>
    </xdr:from>
    <xdr:to>
      <xdr:col>17</xdr:col>
      <xdr:colOff>88102</xdr:colOff>
      <xdr:row>854</xdr:row>
      <xdr:rowOff>78105</xdr:rowOff>
    </xdr:to>
    <xdr:pic>
      <xdr:nvPicPr>
        <xdr:cNvPr id="27" name="Picture 26" descr="https://vsjcllp.vsjadon.com/upload/insp-214153-860.jpg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526687" y="174627540"/>
          <a:ext cx="2467915" cy="179260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736768</xdr:colOff>
      <xdr:row>814</xdr:row>
      <xdr:rowOff>40005</xdr:rowOff>
    </xdr:from>
    <xdr:to>
      <xdr:col>17</xdr:col>
      <xdr:colOff>65762</xdr:colOff>
      <xdr:row>829</xdr:row>
      <xdr:rowOff>49530</xdr:rowOff>
    </xdr:to>
    <xdr:pic>
      <xdr:nvPicPr>
        <xdr:cNvPr id="50" name="Picture 49" descr="https://vsjcllp.vsjadon.com/upload/insp-214153-849.jpg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79088" y="168457245"/>
          <a:ext cx="2293174" cy="298132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661036</xdr:colOff>
      <xdr:row>845</xdr:row>
      <xdr:rowOff>64905</xdr:rowOff>
    </xdr:from>
    <xdr:to>
      <xdr:col>13</xdr:col>
      <xdr:colOff>502460</xdr:colOff>
      <xdr:row>854</xdr:row>
      <xdr:rowOff>74430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064116" y="174623865"/>
          <a:ext cx="1380664" cy="179260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8</xdr:col>
      <xdr:colOff>784860</xdr:colOff>
      <xdr:row>845</xdr:row>
      <xdr:rowOff>63818</xdr:rowOff>
    </xdr:from>
    <xdr:to>
      <xdr:col>11</xdr:col>
      <xdr:colOff>557200</xdr:colOff>
      <xdr:row>854</xdr:row>
      <xdr:rowOff>73343</xdr:rowOff>
    </xdr:to>
    <xdr:pic>
      <xdr:nvPicPr>
        <xdr:cNvPr id="53" name="Picture 52" descr="https://vsjcllp.vsjadon.com/upload/insp-214153-871.jpg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482840" y="174622778"/>
          <a:ext cx="2477440" cy="1792605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737235</xdr:colOff>
      <xdr:row>829</xdr:row>
      <xdr:rowOff>144779</xdr:rowOff>
    </xdr:from>
    <xdr:to>
      <xdr:col>17</xdr:col>
      <xdr:colOff>71096</xdr:colOff>
      <xdr:row>844</xdr:row>
      <xdr:rowOff>160801</xdr:rowOff>
    </xdr:to>
    <xdr:pic>
      <xdr:nvPicPr>
        <xdr:cNvPr id="54" name="Picture 53" descr="https://vsjcllp.vsjadon.com/upload/insp-214153-862.jpg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79555" y="171533819"/>
          <a:ext cx="2298041" cy="298782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755817</xdr:colOff>
      <xdr:row>814</xdr:row>
      <xdr:rowOff>44775</xdr:rowOff>
    </xdr:from>
    <xdr:to>
      <xdr:col>13</xdr:col>
      <xdr:colOff>612401</xdr:colOff>
      <xdr:row>829</xdr:row>
      <xdr:rowOff>54315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569367" y="169767575"/>
          <a:ext cx="4180934" cy="2962290"/>
          <a:chOff x="85257" y="168663937"/>
          <a:chExt cx="4009484" cy="3009915"/>
        </a:xfrm>
      </xdr:grpSpPr>
      <xdr:pic>
        <xdr:nvPicPr>
          <xdr:cNvPr id="28" name="Picture 27" descr="https://vsjcllp.vsjadon.com/upload/insp-214153-843.jpg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85257" y="168663952"/>
            <a:ext cx="4009484" cy="30099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5" name="TextBox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/>
        </xdr:nvSpPr>
        <xdr:spPr>
          <a:xfrm>
            <a:off x="85257" y="168663937"/>
            <a:ext cx="1774265" cy="3440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400" b="1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Tower I (Wing A to F)</a:t>
            </a:r>
          </a:p>
        </xdr:txBody>
      </xdr:sp>
    </xdr:grpSp>
    <xdr:clientData/>
  </xdr:twoCellAnchor>
  <xdr:twoCellAnchor>
    <xdr:from>
      <xdr:col>9</xdr:col>
      <xdr:colOff>377825</xdr:colOff>
      <xdr:row>788</xdr:row>
      <xdr:rowOff>25400</xdr:rowOff>
    </xdr:from>
    <xdr:to>
      <xdr:col>11</xdr:col>
      <xdr:colOff>685240</xdr:colOff>
      <xdr:row>789</xdr:row>
      <xdr:rowOff>169395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8064500" y="164769800"/>
          <a:ext cx="1774265" cy="344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N" sz="1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Tower I (Wing A to F)</a:t>
          </a:r>
        </a:p>
      </xdr:txBody>
    </xdr:sp>
    <xdr:clientData/>
  </xdr:twoCellAnchor>
  <xdr:twoCellAnchor>
    <xdr:from>
      <xdr:col>8</xdr:col>
      <xdr:colOff>765810</xdr:colOff>
      <xdr:row>829</xdr:row>
      <xdr:rowOff>144779</xdr:rowOff>
    </xdr:from>
    <xdr:to>
      <xdr:col>13</xdr:col>
      <xdr:colOff>613410</xdr:colOff>
      <xdr:row>844</xdr:row>
      <xdr:rowOff>164145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579360" y="172820329"/>
          <a:ext cx="4171950" cy="2972116"/>
          <a:chOff x="95250" y="171764324"/>
          <a:chExt cx="4000500" cy="3019741"/>
        </a:xfrm>
      </xdr:grpSpPr>
      <xdr:pic>
        <xdr:nvPicPr>
          <xdr:cNvPr id="48" name="Picture 47" descr="https://vsjcllp.vsjadon.com/upload/insp-214153-847.jpg">
            <a:extLst>
              <a:ext uri="{FF2B5EF4-FFF2-40B4-BE49-F238E27FC236}">
                <a16:creationId xmlns:a16="http://schemas.microsoft.com/office/drawing/2014/main" id="{00000000-0008-0000-0000-00003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95250" y="171764324"/>
            <a:ext cx="4000500" cy="301974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7" name="TextBox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 txBox="1"/>
        </xdr:nvSpPr>
        <xdr:spPr>
          <a:xfrm>
            <a:off x="333375" y="171764324"/>
            <a:ext cx="2225359" cy="41571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IN" sz="1600" b="1"/>
              <a:t>Tower III  (Wing L to P)</a:t>
            </a:r>
          </a:p>
        </xdr:txBody>
      </xdr:sp>
    </xdr:grpSp>
    <xdr:clientData/>
  </xdr:twoCellAnchor>
  <xdr:twoCellAnchor>
    <xdr:from>
      <xdr:col>0</xdr:col>
      <xdr:colOff>234950</xdr:colOff>
      <xdr:row>808</xdr:row>
      <xdr:rowOff>57150</xdr:rowOff>
    </xdr:from>
    <xdr:to>
      <xdr:col>7</xdr:col>
      <xdr:colOff>742987</xdr:colOff>
      <xdr:row>847</xdr:row>
      <xdr:rowOff>31750</xdr:rowOff>
    </xdr:to>
    <xdr:grpSp>
      <xdr:nvGrpSpPr>
        <xdr:cNvPr id="5" name="Group 4"/>
        <xdr:cNvGrpSpPr/>
      </xdr:nvGrpSpPr>
      <xdr:grpSpPr>
        <a:xfrm>
          <a:off x="234950" y="168598850"/>
          <a:ext cx="6451637" cy="7651750"/>
          <a:chOff x="234950" y="168789350"/>
          <a:chExt cx="6451637" cy="7651750"/>
        </a:xfrm>
      </xdr:grpSpPr>
      <xdr:pic>
        <xdr:nvPicPr>
          <xdr:cNvPr id="58" name="Picture 57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68274" y="174785146"/>
            <a:ext cx="1618313" cy="16559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59" name="Picture 58"/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217" y="168789350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0" name="Picture 59"/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9854" y="168789350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1" name="Picture 60"/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281122" y="174785146"/>
            <a:ext cx="1618313" cy="16559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2" name="Picture 61"/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679854" y="171783073"/>
            <a:ext cx="3836444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3" name="Picture 62"/>
          <xdr:cNvPicPr>
            <a:picLocks noChangeAspect="1"/>
          </xdr:cNvPicPr>
        </xdr:nvPicPr>
        <xdr:blipFill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4950" y="174785146"/>
            <a:ext cx="2877333" cy="1655954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4" name="Picture 63"/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79217" y="171783073"/>
            <a:ext cx="2157751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538877</xdr:colOff>
      <xdr:row>30</xdr:row>
      <xdr:rowOff>184980</xdr:rowOff>
    </xdr:from>
    <xdr:to>
      <xdr:col>2</xdr:col>
      <xdr:colOff>723608</xdr:colOff>
      <xdr:row>43</xdr:row>
      <xdr:rowOff>48480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600759" y="5911186"/>
          <a:ext cx="184731" cy="2340000"/>
        </a:xfrm>
        <a:prstGeom prst="rect">
          <a:avLst/>
        </a:prstGeom>
        <a:ln>
          <a:solidFill>
            <a:schemeClr val="tx1"/>
          </a:solidFill>
        </a:ln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fontAlgn="base"/>
          <a:endParaRPr lang="en-IN" b="0" i="0">
            <a:solidFill>
              <a:srgbClr val="202124"/>
            </a:solidFill>
            <a:effectLst/>
            <a:latin typeface="Google Sans"/>
          </a:endParaRPr>
        </a:p>
      </xdr:txBody>
    </xdr:sp>
    <xdr:clientData/>
  </xdr:twoCellAnchor>
  <xdr:twoCellAnchor editAs="oneCell">
    <xdr:from>
      <xdr:col>1</xdr:col>
      <xdr:colOff>0</xdr:colOff>
      <xdr:row>14</xdr:row>
      <xdr:rowOff>0</xdr:rowOff>
    </xdr:from>
    <xdr:to>
      <xdr:col>3</xdr:col>
      <xdr:colOff>217561</xdr:colOff>
      <xdr:row>26</xdr:row>
      <xdr:rowOff>54000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6" y="2678206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467603</xdr:colOff>
      <xdr:row>14</xdr:row>
      <xdr:rowOff>75714</xdr:rowOff>
    </xdr:from>
    <xdr:to>
      <xdr:col>7</xdr:col>
      <xdr:colOff>842045</xdr:colOff>
      <xdr:row>26</xdr:row>
      <xdr:rowOff>129714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779" y="2753920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467603</xdr:colOff>
      <xdr:row>27</xdr:row>
      <xdr:rowOff>80746</xdr:rowOff>
    </xdr:from>
    <xdr:to>
      <xdr:col>7</xdr:col>
      <xdr:colOff>842045</xdr:colOff>
      <xdr:row>39</xdr:row>
      <xdr:rowOff>134746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4779" y="5235452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514256</xdr:colOff>
      <xdr:row>41</xdr:row>
      <xdr:rowOff>36811</xdr:rowOff>
    </xdr:from>
    <xdr:to>
      <xdr:col>7</xdr:col>
      <xdr:colOff>888698</xdr:colOff>
      <xdr:row>53</xdr:row>
      <xdr:rowOff>90811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41432" y="7858517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1</xdr:colOff>
      <xdr:row>27</xdr:row>
      <xdr:rowOff>80746</xdr:rowOff>
    </xdr:from>
    <xdr:to>
      <xdr:col>3</xdr:col>
      <xdr:colOff>217562</xdr:colOff>
      <xdr:row>39</xdr:row>
      <xdr:rowOff>134746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707" y="5235452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29402</xdr:colOff>
      <xdr:row>41</xdr:row>
      <xdr:rowOff>36811</xdr:rowOff>
    </xdr:from>
    <xdr:to>
      <xdr:col>3</xdr:col>
      <xdr:colOff>246963</xdr:colOff>
      <xdr:row>53</xdr:row>
      <xdr:rowOff>90811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108" y="7858517"/>
          <a:ext cx="4162031" cy="234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5</xdr:col>
      <xdr:colOff>294343</xdr:colOff>
      <xdr:row>72</xdr:row>
      <xdr:rowOff>1500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82706" y="10488706"/>
          <a:ext cx="5762813" cy="32400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12</xdr:col>
      <xdr:colOff>360000</xdr:colOff>
      <xdr:row>70</xdr:row>
      <xdr:rowOff>22500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81265" y="10488706"/>
          <a:ext cx="5122500" cy="28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using.com/in/buy/projects/page/278383-mpchfls-galaxy-heights-by-maharashtra-police-cooperative-housing-federation-ltd-in-malad-west" TargetMode="External"/><Relationship Id="rId1" Type="http://schemas.openxmlformats.org/officeDocument/2006/relationships/hyperlink" Target="https://goo.gl/maps/WiYvTuzpppEoWrVNA" TargetMode="Externa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882"/>
  <sheetViews>
    <sheetView tabSelected="1" view="pageBreakPreview" topLeftCell="A128" zoomScaleNormal="100" zoomScaleSheetLayoutView="100" workbookViewId="0">
      <selection activeCell="L135" sqref="L135"/>
    </sheetView>
  </sheetViews>
  <sheetFormatPr defaultColWidth="9.08984375" defaultRowHeight="15.5" x14ac:dyDescent="0.35"/>
  <cols>
    <col min="1" max="1" width="11.453125" style="37" customWidth="1"/>
    <col min="2" max="2" width="12" style="37" customWidth="1"/>
    <col min="3" max="3" width="12.6328125" style="37" customWidth="1"/>
    <col min="4" max="4" width="14.08984375" style="37" customWidth="1"/>
    <col min="5" max="7" width="11.6328125" style="37" customWidth="1"/>
    <col min="8" max="8" width="12.453125" style="37" customWidth="1"/>
    <col min="9" max="9" width="17.453125" style="19" customWidth="1"/>
    <col min="10" max="10" width="11.453125" style="19" customWidth="1"/>
    <col min="11" max="11" width="10.54296875" style="19" bestFit="1" customWidth="1"/>
    <col min="12" max="12" width="10.54296875" style="19" customWidth="1"/>
    <col min="13" max="13" width="11.90625" style="19" customWidth="1"/>
    <col min="14" max="14" width="12.54296875" style="19" customWidth="1"/>
    <col min="15" max="15" width="9.90625" style="19" customWidth="1"/>
    <col min="16" max="16" width="11.6328125" style="19" customWidth="1"/>
    <col min="17" max="247" width="9.08984375" style="19"/>
    <col min="248" max="248" width="8.6328125" style="19" customWidth="1"/>
    <col min="249" max="249" width="9.90625" style="19" customWidth="1"/>
    <col min="250" max="250" width="14.453125" style="19" customWidth="1"/>
    <col min="251" max="251" width="7.36328125" style="19" customWidth="1"/>
    <col min="252" max="252" width="5.54296875" style="19" customWidth="1"/>
    <col min="253" max="253" width="9" style="19" customWidth="1"/>
    <col min="254" max="255" width="9.90625" style="19" customWidth="1"/>
    <col min="256" max="256" width="11.08984375" style="19" customWidth="1"/>
    <col min="257" max="257" width="2.90625" style="19" customWidth="1"/>
    <col min="258" max="258" width="3.54296875" style="19" customWidth="1"/>
    <col min="259" max="503" width="9.08984375" style="19"/>
    <col min="504" max="504" width="8.6328125" style="19" customWidth="1"/>
    <col min="505" max="505" width="9.90625" style="19" customWidth="1"/>
    <col min="506" max="506" width="14.453125" style="19" customWidth="1"/>
    <col min="507" max="507" width="7.36328125" style="19" customWidth="1"/>
    <col min="508" max="508" width="5.54296875" style="19" customWidth="1"/>
    <col min="509" max="509" width="9" style="19" customWidth="1"/>
    <col min="510" max="511" width="9.90625" style="19" customWidth="1"/>
    <col min="512" max="512" width="11.08984375" style="19" customWidth="1"/>
    <col min="513" max="513" width="2.90625" style="19" customWidth="1"/>
    <col min="514" max="514" width="3.54296875" style="19" customWidth="1"/>
    <col min="515" max="759" width="9.08984375" style="19"/>
    <col min="760" max="760" width="8.6328125" style="19" customWidth="1"/>
    <col min="761" max="761" width="9.90625" style="19" customWidth="1"/>
    <col min="762" max="762" width="14.453125" style="19" customWidth="1"/>
    <col min="763" max="763" width="7.36328125" style="19" customWidth="1"/>
    <col min="764" max="764" width="5.54296875" style="19" customWidth="1"/>
    <col min="765" max="765" width="9" style="19" customWidth="1"/>
    <col min="766" max="767" width="9.90625" style="19" customWidth="1"/>
    <col min="768" max="768" width="11.08984375" style="19" customWidth="1"/>
    <col min="769" max="769" width="2.90625" style="19" customWidth="1"/>
    <col min="770" max="770" width="3.54296875" style="19" customWidth="1"/>
    <col min="771" max="1015" width="9.08984375" style="19"/>
    <col min="1016" max="1016" width="8.6328125" style="19" customWidth="1"/>
    <col min="1017" max="1017" width="9.90625" style="19" customWidth="1"/>
    <col min="1018" max="1018" width="14.453125" style="19" customWidth="1"/>
    <col min="1019" max="1019" width="7.36328125" style="19" customWidth="1"/>
    <col min="1020" max="1020" width="5.54296875" style="19" customWidth="1"/>
    <col min="1021" max="1021" width="9" style="19" customWidth="1"/>
    <col min="1022" max="1023" width="9.90625" style="19" customWidth="1"/>
    <col min="1024" max="1024" width="11.08984375" style="19" customWidth="1"/>
    <col min="1025" max="1025" width="2.90625" style="19" customWidth="1"/>
    <col min="1026" max="1026" width="3.54296875" style="19" customWidth="1"/>
    <col min="1027" max="1271" width="9.08984375" style="19"/>
    <col min="1272" max="1272" width="8.6328125" style="19" customWidth="1"/>
    <col min="1273" max="1273" width="9.90625" style="19" customWidth="1"/>
    <col min="1274" max="1274" width="14.453125" style="19" customWidth="1"/>
    <col min="1275" max="1275" width="7.36328125" style="19" customWidth="1"/>
    <col min="1276" max="1276" width="5.54296875" style="19" customWidth="1"/>
    <col min="1277" max="1277" width="9" style="19" customWidth="1"/>
    <col min="1278" max="1279" width="9.90625" style="19" customWidth="1"/>
    <col min="1280" max="1280" width="11.08984375" style="19" customWidth="1"/>
    <col min="1281" max="1281" width="2.90625" style="19" customWidth="1"/>
    <col min="1282" max="1282" width="3.54296875" style="19" customWidth="1"/>
    <col min="1283" max="1527" width="9.08984375" style="19"/>
    <col min="1528" max="1528" width="8.6328125" style="19" customWidth="1"/>
    <col min="1529" max="1529" width="9.90625" style="19" customWidth="1"/>
    <col min="1530" max="1530" width="14.453125" style="19" customWidth="1"/>
    <col min="1531" max="1531" width="7.36328125" style="19" customWidth="1"/>
    <col min="1532" max="1532" width="5.54296875" style="19" customWidth="1"/>
    <col min="1533" max="1533" width="9" style="19" customWidth="1"/>
    <col min="1534" max="1535" width="9.90625" style="19" customWidth="1"/>
    <col min="1536" max="1536" width="11.08984375" style="19" customWidth="1"/>
    <col min="1537" max="1537" width="2.90625" style="19" customWidth="1"/>
    <col min="1538" max="1538" width="3.54296875" style="19" customWidth="1"/>
    <col min="1539" max="1783" width="9.08984375" style="19"/>
    <col min="1784" max="1784" width="8.6328125" style="19" customWidth="1"/>
    <col min="1785" max="1785" width="9.90625" style="19" customWidth="1"/>
    <col min="1786" max="1786" width="14.453125" style="19" customWidth="1"/>
    <col min="1787" max="1787" width="7.36328125" style="19" customWidth="1"/>
    <col min="1788" max="1788" width="5.54296875" style="19" customWidth="1"/>
    <col min="1789" max="1789" width="9" style="19" customWidth="1"/>
    <col min="1790" max="1791" width="9.90625" style="19" customWidth="1"/>
    <col min="1792" max="1792" width="11.08984375" style="19" customWidth="1"/>
    <col min="1793" max="1793" width="2.90625" style="19" customWidth="1"/>
    <col min="1794" max="1794" width="3.54296875" style="19" customWidth="1"/>
    <col min="1795" max="2039" width="9.08984375" style="19"/>
    <col min="2040" max="2040" width="8.6328125" style="19" customWidth="1"/>
    <col min="2041" max="2041" width="9.90625" style="19" customWidth="1"/>
    <col min="2042" max="2042" width="14.453125" style="19" customWidth="1"/>
    <col min="2043" max="2043" width="7.36328125" style="19" customWidth="1"/>
    <col min="2044" max="2044" width="5.54296875" style="19" customWidth="1"/>
    <col min="2045" max="2045" width="9" style="19" customWidth="1"/>
    <col min="2046" max="2047" width="9.90625" style="19" customWidth="1"/>
    <col min="2048" max="2048" width="11.08984375" style="19" customWidth="1"/>
    <col min="2049" max="2049" width="2.90625" style="19" customWidth="1"/>
    <col min="2050" max="2050" width="3.54296875" style="19" customWidth="1"/>
    <col min="2051" max="2295" width="9.08984375" style="19"/>
    <col min="2296" max="2296" width="8.6328125" style="19" customWidth="1"/>
    <col min="2297" max="2297" width="9.90625" style="19" customWidth="1"/>
    <col min="2298" max="2298" width="14.453125" style="19" customWidth="1"/>
    <col min="2299" max="2299" width="7.36328125" style="19" customWidth="1"/>
    <col min="2300" max="2300" width="5.54296875" style="19" customWidth="1"/>
    <col min="2301" max="2301" width="9" style="19" customWidth="1"/>
    <col min="2302" max="2303" width="9.90625" style="19" customWidth="1"/>
    <col min="2304" max="2304" width="11.08984375" style="19" customWidth="1"/>
    <col min="2305" max="2305" width="2.90625" style="19" customWidth="1"/>
    <col min="2306" max="2306" width="3.54296875" style="19" customWidth="1"/>
    <col min="2307" max="2551" width="9.08984375" style="19"/>
    <col min="2552" max="2552" width="8.6328125" style="19" customWidth="1"/>
    <col min="2553" max="2553" width="9.90625" style="19" customWidth="1"/>
    <col min="2554" max="2554" width="14.453125" style="19" customWidth="1"/>
    <col min="2555" max="2555" width="7.36328125" style="19" customWidth="1"/>
    <col min="2556" max="2556" width="5.54296875" style="19" customWidth="1"/>
    <col min="2557" max="2557" width="9" style="19" customWidth="1"/>
    <col min="2558" max="2559" width="9.90625" style="19" customWidth="1"/>
    <col min="2560" max="2560" width="11.08984375" style="19" customWidth="1"/>
    <col min="2561" max="2561" width="2.90625" style="19" customWidth="1"/>
    <col min="2562" max="2562" width="3.54296875" style="19" customWidth="1"/>
    <col min="2563" max="2807" width="9.08984375" style="19"/>
    <col min="2808" max="2808" width="8.6328125" style="19" customWidth="1"/>
    <col min="2809" max="2809" width="9.90625" style="19" customWidth="1"/>
    <col min="2810" max="2810" width="14.453125" style="19" customWidth="1"/>
    <col min="2811" max="2811" width="7.36328125" style="19" customWidth="1"/>
    <col min="2812" max="2812" width="5.54296875" style="19" customWidth="1"/>
    <col min="2813" max="2813" width="9" style="19" customWidth="1"/>
    <col min="2814" max="2815" width="9.90625" style="19" customWidth="1"/>
    <col min="2816" max="2816" width="11.08984375" style="19" customWidth="1"/>
    <col min="2817" max="2817" width="2.90625" style="19" customWidth="1"/>
    <col min="2818" max="2818" width="3.54296875" style="19" customWidth="1"/>
    <col min="2819" max="3063" width="9.08984375" style="19"/>
    <col min="3064" max="3064" width="8.6328125" style="19" customWidth="1"/>
    <col min="3065" max="3065" width="9.90625" style="19" customWidth="1"/>
    <col min="3066" max="3066" width="14.453125" style="19" customWidth="1"/>
    <col min="3067" max="3067" width="7.36328125" style="19" customWidth="1"/>
    <col min="3068" max="3068" width="5.54296875" style="19" customWidth="1"/>
    <col min="3069" max="3069" width="9" style="19" customWidth="1"/>
    <col min="3070" max="3071" width="9.90625" style="19" customWidth="1"/>
    <col min="3072" max="3072" width="11.08984375" style="19" customWidth="1"/>
    <col min="3073" max="3073" width="2.90625" style="19" customWidth="1"/>
    <col min="3074" max="3074" width="3.54296875" style="19" customWidth="1"/>
    <col min="3075" max="3319" width="9.08984375" style="19"/>
    <col min="3320" max="3320" width="8.6328125" style="19" customWidth="1"/>
    <col min="3321" max="3321" width="9.90625" style="19" customWidth="1"/>
    <col min="3322" max="3322" width="14.453125" style="19" customWidth="1"/>
    <col min="3323" max="3323" width="7.36328125" style="19" customWidth="1"/>
    <col min="3324" max="3324" width="5.54296875" style="19" customWidth="1"/>
    <col min="3325" max="3325" width="9" style="19" customWidth="1"/>
    <col min="3326" max="3327" width="9.90625" style="19" customWidth="1"/>
    <col min="3328" max="3328" width="11.08984375" style="19" customWidth="1"/>
    <col min="3329" max="3329" width="2.90625" style="19" customWidth="1"/>
    <col min="3330" max="3330" width="3.54296875" style="19" customWidth="1"/>
    <col min="3331" max="3575" width="9.08984375" style="19"/>
    <col min="3576" max="3576" width="8.6328125" style="19" customWidth="1"/>
    <col min="3577" max="3577" width="9.90625" style="19" customWidth="1"/>
    <col min="3578" max="3578" width="14.453125" style="19" customWidth="1"/>
    <col min="3579" max="3579" width="7.36328125" style="19" customWidth="1"/>
    <col min="3580" max="3580" width="5.54296875" style="19" customWidth="1"/>
    <col min="3581" max="3581" width="9" style="19" customWidth="1"/>
    <col min="3582" max="3583" width="9.90625" style="19" customWidth="1"/>
    <col min="3584" max="3584" width="11.08984375" style="19" customWidth="1"/>
    <col min="3585" max="3585" width="2.90625" style="19" customWidth="1"/>
    <col min="3586" max="3586" width="3.54296875" style="19" customWidth="1"/>
    <col min="3587" max="3831" width="9.08984375" style="19"/>
    <col min="3832" max="3832" width="8.6328125" style="19" customWidth="1"/>
    <col min="3833" max="3833" width="9.90625" style="19" customWidth="1"/>
    <col min="3834" max="3834" width="14.453125" style="19" customWidth="1"/>
    <col min="3835" max="3835" width="7.36328125" style="19" customWidth="1"/>
    <col min="3836" max="3836" width="5.54296875" style="19" customWidth="1"/>
    <col min="3837" max="3837" width="9" style="19" customWidth="1"/>
    <col min="3838" max="3839" width="9.90625" style="19" customWidth="1"/>
    <col min="3840" max="3840" width="11.08984375" style="19" customWidth="1"/>
    <col min="3841" max="3841" width="2.90625" style="19" customWidth="1"/>
    <col min="3842" max="3842" width="3.54296875" style="19" customWidth="1"/>
    <col min="3843" max="4087" width="9.08984375" style="19"/>
    <col min="4088" max="4088" width="8.6328125" style="19" customWidth="1"/>
    <col min="4089" max="4089" width="9.90625" style="19" customWidth="1"/>
    <col min="4090" max="4090" width="14.453125" style="19" customWidth="1"/>
    <col min="4091" max="4091" width="7.36328125" style="19" customWidth="1"/>
    <col min="4092" max="4092" width="5.54296875" style="19" customWidth="1"/>
    <col min="4093" max="4093" width="9" style="19" customWidth="1"/>
    <col min="4094" max="4095" width="9.90625" style="19" customWidth="1"/>
    <col min="4096" max="4096" width="11.08984375" style="19" customWidth="1"/>
    <col min="4097" max="4097" width="2.90625" style="19" customWidth="1"/>
    <col min="4098" max="4098" width="3.54296875" style="19" customWidth="1"/>
    <col min="4099" max="4343" width="9.08984375" style="19"/>
    <col min="4344" max="4344" width="8.6328125" style="19" customWidth="1"/>
    <col min="4345" max="4345" width="9.90625" style="19" customWidth="1"/>
    <col min="4346" max="4346" width="14.453125" style="19" customWidth="1"/>
    <col min="4347" max="4347" width="7.36328125" style="19" customWidth="1"/>
    <col min="4348" max="4348" width="5.54296875" style="19" customWidth="1"/>
    <col min="4349" max="4349" width="9" style="19" customWidth="1"/>
    <col min="4350" max="4351" width="9.90625" style="19" customWidth="1"/>
    <col min="4352" max="4352" width="11.08984375" style="19" customWidth="1"/>
    <col min="4353" max="4353" width="2.90625" style="19" customWidth="1"/>
    <col min="4354" max="4354" width="3.54296875" style="19" customWidth="1"/>
    <col min="4355" max="4599" width="9.08984375" style="19"/>
    <col min="4600" max="4600" width="8.6328125" style="19" customWidth="1"/>
    <col min="4601" max="4601" width="9.90625" style="19" customWidth="1"/>
    <col min="4602" max="4602" width="14.453125" style="19" customWidth="1"/>
    <col min="4603" max="4603" width="7.36328125" style="19" customWidth="1"/>
    <col min="4604" max="4604" width="5.54296875" style="19" customWidth="1"/>
    <col min="4605" max="4605" width="9" style="19" customWidth="1"/>
    <col min="4606" max="4607" width="9.90625" style="19" customWidth="1"/>
    <col min="4608" max="4608" width="11.08984375" style="19" customWidth="1"/>
    <col min="4609" max="4609" width="2.90625" style="19" customWidth="1"/>
    <col min="4610" max="4610" width="3.54296875" style="19" customWidth="1"/>
    <col min="4611" max="4855" width="9.08984375" style="19"/>
    <col min="4856" max="4856" width="8.6328125" style="19" customWidth="1"/>
    <col min="4857" max="4857" width="9.90625" style="19" customWidth="1"/>
    <col min="4858" max="4858" width="14.453125" style="19" customWidth="1"/>
    <col min="4859" max="4859" width="7.36328125" style="19" customWidth="1"/>
    <col min="4860" max="4860" width="5.54296875" style="19" customWidth="1"/>
    <col min="4861" max="4861" width="9" style="19" customWidth="1"/>
    <col min="4862" max="4863" width="9.90625" style="19" customWidth="1"/>
    <col min="4864" max="4864" width="11.08984375" style="19" customWidth="1"/>
    <col min="4865" max="4865" width="2.90625" style="19" customWidth="1"/>
    <col min="4866" max="4866" width="3.54296875" style="19" customWidth="1"/>
    <col min="4867" max="5111" width="9.08984375" style="19"/>
    <col min="5112" max="5112" width="8.6328125" style="19" customWidth="1"/>
    <col min="5113" max="5113" width="9.90625" style="19" customWidth="1"/>
    <col min="5114" max="5114" width="14.453125" style="19" customWidth="1"/>
    <col min="5115" max="5115" width="7.36328125" style="19" customWidth="1"/>
    <col min="5116" max="5116" width="5.54296875" style="19" customWidth="1"/>
    <col min="5117" max="5117" width="9" style="19" customWidth="1"/>
    <col min="5118" max="5119" width="9.90625" style="19" customWidth="1"/>
    <col min="5120" max="5120" width="11.08984375" style="19" customWidth="1"/>
    <col min="5121" max="5121" width="2.90625" style="19" customWidth="1"/>
    <col min="5122" max="5122" width="3.54296875" style="19" customWidth="1"/>
    <col min="5123" max="5367" width="9.08984375" style="19"/>
    <col min="5368" max="5368" width="8.6328125" style="19" customWidth="1"/>
    <col min="5369" max="5369" width="9.90625" style="19" customWidth="1"/>
    <col min="5370" max="5370" width="14.453125" style="19" customWidth="1"/>
    <col min="5371" max="5371" width="7.36328125" style="19" customWidth="1"/>
    <col min="5372" max="5372" width="5.54296875" style="19" customWidth="1"/>
    <col min="5373" max="5373" width="9" style="19" customWidth="1"/>
    <col min="5374" max="5375" width="9.90625" style="19" customWidth="1"/>
    <col min="5376" max="5376" width="11.08984375" style="19" customWidth="1"/>
    <col min="5377" max="5377" width="2.90625" style="19" customWidth="1"/>
    <col min="5378" max="5378" width="3.54296875" style="19" customWidth="1"/>
    <col min="5379" max="5623" width="9.08984375" style="19"/>
    <col min="5624" max="5624" width="8.6328125" style="19" customWidth="1"/>
    <col min="5625" max="5625" width="9.90625" style="19" customWidth="1"/>
    <col min="5626" max="5626" width="14.453125" style="19" customWidth="1"/>
    <col min="5627" max="5627" width="7.36328125" style="19" customWidth="1"/>
    <col min="5628" max="5628" width="5.54296875" style="19" customWidth="1"/>
    <col min="5629" max="5629" width="9" style="19" customWidth="1"/>
    <col min="5630" max="5631" width="9.90625" style="19" customWidth="1"/>
    <col min="5632" max="5632" width="11.08984375" style="19" customWidth="1"/>
    <col min="5633" max="5633" width="2.90625" style="19" customWidth="1"/>
    <col min="5634" max="5634" width="3.54296875" style="19" customWidth="1"/>
    <col min="5635" max="5879" width="9.08984375" style="19"/>
    <col min="5880" max="5880" width="8.6328125" style="19" customWidth="1"/>
    <col min="5881" max="5881" width="9.90625" style="19" customWidth="1"/>
    <col min="5882" max="5882" width="14.453125" style="19" customWidth="1"/>
    <col min="5883" max="5883" width="7.36328125" style="19" customWidth="1"/>
    <col min="5884" max="5884" width="5.54296875" style="19" customWidth="1"/>
    <col min="5885" max="5885" width="9" style="19" customWidth="1"/>
    <col min="5886" max="5887" width="9.90625" style="19" customWidth="1"/>
    <col min="5888" max="5888" width="11.08984375" style="19" customWidth="1"/>
    <col min="5889" max="5889" width="2.90625" style="19" customWidth="1"/>
    <col min="5890" max="5890" width="3.54296875" style="19" customWidth="1"/>
    <col min="5891" max="6135" width="9.08984375" style="19"/>
    <col min="6136" max="6136" width="8.6328125" style="19" customWidth="1"/>
    <col min="6137" max="6137" width="9.90625" style="19" customWidth="1"/>
    <col min="6138" max="6138" width="14.453125" style="19" customWidth="1"/>
    <col min="6139" max="6139" width="7.36328125" style="19" customWidth="1"/>
    <col min="6140" max="6140" width="5.54296875" style="19" customWidth="1"/>
    <col min="6141" max="6141" width="9" style="19" customWidth="1"/>
    <col min="6142" max="6143" width="9.90625" style="19" customWidth="1"/>
    <col min="6144" max="6144" width="11.08984375" style="19" customWidth="1"/>
    <col min="6145" max="6145" width="2.90625" style="19" customWidth="1"/>
    <col min="6146" max="6146" width="3.54296875" style="19" customWidth="1"/>
    <col min="6147" max="6391" width="9.08984375" style="19"/>
    <col min="6392" max="6392" width="8.6328125" style="19" customWidth="1"/>
    <col min="6393" max="6393" width="9.90625" style="19" customWidth="1"/>
    <col min="6394" max="6394" width="14.453125" style="19" customWidth="1"/>
    <col min="6395" max="6395" width="7.36328125" style="19" customWidth="1"/>
    <col min="6396" max="6396" width="5.54296875" style="19" customWidth="1"/>
    <col min="6397" max="6397" width="9" style="19" customWidth="1"/>
    <col min="6398" max="6399" width="9.90625" style="19" customWidth="1"/>
    <col min="6400" max="6400" width="11.08984375" style="19" customWidth="1"/>
    <col min="6401" max="6401" width="2.90625" style="19" customWidth="1"/>
    <col min="6402" max="6402" width="3.54296875" style="19" customWidth="1"/>
    <col min="6403" max="6647" width="9.08984375" style="19"/>
    <col min="6648" max="6648" width="8.6328125" style="19" customWidth="1"/>
    <col min="6649" max="6649" width="9.90625" style="19" customWidth="1"/>
    <col min="6650" max="6650" width="14.453125" style="19" customWidth="1"/>
    <col min="6651" max="6651" width="7.36328125" style="19" customWidth="1"/>
    <col min="6652" max="6652" width="5.54296875" style="19" customWidth="1"/>
    <col min="6653" max="6653" width="9" style="19" customWidth="1"/>
    <col min="6654" max="6655" width="9.90625" style="19" customWidth="1"/>
    <col min="6656" max="6656" width="11.08984375" style="19" customWidth="1"/>
    <col min="6657" max="6657" width="2.90625" style="19" customWidth="1"/>
    <col min="6658" max="6658" width="3.54296875" style="19" customWidth="1"/>
    <col min="6659" max="6903" width="9.08984375" style="19"/>
    <col min="6904" max="6904" width="8.6328125" style="19" customWidth="1"/>
    <col min="6905" max="6905" width="9.90625" style="19" customWidth="1"/>
    <col min="6906" max="6906" width="14.453125" style="19" customWidth="1"/>
    <col min="6907" max="6907" width="7.36328125" style="19" customWidth="1"/>
    <col min="6908" max="6908" width="5.54296875" style="19" customWidth="1"/>
    <col min="6909" max="6909" width="9" style="19" customWidth="1"/>
    <col min="6910" max="6911" width="9.90625" style="19" customWidth="1"/>
    <col min="6912" max="6912" width="11.08984375" style="19" customWidth="1"/>
    <col min="6913" max="6913" width="2.90625" style="19" customWidth="1"/>
    <col min="6914" max="6914" width="3.54296875" style="19" customWidth="1"/>
    <col min="6915" max="7159" width="9.08984375" style="19"/>
    <col min="7160" max="7160" width="8.6328125" style="19" customWidth="1"/>
    <col min="7161" max="7161" width="9.90625" style="19" customWidth="1"/>
    <col min="7162" max="7162" width="14.453125" style="19" customWidth="1"/>
    <col min="7163" max="7163" width="7.36328125" style="19" customWidth="1"/>
    <col min="7164" max="7164" width="5.54296875" style="19" customWidth="1"/>
    <col min="7165" max="7165" width="9" style="19" customWidth="1"/>
    <col min="7166" max="7167" width="9.90625" style="19" customWidth="1"/>
    <col min="7168" max="7168" width="11.08984375" style="19" customWidth="1"/>
    <col min="7169" max="7169" width="2.90625" style="19" customWidth="1"/>
    <col min="7170" max="7170" width="3.54296875" style="19" customWidth="1"/>
    <col min="7171" max="7415" width="9.08984375" style="19"/>
    <col min="7416" max="7416" width="8.6328125" style="19" customWidth="1"/>
    <col min="7417" max="7417" width="9.90625" style="19" customWidth="1"/>
    <col min="7418" max="7418" width="14.453125" style="19" customWidth="1"/>
    <col min="7419" max="7419" width="7.36328125" style="19" customWidth="1"/>
    <col min="7420" max="7420" width="5.54296875" style="19" customWidth="1"/>
    <col min="7421" max="7421" width="9" style="19" customWidth="1"/>
    <col min="7422" max="7423" width="9.90625" style="19" customWidth="1"/>
    <col min="7424" max="7424" width="11.08984375" style="19" customWidth="1"/>
    <col min="7425" max="7425" width="2.90625" style="19" customWidth="1"/>
    <col min="7426" max="7426" width="3.54296875" style="19" customWidth="1"/>
    <col min="7427" max="7671" width="9.08984375" style="19"/>
    <col min="7672" max="7672" width="8.6328125" style="19" customWidth="1"/>
    <col min="7673" max="7673" width="9.90625" style="19" customWidth="1"/>
    <col min="7674" max="7674" width="14.453125" style="19" customWidth="1"/>
    <col min="7675" max="7675" width="7.36328125" style="19" customWidth="1"/>
    <col min="7676" max="7676" width="5.54296875" style="19" customWidth="1"/>
    <col min="7677" max="7677" width="9" style="19" customWidth="1"/>
    <col min="7678" max="7679" width="9.90625" style="19" customWidth="1"/>
    <col min="7680" max="7680" width="11.08984375" style="19" customWidth="1"/>
    <col min="7681" max="7681" width="2.90625" style="19" customWidth="1"/>
    <col min="7682" max="7682" width="3.54296875" style="19" customWidth="1"/>
    <col min="7683" max="7927" width="9.08984375" style="19"/>
    <col min="7928" max="7928" width="8.6328125" style="19" customWidth="1"/>
    <col min="7929" max="7929" width="9.90625" style="19" customWidth="1"/>
    <col min="7930" max="7930" width="14.453125" style="19" customWidth="1"/>
    <col min="7931" max="7931" width="7.36328125" style="19" customWidth="1"/>
    <col min="7932" max="7932" width="5.54296875" style="19" customWidth="1"/>
    <col min="7933" max="7933" width="9" style="19" customWidth="1"/>
    <col min="7934" max="7935" width="9.90625" style="19" customWidth="1"/>
    <col min="7936" max="7936" width="11.08984375" style="19" customWidth="1"/>
    <col min="7937" max="7937" width="2.90625" style="19" customWidth="1"/>
    <col min="7938" max="7938" width="3.54296875" style="19" customWidth="1"/>
    <col min="7939" max="8183" width="9.08984375" style="19"/>
    <col min="8184" max="8184" width="8.6328125" style="19" customWidth="1"/>
    <col min="8185" max="8185" width="9.90625" style="19" customWidth="1"/>
    <col min="8186" max="8186" width="14.453125" style="19" customWidth="1"/>
    <col min="8187" max="8187" width="7.36328125" style="19" customWidth="1"/>
    <col min="8188" max="8188" width="5.54296875" style="19" customWidth="1"/>
    <col min="8189" max="8189" width="9" style="19" customWidth="1"/>
    <col min="8190" max="8191" width="9.90625" style="19" customWidth="1"/>
    <col min="8192" max="8192" width="11.08984375" style="19" customWidth="1"/>
    <col min="8193" max="8193" width="2.90625" style="19" customWidth="1"/>
    <col min="8194" max="8194" width="3.54296875" style="19" customWidth="1"/>
    <col min="8195" max="8439" width="9.08984375" style="19"/>
    <col min="8440" max="8440" width="8.6328125" style="19" customWidth="1"/>
    <col min="8441" max="8441" width="9.90625" style="19" customWidth="1"/>
    <col min="8442" max="8442" width="14.453125" style="19" customWidth="1"/>
    <col min="8443" max="8443" width="7.36328125" style="19" customWidth="1"/>
    <col min="8444" max="8444" width="5.54296875" style="19" customWidth="1"/>
    <col min="8445" max="8445" width="9" style="19" customWidth="1"/>
    <col min="8446" max="8447" width="9.90625" style="19" customWidth="1"/>
    <col min="8448" max="8448" width="11.08984375" style="19" customWidth="1"/>
    <col min="8449" max="8449" width="2.90625" style="19" customWidth="1"/>
    <col min="8450" max="8450" width="3.54296875" style="19" customWidth="1"/>
    <col min="8451" max="8695" width="9.08984375" style="19"/>
    <col min="8696" max="8696" width="8.6328125" style="19" customWidth="1"/>
    <col min="8697" max="8697" width="9.90625" style="19" customWidth="1"/>
    <col min="8698" max="8698" width="14.453125" style="19" customWidth="1"/>
    <col min="8699" max="8699" width="7.36328125" style="19" customWidth="1"/>
    <col min="8700" max="8700" width="5.54296875" style="19" customWidth="1"/>
    <col min="8701" max="8701" width="9" style="19" customWidth="1"/>
    <col min="8702" max="8703" width="9.90625" style="19" customWidth="1"/>
    <col min="8704" max="8704" width="11.08984375" style="19" customWidth="1"/>
    <col min="8705" max="8705" width="2.90625" style="19" customWidth="1"/>
    <col min="8706" max="8706" width="3.54296875" style="19" customWidth="1"/>
    <col min="8707" max="8951" width="9.08984375" style="19"/>
    <col min="8952" max="8952" width="8.6328125" style="19" customWidth="1"/>
    <col min="8953" max="8953" width="9.90625" style="19" customWidth="1"/>
    <col min="8954" max="8954" width="14.453125" style="19" customWidth="1"/>
    <col min="8955" max="8955" width="7.36328125" style="19" customWidth="1"/>
    <col min="8956" max="8956" width="5.54296875" style="19" customWidth="1"/>
    <col min="8957" max="8957" width="9" style="19" customWidth="1"/>
    <col min="8958" max="8959" width="9.90625" style="19" customWidth="1"/>
    <col min="8960" max="8960" width="11.08984375" style="19" customWidth="1"/>
    <col min="8961" max="8961" width="2.90625" style="19" customWidth="1"/>
    <col min="8962" max="8962" width="3.54296875" style="19" customWidth="1"/>
    <col min="8963" max="9207" width="9.08984375" style="19"/>
    <col min="9208" max="9208" width="8.6328125" style="19" customWidth="1"/>
    <col min="9209" max="9209" width="9.90625" style="19" customWidth="1"/>
    <col min="9210" max="9210" width="14.453125" style="19" customWidth="1"/>
    <col min="9211" max="9211" width="7.36328125" style="19" customWidth="1"/>
    <col min="9212" max="9212" width="5.54296875" style="19" customWidth="1"/>
    <col min="9213" max="9213" width="9" style="19" customWidth="1"/>
    <col min="9214" max="9215" width="9.90625" style="19" customWidth="1"/>
    <col min="9216" max="9216" width="11.08984375" style="19" customWidth="1"/>
    <col min="9217" max="9217" width="2.90625" style="19" customWidth="1"/>
    <col min="9218" max="9218" width="3.54296875" style="19" customWidth="1"/>
    <col min="9219" max="9463" width="9.08984375" style="19"/>
    <col min="9464" max="9464" width="8.6328125" style="19" customWidth="1"/>
    <col min="9465" max="9465" width="9.90625" style="19" customWidth="1"/>
    <col min="9466" max="9466" width="14.453125" style="19" customWidth="1"/>
    <col min="9467" max="9467" width="7.36328125" style="19" customWidth="1"/>
    <col min="9468" max="9468" width="5.54296875" style="19" customWidth="1"/>
    <col min="9469" max="9469" width="9" style="19" customWidth="1"/>
    <col min="9470" max="9471" width="9.90625" style="19" customWidth="1"/>
    <col min="9472" max="9472" width="11.08984375" style="19" customWidth="1"/>
    <col min="9473" max="9473" width="2.90625" style="19" customWidth="1"/>
    <col min="9474" max="9474" width="3.54296875" style="19" customWidth="1"/>
    <col min="9475" max="9719" width="9.08984375" style="19"/>
    <col min="9720" max="9720" width="8.6328125" style="19" customWidth="1"/>
    <col min="9721" max="9721" width="9.90625" style="19" customWidth="1"/>
    <col min="9722" max="9722" width="14.453125" style="19" customWidth="1"/>
    <col min="9723" max="9723" width="7.36328125" style="19" customWidth="1"/>
    <col min="9724" max="9724" width="5.54296875" style="19" customWidth="1"/>
    <col min="9725" max="9725" width="9" style="19" customWidth="1"/>
    <col min="9726" max="9727" width="9.90625" style="19" customWidth="1"/>
    <col min="9728" max="9728" width="11.08984375" style="19" customWidth="1"/>
    <col min="9729" max="9729" width="2.90625" style="19" customWidth="1"/>
    <col min="9730" max="9730" width="3.54296875" style="19" customWidth="1"/>
    <col min="9731" max="9975" width="9.08984375" style="19"/>
    <col min="9976" max="9976" width="8.6328125" style="19" customWidth="1"/>
    <col min="9977" max="9977" width="9.90625" style="19" customWidth="1"/>
    <col min="9978" max="9978" width="14.453125" style="19" customWidth="1"/>
    <col min="9979" max="9979" width="7.36328125" style="19" customWidth="1"/>
    <col min="9980" max="9980" width="5.54296875" style="19" customWidth="1"/>
    <col min="9981" max="9981" width="9" style="19" customWidth="1"/>
    <col min="9982" max="9983" width="9.90625" style="19" customWidth="1"/>
    <col min="9984" max="9984" width="11.08984375" style="19" customWidth="1"/>
    <col min="9985" max="9985" width="2.90625" style="19" customWidth="1"/>
    <col min="9986" max="9986" width="3.54296875" style="19" customWidth="1"/>
    <col min="9987" max="10231" width="9.08984375" style="19"/>
    <col min="10232" max="10232" width="8.6328125" style="19" customWidth="1"/>
    <col min="10233" max="10233" width="9.90625" style="19" customWidth="1"/>
    <col min="10234" max="10234" width="14.453125" style="19" customWidth="1"/>
    <col min="10235" max="10235" width="7.36328125" style="19" customWidth="1"/>
    <col min="10236" max="10236" width="5.54296875" style="19" customWidth="1"/>
    <col min="10237" max="10237" width="9" style="19" customWidth="1"/>
    <col min="10238" max="10239" width="9.90625" style="19" customWidth="1"/>
    <col min="10240" max="10240" width="11.08984375" style="19" customWidth="1"/>
    <col min="10241" max="10241" width="2.90625" style="19" customWidth="1"/>
    <col min="10242" max="10242" width="3.54296875" style="19" customWidth="1"/>
    <col min="10243" max="10487" width="9.08984375" style="19"/>
    <col min="10488" max="10488" width="8.6328125" style="19" customWidth="1"/>
    <col min="10489" max="10489" width="9.90625" style="19" customWidth="1"/>
    <col min="10490" max="10490" width="14.453125" style="19" customWidth="1"/>
    <col min="10491" max="10491" width="7.36328125" style="19" customWidth="1"/>
    <col min="10492" max="10492" width="5.54296875" style="19" customWidth="1"/>
    <col min="10493" max="10493" width="9" style="19" customWidth="1"/>
    <col min="10494" max="10495" width="9.90625" style="19" customWidth="1"/>
    <col min="10496" max="10496" width="11.08984375" style="19" customWidth="1"/>
    <col min="10497" max="10497" width="2.90625" style="19" customWidth="1"/>
    <col min="10498" max="10498" width="3.54296875" style="19" customWidth="1"/>
    <col min="10499" max="10743" width="9.08984375" style="19"/>
    <col min="10744" max="10744" width="8.6328125" style="19" customWidth="1"/>
    <col min="10745" max="10745" width="9.90625" style="19" customWidth="1"/>
    <col min="10746" max="10746" width="14.453125" style="19" customWidth="1"/>
    <col min="10747" max="10747" width="7.36328125" style="19" customWidth="1"/>
    <col min="10748" max="10748" width="5.54296875" style="19" customWidth="1"/>
    <col min="10749" max="10749" width="9" style="19" customWidth="1"/>
    <col min="10750" max="10751" width="9.90625" style="19" customWidth="1"/>
    <col min="10752" max="10752" width="11.08984375" style="19" customWidth="1"/>
    <col min="10753" max="10753" width="2.90625" style="19" customWidth="1"/>
    <col min="10754" max="10754" width="3.54296875" style="19" customWidth="1"/>
    <col min="10755" max="10999" width="9.08984375" style="19"/>
    <col min="11000" max="11000" width="8.6328125" style="19" customWidth="1"/>
    <col min="11001" max="11001" width="9.90625" style="19" customWidth="1"/>
    <col min="11002" max="11002" width="14.453125" style="19" customWidth="1"/>
    <col min="11003" max="11003" width="7.36328125" style="19" customWidth="1"/>
    <col min="11004" max="11004" width="5.54296875" style="19" customWidth="1"/>
    <col min="11005" max="11005" width="9" style="19" customWidth="1"/>
    <col min="11006" max="11007" width="9.90625" style="19" customWidth="1"/>
    <col min="11008" max="11008" width="11.08984375" style="19" customWidth="1"/>
    <col min="11009" max="11009" width="2.90625" style="19" customWidth="1"/>
    <col min="11010" max="11010" width="3.54296875" style="19" customWidth="1"/>
    <col min="11011" max="11255" width="9.08984375" style="19"/>
    <col min="11256" max="11256" width="8.6328125" style="19" customWidth="1"/>
    <col min="11257" max="11257" width="9.90625" style="19" customWidth="1"/>
    <col min="11258" max="11258" width="14.453125" style="19" customWidth="1"/>
    <col min="11259" max="11259" width="7.36328125" style="19" customWidth="1"/>
    <col min="11260" max="11260" width="5.54296875" style="19" customWidth="1"/>
    <col min="11261" max="11261" width="9" style="19" customWidth="1"/>
    <col min="11262" max="11263" width="9.90625" style="19" customWidth="1"/>
    <col min="11264" max="11264" width="11.08984375" style="19" customWidth="1"/>
    <col min="11265" max="11265" width="2.90625" style="19" customWidth="1"/>
    <col min="11266" max="11266" width="3.54296875" style="19" customWidth="1"/>
    <col min="11267" max="11511" width="9.08984375" style="19"/>
    <col min="11512" max="11512" width="8.6328125" style="19" customWidth="1"/>
    <col min="11513" max="11513" width="9.90625" style="19" customWidth="1"/>
    <col min="11514" max="11514" width="14.453125" style="19" customWidth="1"/>
    <col min="11515" max="11515" width="7.36328125" style="19" customWidth="1"/>
    <col min="11516" max="11516" width="5.54296875" style="19" customWidth="1"/>
    <col min="11517" max="11517" width="9" style="19" customWidth="1"/>
    <col min="11518" max="11519" width="9.90625" style="19" customWidth="1"/>
    <col min="11520" max="11520" width="11.08984375" style="19" customWidth="1"/>
    <col min="11521" max="11521" width="2.90625" style="19" customWidth="1"/>
    <col min="11522" max="11522" width="3.54296875" style="19" customWidth="1"/>
    <col min="11523" max="11767" width="9.08984375" style="19"/>
    <col min="11768" max="11768" width="8.6328125" style="19" customWidth="1"/>
    <col min="11769" max="11769" width="9.90625" style="19" customWidth="1"/>
    <col min="11770" max="11770" width="14.453125" style="19" customWidth="1"/>
    <col min="11771" max="11771" width="7.36328125" style="19" customWidth="1"/>
    <col min="11772" max="11772" width="5.54296875" style="19" customWidth="1"/>
    <col min="11773" max="11773" width="9" style="19" customWidth="1"/>
    <col min="11774" max="11775" width="9.90625" style="19" customWidth="1"/>
    <col min="11776" max="11776" width="11.08984375" style="19" customWidth="1"/>
    <col min="11777" max="11777" width="2.90625" style="19" customWidth="1"/>
    <col min="11778" max="11778" width="3.54296875" style="19" customWidth="1"/>
    <col min="11779" max="12023" width="9.08984375" style="19"/>
    <col min="12024" max="12024" width="8.6328125" style="19" customWidth="1"/>
    <col min="12025" max="12025" width="9.90625" style="19" customWidth="1"/>
    <col min="12026" max="12026" width="14.453125" style="19" customWidth="1"/>
    <col min="12027" max="12027" width="7.36328125" style="19" customWidth="1"/>
    <col min="12028" max="12028" width="5.54296875" style="19" customWidth="1"/>
    <col min="12029" max="12029" width="9" style="19" customWidth="1"/>
    <col min="12030" max="12031" width="9.90625" style="19" customWidth="1"/>
    <col min="12032" max="12032" width="11.08984375" style="19" customWidth="1"/>
    <col min="12033" max="12033" width="2.90625" style="19" customWidth="1"/>
    <col min="12034" max="12034" width="3.54296875" style="19" customWidth="1"/>
    <col min="12035" max="12279" width="9.08984375" style="19"/>
    <col min="12280" max="12280" width="8.6328125" style="19" customWidth="1"/>
    <col min="12281" max="12281" width="9.90625" style="19" customWidth="1"/>
    <col min="12282" max="12282" width="14.453125" style="19" customWidth="1"/>
    <col min="12283" max="12283" width="7.36328125" style="19" customWidth="1"/>
    <col min="12284" max="12284" width="5.54296875" style="19" customWidth="1"/>
    <col min="12285" max="12285" width="9" style="19" customWidth="1"/>
    <col min="12286" max="12287" width="9.90625" style="19" customWidth="1"/>
    <col min="12288" max="12288" width="11.08984375" style="19" customWidth="1"/>
    <col min="12289" max="12289" width="2.90625" style="19" customWidth="1"/>
    <col min="12290" max="12290" width="3.54296875" style="19" customWidth="1"/>
    <col min="12291" max="12535" width="9.08984375" style="19"/>
    <col min="12536" max="12536" width="8.6328125" style="19" customWidth="1"/>
    <col min="12537" max="12537" width="9.90625" style="19" customWidth="1"/>
    <col min="12538" max="12538" width="14.453125" style="19" customWidth="1"/>
    <col min="12539" max="12539" width="7.36328125" style="19" customWidth="1"/>
    <col min="12540" max="12540" width="5.54296875" style="19" customWidth="1"/>
    <col min="12541" max="12541" width="9" style="19" customWidth="1"/>
    <col min="12542" max="12543" width="9.90625" style="19" customWidth="1"/>
    <col min="12544" max="12544" width="11.08984375" style="19" customWidth="1"/>
    <col min="12545" max="12545" width="2.90625" style="19" customWidth="1"/>
    <col min="12546" max="12546" width="3.54296875" style="19" customWidth="1"/>
    <col min="12547" max="12791" width="9.08984375" style="19"/>
    <col min="12792" max="12792" width="8.6328125" style="19" customWidth="1"/>
    <col min="12793" max="12793" width="9.90625" style="19" customWidth="1"/>
    <col min="12794" max="12794" width="14.453125" style="19" customWidth="1"/>
    <col min="12795" max="12795" width="7.36328125" style="19" customWidth="1"/>
    <col min="12796" max="12796" width="5.54296875" style="19" customWidth="1"/>
    <col min="12797" max="12797" width="9" style="19" customWidth="1"/>
    <col min="12798" max="12799" width="9.90625" style="19" customWidth="1"/>
    <col min="12800" max="12800" width="11.08984375" style="19" customWidth="1"/>
    <col min="12801" max="12801" width="2.90625" style="19" customWidth="1"/>
    <col min="12802" max="12802" width="3.54296875" style="19" customWidth="1"/>
    <col min="12803" max="13047" width="9.08984375" style="19"/>
    <col min="13048" max="13048" width="8.6328125" style="19" customWidth="1"/>
    <col min="13049" max="13049" width="9.90625" style="19" customWidth="1"/>
    <col min="13050" max="13050" width="14.453125" style="19" customWidth="1"/>
    <col min="13051" max="13051" width="7.36328125" style="19" customWidth="1"/>
    <col min="13052" max="13052" width="5.54296875" style="19" customWidth="1"/>
    <col min="13053" max="13053" width="9" style="19" customWidth="1"/>
    <col min="13054" max="13055" width="9.90625" style="19" customWidth="1"/>
    <col min="13056" max="13056" width="11.08984375" style="19" customWidth="1"/>
    <col min="13057" max="13057" width="2.90625" style="19" customWidth="1"/>
    <col min="13058" max="13058" width="3.54296875" style="19" customWidth="1"/>
    <col min="13059" max="13303" width="9.08984375" style="19"/>
    <col min="13304" max="13304" width="8.6328125" style="19" customWidth="1"/>
    <col min="13305" max="13305" width="9.90625" style="19" customWidth="1"/>
    <col min="13306" max="13306" width="14.453125" style="19" customWidth="1"/>
    <col min="13307" max="13307" width="7.36328125" style="19" customWidth="1"/>
    <col min="13308" max="13308" width="5.54296875" style="19" customWidth="1"/>
    <col min="13309" max="13309" width="9" style="19" customWidth="1"/>
    <col min="13310" max="13311" width="9.90625" style="19" customWidth="1"/>
    <col min="13312" max="13312" width="11.08984375" style="19" customWidth="1"/>
    <col min="13313" max="13313" width="2.90625" style="19" customWidth="1"/>
    <col min="13314" max="13314" width="3.54296875" style="19" customWidth="1"/>
    <col min="13315" max="13559" width="9.08984375" style="19"/>
    <col min="13560" max="13560" width="8.6328125" style="19" customWidth="1"/>
    <col min="13561" max="13561" width="9.90625" style="19" customWidth="1"/>
    <col min="13562" max="13562" width="14.453125" style="19" customWidth="1"/>
    <col min="13563" max="13563" width="7.36328125" style="19" customWidth="1"/>
    <col min="13564" max="13564" width="5.54296875" style="19" customWidth="1"/>
    <col min="13565" max="13565" width="9" style="19" customWidth="1"/>
    <col min="13566" max="13567" width="9.90625" style="19" customWidth="1"/>
    <col min="13568" max="13568" width="11.08984375" style="19" customWidth="1"/>
    <col min="13569" max="13569" width="2.90625" style="19" customWidth="1"/>
    <col min="13570" max="13570" width="3.54296875" style="19" customWidth="1"/>
    <col min="13571" max="13815" width="9.08984375" style="19"/>
    <col min="13816" max="13816" width="8.6328125" style="19" customWidth="1"/>
    <col min="13817" max="13817" width="9.90625" style="19" customWidth="1"/>
    <col min="13818" max="13818" width="14.453125" style="19" customWidth="1"/>
    <col min="13819" max="13819" width="7.36328125" style="19" customWidth="1"/>
    <col min="13820" max="13820" width="5.54296875" style="19" customWidth="1"/>
    <col min="13821" max="13821" width="9" style="19" customWidth="1"/>
    <col min="13822" max="13823" width="9.90625" style="19" customWidth="1"/>
    <col min="13824" max="13824" width="11.08984375" style="19" customWidth="1"/>
    <col min="13825" max="13825" width="2.90625" style="19" customWidth="1"/>
    <col min="13826" max="13826" width="3.54296875" style="19" customWidth="1"/>
    <col min="13827" max="14071" width="9.08984375" style="19"/>
    <col min="14072" max="14072" width="8.6328125" style="19" customWidth="1"/>
    <col min="14073" max="14073" width="9.90625" style="19" customWidth="1"/>
    <col min="14074" max="14074" width="14.453125" style="19" customWidth="1"/>
    <col min="14075" max="14075" width="7.36328125" style="19" customWidth="1"/>
    <col min="14076" max="14076" width="5.54296875" style="19" customWidth="1"/>
    <col min="14077" max="14077" width="9" style="19" customWidth="1"/>
    <col min="14078" max="14079" width="9.90625" style="19" customWidth="1"/>
    <col min="14080" max="14080" width="11.08984375" style="19" customWidth="1"/>
    <col min="14081" max="14081" width="2.90625" style="19" customWidth="1"/>
    <col min="14082" max="14082" width="3.54296875" style="19" customWidth="1"/>
    <col min="14083" max="14327" width="9.08984375" style="19"/>
    <col min="14328" max="14328" width="8.6328125" style="19" customWidth="1"/>
    <col min="14329" max="14329" width="9.90625" style="19" customWidth="1"/>
    <col min="14330" max="14330" width="14.453125" style="19" customWidth="1"/>
    <col min="14331" max="14331" width="7.36328125" style="19" customWidth="1"/>
    <col min="14332" max="14332" width="5.54296875" style="19" customWidth="1"/>
    <col min="14333" max="14333" width="9" style="19" customWidth="1"/>
    <col min="14334" max="14335" width="9.90625" style="19" customWidth="1"/>
    <col min="14336" max="14336" width="11.08984375" style="19" customWidth="1"/>
    <col min="14337" max="14337" width="2.90625" style="19" customWidth="1"/>
    <col min="14338" max="14338" width="3.54296875" style="19" customWidth="1"/>
    <col min="14339" max="14583" width="9.08984375" style="19"/>
    <col min="14584" max="14584" width="8.6328125" style="19" customWidth="1"/>
    <col min="14585" max="14585" width="9.90625" style="19" customWidth="1"/>
    <col min="14586" max="14586" width="14.453125" style="19" customWidth="1"/>
    <col min="14587" max="14587" width="7.36328125" style="19" customWidth="1"/>
    <col min="14588" max="14588" width="5.54296875" style="19" customWidth="1"/>
    <col min="14589" max="14589" width="9" style="19" customWidth="1"/>
    <col min="14590" max="14591" width="9.90625" style="19" customWidth="1"/>
    <col min="14592" max="14592" width="11.08984375" style="19" customWidth="1"/>
    <col min="14593" max="14593" width="2.90625" style="19" customWidth="1"/>
    <col min="14594" max="14594" width="3.54296875" style="19" customWidth="1"/>
    <col min="14595" max="14839" width="9.08984375" style="19"/>
    <col min="14840" max="14840" width="8.6328125" style="19" customWidth="1"/>
    <col min="14841" max="14841" width="9.90625" style="19" customWidth="1"/>
    <col min="14842" max="14842" width="14.453125" style="19" customWidth="1"/>
    <col min="14843" max="14843" width="7.36328125" style="19" customWidth="1"/>
    <col min="14844" max="14844" width="5.54296875" style="19" customWidth="1"/>
    <col min="14845" max="14845" width="9" style="19" customWidth="1"/>
    <col min="14846" max="14847" width="9.90625" style="19" customWidth="1"/>
    <col min="14848" max="14848" width="11.08984375" style="19" customWidth="1"/>
    <col min="14849" max="14849" width="2.90625" style="19" customWidth="1"/>
    <col min="14850" max="14850" width="3.54296875" style="19" customWidth="1"/>
    <col min="14851" max="15095" width="9.08984375" style="19"/>
    <col min="15096" max="15096" width="8.6328125" style="19" customWidth="1"/>
    <col min="15097" max="15097" width="9.90625" style="19" customWidth="1"/>
    <col min="15098" max="15098" width="14.453125" style="19" customWidth="1"/>
    <col min="15099" max="15099" width="7.36328125" style="19" customWidth="1"/>
    <col min="15100" max="15100" width="5.54296875" style="19" customWidth="1"/>
    <col min="15101" max="15101" width="9" style="19" customWidth="1"/>
    <col min="15102" max="15103" width="9.90625" style="19" customWidth="1"/>
    <col min="15104" max="15104" width="11.08984375" style="19" customWidth="1"/>
    <col min="15105" max="15105" width="2.90625" style="19" customWidth="1"/>
    <col min="15106" max="15106" width="3.54296875" style="19" customWidth="1"/>
    <col min="15107" max="15351" width="9.08984375" style="19"/>
    <col min="15352" max="15352" width="8.6328125" style="19" customWidth="1"/>
    <col min="15353" max="15353" width="9.90625" style="19" customWidth="1"/>
    <col min="15354" max="15354" width="14.453125" style="19" customWidth="1"/>
    <col min="15355" max="15355" width="7.36328125" style="19" customWidth="1"/>
    <col min="15356" max="15356" width="5.54296875" style="19" customWidth="1"/>
    <col min="15357" max="15357" width="9" style="19" customWidth="1"/>
    <col min="15358" max="15359" width="9.90625" style="19" customWidth="1"/>
    <col min="15360" max="15360" width="11.08984375" style="19" customWidth="1"/>
    <col min="15361" max="15361" width="2.90625" style="19" customWidth="1"/>
    <col min="15362" max="15362" width="3.54296875" style="19" customWidth="1"/>
    <col min="15363" max="15607" width="9.08984375" style="19"/>
    <col min="15608" max="15608" width="8.6328125" style="19" customWidth="1"/>
    <col min="15609" max="15609" width="9.90625" style="19" customWidth="1"/>
    <col min="15610" max="15610" width="14.453125" style="19" customWidth="1"/>
    <col min="15611" max="15611" width="7.36328125" style="19" customWidth="1"/>
    <col min="15612" max="15612" width="5.54296875" style="19" customWidth="1"/>
    <col min="15613" max="15613" width="9" style="19" customWidth="1"/>
    <col min="15614" max="15615" width="9.90625" style="19" customWidth="1"/>
    <col min="15616" max="15616" width="11.08984375" style="19" customWidth="1"/>
    <col min="15617" max="15617" width="2.90625" style="19" customWidth="1"/>
    <col min="15618" max="15618" width="3.54296875" style="19" customWidth="1"/>
    <col min="15619" max="15863" width="9.08984375" style="19"/>
    <col min="15864" max="15864" width="8.6328125" style="19" customWidth="1"/>
    <col min="15865" max="15865" width="9.90625" style="19" customWidth="1"/>
    <col min="15866" max="15866" width="14.453125" style="19" customWidth="1"/>
    <col min="15867" max="15867" width="7.36328125" style="19" customWidth="1"/>
    <col min="15868" max="15868" width="5.54296875" style="19" customWidth="1"/>
    <col min="15869" max="15869" width="9" style="19" customWidth="1"/>
    <col min="15870" max="15871" width="9.90625" style="19" customWidth="1"/>
    <col min="15872" max="15872" width="11.08984375" style="19" customWidth="1"/>
    <col min="15873" max="15873" width="2.90625" style="19" customWidth="1"/>
    <col min="15874" max="15874" width="3.54296875" style="19" customWidth="1"/>
    <col min="15875" max="16119" width="9.08984375" style="19"/>
    <col min="16120" max="16120" width="8.6328125" style="19" customWidth="1"/>
    <col min="16121" max="16121" width="9.90625" style="19" customWidth="1"/>
    <col min="16122" max="16122" width="14.453125" style="19" customWidth="1"/>
    <col min="16123" max="16123" width="7.36328125" style="19" customWidth="1"/>
    <col min="16124" max="16124" width="5.54296875" style="19" customWidth="1"/>
    <col min="16125" max="16125" width="9" style="19" customWidth="1"/>
    <col min="16126" max="16127" width="9.90625" style="19" customWidth="1"/>
    <col min="16128" max="16128" width="11.08984375" style="19" customWidth="1"/>
    <col min="16129" max="16129" width="2.90625" style="19" customWidth="1"/>
    <col min="16130" max="16130" width="3.54296875" style="19" customWidth="1"/>
    <col min="16131" max="16384" width="9.08984375" style="19"/>
  </cols>
  <sheetData>
    <row r="1" spans="1:8" ht="46.5" customHeight="1" x14ac:dyDescent="0.35">
      <c r="A1" s="175" t="s">
        <v>236</v>
      </c>
      <c r="B1" s="175"/>
      <c r="C1" s="175"/>
      <c r="D1" s="175"/>
      <c r="E1" s="175"/>
      <c r="F1" s="175"/>
      <c r="G1" s="175"/>
      <c r="H1" s="175"/>
    </row>
    <row r="2" spans="1:8" ht="16.5" customHeight="1" x14ac:dyDescent="0.35">
      <c r="A2" s="120" t="s">
        <v>0</v>
      </c>
      <c r="B2" s="120"/>
      <c r="C2" s="120"/>
      <c r="D2" s="120"/>
      <c r="E2" s="120"/>
      <c r="F2" s="120"/>
      <c r="G2" s="120"/>
      <c r="H2" s="120"/>
    </row>
    <row r="3" spans="1:8" x14ac:dyDescent="0.35">
      <c r="A3" s="113" t="s">
        <v>1</v>
      </c>
      <c r="B3" s="113"/>
      <c r="C3" s="113"/>
      <c r="D3" s="113"/>
      <c r="E3" s="113" t="str">
        <f ca="1">TEXT(TODAY(),"DD/MM/YYYY")</f>
        <v>30/09/2025</v>
      </c>
      <c r="F3" s="113"/>
      <c r="G3" s="113"/>
      <c r="H3" s="113"/>
    </row>
    <row r="4" spans="1:8" ht="15" customHeight="1" x14ac:dyDescent="0.35">
      <c r="A4" s="113" t="s">
        <v>2</v>
      </c>
      <c r="B4" s="113"/>
      <c r="C4" s="113"/>
      <c r="D4" s="113"/>
      <c r="E4" s="113" t="s">
        <v>258</v>
      </c>
      <c r="F4" s="113"/>
      <c r="G4" s="113"/>
      <c r="H4" s="113"/>
    </row>
    <row r="5" spans="1:8" x14ac:dyDescent="0.35">
      <c r="A5" s="113" t="s">
        <v>3</v>
      </c>
      <c r="B5" s="113"/>
      <c r="C5" s="113"/>
      <c r="D5" s="113"/>
      <c r="E5" s="176">
        <v>45930</v>
      </c>
      <c r="F5" s="113"/>
      <c r="G5" s="113"/>
      <c r="H5" s="113"/>
    </row>
    <row r="6" spans="1:8" ht="31.5" customHeight="1" x14ac:dyDescent="0.35">
      <c r="A6" s="113" t="s">
        <v>4</v>
      </c>
      <c r="B6" s="113"/>
      <c r="C6" s="113"/>
      <c r="D6" s="113"/>
      <c r="E6" s="112" t="s">
        <v>179</v>
      </c>
      <c r="F6" s="113"/>
      <c r="G6" s="113"/>
      <c r="H6" s="113"/>
    </row>
    <row r="7" spans="1:8" ht="31.5" customHeight="1" x14ac:dyDescent="0.35">
      <c r="A7" s="113" t="s">
        <v>5</v>
      </c>
      <c r="B7" s="113"/>
      <c r="C7" s="113"/>
      <c r="D7" s="113"/>
      <c r="E7" s="112" t="s">
        <v>179</v>
      </c>
      <c r="F7" s="113"/>
      <c r="G7" s="113"/>
      <c r="H7" s="113"/>
    </row>
    <row r="8" spans="1:8" x14ac:dyDescent="0.35">
      <c r="A8" s="113" t="s">
        <v>6</v>
      </c>
      <c r="B8" s="113"/>
      <c r="C8" s="113"/>
      <c r="D8" s="113"/>
      <c r="E8" s="81" t="s">
        <v>167</v>
      </c>
      <c r="F8" s="81"/>
      <c r="G8" s="81"/>
      <c r="H8" s="81"/>
    </row>
    <row r="9" spans="1:8" x14ac:dyDescent="0.35">
      <c r="A9" s="113" t="s">
        <v>168</v>
      </c>
      <c r="B9" s="113"/>
      <c r="C9" s="113"/>
      <c r="D9" s="113"/>
      <c r="E9" s="113" t="s">
        <v>248</v>
      </c>
      <c r="F9" s="113"/>
      <c r="G9" s="113"/>
      <c r="H9" s="113"/>
    </row>
    <row r="10" spans="1:8" x14ac:dyDescent="0.35">
      <c r="A10" s="113" t="s">
        <v>165</v>
      </c>
      <c r="B10" s="113"/>
      <c r="C10" s="113"/>
      <c r="D10" s="113"/>
      <c r="E10" s="113" t="s">
        <v>180</v>
      </c>
      <c r="F10" s="113"/>
      <c r="G10" s="113"/>
      <c r="H10" s="113"/>
    </row>
    <row r="11" spans="1:8" x14ac:dyDescent="0.35">
      <c r="A11" s="113" t="s">
        <v>166</v>
      </c>
      <c r="B11" s="113"/>
      <c r="C11" s="113"/>
      <c r="D11" s="113"/>
      <c r="E11" s="113" t="s">
        <v>317</v>
      </c>
      <c r="F11" s="113"/>
      <c r="G11" s="113"/>
      <c r="H11" s="113"/>
    </row>
    <row r="12" spans="1:8" ht="31.5" customHeight="1" x14ac:dyDescent="0.35">
      <c r="A12" s="113" t="s">
        <v>7</v>
      </c>
      <c r="B12" s="113"/>
      <c r="C12" s="113"/>
      <c r="D12" s="113"/>
      <c r="E12" s="112" t="s">
        <v>241</v>
      </c>
      <c r="F12" s="113"/>
      <c r="G12" s="113"/>
      <c r="H12" s="113"/>
    </row>
    <row r="13" spans="1:8" ht="33" customHeight="1" x14ac:dyDescent="0.35">
      <c r="A13" s="113" t="s">
        <v>192</v>
      </c>
      <c r="B13" s="113"/>
      <c r="C13" s="113"/>
      <c r="D13" s="113"/>
      <c r="E13" s="112" t="s">
        <v>179</v>
      </c>
      <c r="F13" s="112"/>
      <c r="G13" s="112"/>
      <c r="H13" s="112"/>
    </row>
    <row r="14" spans="1:8" x14ac:dyDescent="0.35">
      <c r="A14" s="118" t="s">
        <v>8</v>
      </c>
      <c r="B14" s="118"/>
      <c r="C14" s="118"/>
      <c r="D14" s="118"/>
      <c r="E14" s="112" t="s">
        <v>178</v>
      </c>
      <c r="F14" s="112"/>
      <c r="G14" s="112"/>
      <c r="H14" s="112"/>
    </row>
    <row r="15" spans="1:8" ht="63.75" customHeight="1" x14ac:dyDescent="0.35">
      <c r="A15" s="118" t="s">
        <v>9</v>
      </c>
      <c r="B15" s="118"/>
      <c r="C15" s="118"/>
      <c r="D15" s="118"/>
      <c r="E15" s="112" t="s">
        <v>318</v>
      </c>
      <c r="F15" s="113"/>
      <c r="G15" s="113"/>
      <c r="H15" s="113"/>
    </row>
    <row r="16" spans="1:8" ht="66" customHeight="1" x14ac:dyDescent="0.35">
      <c r="A16" s="112" t="s">
        <v>10</v>
      </c>
      <c r="B16" s="112"/>
      <c r="C16" s="112" t="str">
        <f>CONCATENATE((IF(OR(E9="",E9="NA"),"",E9)),", ",(IF(OR(A17="",A17="NA"),"",A17)),".",(IF(OR(C17="",C17="NA"),"",C17)),", near ",(IF(OR(C22="",C22="NA"),"",C22)),", ",(IF(OR(C19="",C19="NA"),"",C19)),", ",(IF(OR(C18="",C18="NA"),"",C18)),", ",(IF(OR(G19="",G19="NA"),"",G19)),", ",(IF(OR(C20="",C20="NA"),"",C20)),", ",(IF(OR(C21="",C21="NA"),"",C21)),", ",(IF(OR(G20="",G20="NA"),"",G20))," - ",(IF(OR(G21="",G21="NA"),"",G21)),".")</f>
        <v>Galaxy Heights Tower I &amp; III, CTS No.3525 (Pt), Plot No. C-2, Existing Building Name - Maharashtra Police Cooperative Housing Federation Limited, near Mansarovar building, Abdul Hamig Marg, Dadasaheb Gaikwad Nagar, Malvani, Malad (W), Borivali, Mumbai - 400095.</v>
      </c>
      <c r="D16" s="112"/>
      <c r="E16" s="112"/>
      <c r="F16" s="112"/>
      <c r="G16" s="112"/>
      <c r="H16" s="112"/>
    </row>
    <row r="17" spans="1:8" ht="32.25" customHeight="1" x14ac:dyDescent="0.35">
      <c r="A17" s="112" t="s">
        <v>169</v>
      </c>
      <c r="B17" s="112"/>
      <c r="C17" s="112" t="s">
        <v>181</v>
      </c>
      <c r="D17" s="112"/>
      <c r="E17" s="112"/>
      <c r="F17" s="112"/>
      <c r="G17" s="112"/>
      <c r="H17" s="112"/>
    </row>
    <row r="18" spans="1:8" ht="15.75" customHeight="1" x14ac:dyDescent="0.35">
      <c r="A18" s="112" t="s">
        <v>164</v>
      </c>
      <c r="B18" s="112"/>
      <c r="C18" s="112" t="s">
        <v>170</v>
      </c>
      <c r="D18" s="112"/>
      <c r="E18" s="112"/>
      <c r="F18" s="112"/>
      <c r="G18" s="112"/>
      <c r="H18" s="112"/>
    </row>
    <row r="19" spans="1:8" x14ac:dyDescent="0.35">
      <c r="A19" s="74" t="s">
        <v>11</v>
      </c>
      <c r="B19" s="74"/>
      <c r="C19" s="112" t="s">
        <v>182</v>
      </c>
      <c r="D19" s="113"/>
      <c r="E19" s="74" t="s">
        <v>71</v>
      </c>
      <c r="F19" s="74"/>
      <c r="G19" s="112" t="s">
        <v>171</v>
      </c>
      <c r="H19" s="112"/>
    </row>
    <row r="20" spans="1:8" x14ac:dyDescent="0.35">
      <c r="A20" s="118" t="s">
        <v>13</v>
      </c>
      <c r="B20" s="118"/>
      <c r="C20" s="112" t="s">
        <v>173</v>
      </c>
      <c r="D20" s="112"/>
      <c r="E20" s="74" t="s">
        <v>12</v>
      </c>
      <c r="F20" s="74"/>
      <c r="G20" s="178" t="s">
        <v>172</v>
      </c>
      <c r="H20" s="178"/>
    </row>
    <row r="21" spans="1:8" x14ac:dyDescent="0.35">
      <c r="A21" s="118" t="s">
        <v>72</v>
      </c>
      <c r="B21" s="118"/>
      <c r="C21" s="112" t="s">
        <v>174</v>
      </c>
      <c r="D21" s="112"/>
      <c r="E21" s="74" t="s">
        <v>14</v>
      </c>
      <c r="F21" s="74"/>
      <c r="G21" s="112">
        <v>400095</v>
      </c>
      <c r="H21" s="112"/>
    </row>
    <row r="22" spans="1:8" ht="32.25" customHeight="1" x14ac:dyDescent="0.35">
      <c r="A22" s="118" t="s">
        <v>122</v>
      </c>
      <c r="B22" s="118"/>
      <c r="C22" s="112" t="s">
        <v>183</v>
      </c>
      <c r="D22" s="112"/>
      <c r="E22" s="74" t="s">
        <v>15</v>
      </c>
      <c r="F22" s="74"/>
      <c r="G22" s="112" t="s">
        <v>175</v>
      </c>
      <c r="H22" s="112"/>
    </row>
    <row r="23" spans="1:8" ht="15" customHeight="1" x14ac:dyDescent="0.35">
      <c r="A23" s="74" t="s">
        <v>74</v>
      </c>
      <c r="B23" s="74"/>
      <c r="C23" s="74"/>
      <c r="D23" s="74"/>
      <c r="E23" s="113" t="s">
        <v>16</v>
      </c>
      <c r="F23" s="113"/>
      <c r="G23" s="113"/>
      <c r="H23" s="113"/>
    </row>
    <row r="24" spans="1:8" ht="18.75" customHeight="1" x14ac:dyDescent="0.35">
      <c r="A24" s="74"/>
      <c r="B24" s="74"/>
      <c r="C24" s="74"/>
      <c r="D24" s="74"/>
      <c r="E24" s="113"/>
      <c r="F24" s="113"/>
      <c r="G24" s="113"/>
      <c r="H24" s="113"/>
    </row>
    <row r="25" spans="1:8" ht="15" customHeight="1" x14ac:dyDescent="0.35">
      <c r="A25" s="74" t="s">
        <v>17</v>
      </c>
      <c r="B25" s="74"/>
      <c r="C25" s="74"/>
      <c r="D25" s="74"/>
      <c r="E25" s="112" t="s">
        <v>18</v>
      </c>
      <c r="F25" s="112"/>
      <c r="G25" s="112"/>
      <c r="H25" s="112"/>
    </row>
    <row r="26" spans="1:8" ht="15" customHeight="1" x14ac:dyDescent="0.35">
      <c r="A26" s="118" t="s">
        <v>19</v>
      </c>
      <c r="B26" s="118"/>
      <c r="C26" s="118"/>
      <c r="D26" s="118"/>
      <c r="E26" s="112" t="str">
        <f>IF(AND(G20="Mumbai"),"Upper Class","Middle Class")</f>
        <v>Upper Class</v>
      </c>
      <c r="F26" s="112"/>
      <c r="G26" s="112"/>
      <c r="H26" s="112"/>
    </row>
    <row r="27" spans="1:8" x14ac:dyDescent="0.35">
      <c r="A27" s="118" t="s">
        <v>20</v>
      </c>
      <c r="B27" s="118"/>
      <c r="C27" s="118"/>
      <c r="D27" s="118"/>
      <c r="E27" s="112" t="s">
        <v>21</v>
      </c>
      <c r="F27" s="112"/>
      <c r="G27" s="112"/>
      <c r="H27" s="112"/>
    </row>
    <row r="28" spans="1:8" ht="15.75" customHeight="1" x14ac:dyDescent="0.35">
      <c r="A28" s="118" t="s">
        <v>22</v>
      </c>
      <c r="B28" s="118"/>
      <c r="C28" s="118"/>
      <c r="D28" s="118"/>
      <c r="E28" s="112" t="str">
        <f>IF(AND(G20="Mumbai"),"Developed","Developing")</f>
        <v>Developed</v>
      </c>
      <c r="F28" s="112"/>
      <c r="G28" s="112"/>
      <c r="H28" s="112"/>
    </row>
    <row r="29" spans="1:8" x14ac:dyDescent="0.35">
      <c r="A29" s="118" t="s">
        <v>23</v>
      </c>
      <c r="B29" s="118"/>
      <c r="C29" s="118"/>
      <c r="D29" s="118"/>
      <c r="E29" s="112" t="s">
        <v>24</v>
      </c>
      <c r="F29" s="112"/>
      <c r="G29" s="112"/>
      <c r="H29" s="112"/>
    </row>
    <row r="30" spans="1:8" ht="15.75" customHeight="1" x14ac:dyDescent="0.35">
      <c r="A30" s="118" t="s">
        <v>79</v>
      </c>
      <c r="B30" s="118"/>
      <c r="C30" s="118"/>
      <c r="D30" s="118"/>
      <c r="E30" s="112" t="s">
        <v>80</v>
      </c>
      <c r="F30" s="112"/>
      <c r="G30" s="112"/>
      <c r="H30" s="112"/>
    </row>
    <row r="31" spans="1:8" ht="15" customHeight="1" x14ac:dyDescent="0.35">
      <c r="A31" s="118" t="s">
        <v>32</v>
      </c>
      <c r="B31" s="118"/>
      <c r="C31" s="118"/>
      <c r="D31" s="118"/>
      <c r="E31" s="112" t="s">
        <v>190</v>
      </c>
      <c r="F31" s="112"/>
      <c r="G31" s="112"/>
      <c r="H31" s="112"/>
    </row>
    <row r="32" spans="1:8" ht="15.75" customHeight="1" x14ac:dyDescent="0.35">
      <c r="A32" s="118" t="s">
        <v>90</v>
      </c>
      <c r="B32" s="118"/>
      <c r="C32" s="118"/>
      <c r="D32" s="118"/>
      <c r="E32" s="112" t="s">
        <v>33</v>
      </c>
      <c r="F32" s="112"/>
      <c r="G32" s="112"/>
      <c r="H32" s="112"/>
    </row>
    <row r="33" spans="1:8" s="20" customFormat="1" x14ac:dyDescent="0.35">
      <c r="A33" s="180" t="s">
        <v>91</v>
      </c>
      <c r="B33" s="180"/>
      <c r="C33" s="177" t="s">
        <v>262</v>
      </c>
      <c r="D33" s="177"/>
      <c r="E33" s="177"/>
      <c r="F33" s="177" t="s">
        <v>30</v>
      </c>
      <c r="G33" s="177"/>
      <c r="H33" s="177"/>
    </row>
    <row r="34" spans="1:8" s="20" customFormat="1" x14ac:dyDescent="0.35">
      <c r="A34" s="179" t="s">
        <v>25</v>
      </c>
      <c r="B34" s="179" t="s">
        <v>29</v>
      </c>
      <c r="C34" s="181" t="s">
        <v>29</v>
      </c>
      <c r="D34" s="181"/>
      <c r="E34" s="181"/>
      <c r="F34" s="181" t="s">
        <v>185</v>
      </c>
      <c r="G34" s="181"/>
      <c r="H34" s="181"/>
    </row>
    <row r="35" spans="1:8" ht="29.25" customHeight="1" x14ac:dyDescent="0.35">
      <c r="A35" s="182" t="s">
        <v>26</v>
      </c>
      <c r="B35" s="182" t="s">
        <v>29</v>
      </c>
      <c r="C35" s="182" t="s">
        <v>29</v>
      </c>
      <c r="D35" s="182"/>
      <c r="E35" s="182"/>
      <c r="F35" s="183" t="s">
        <v>184</v>
      </c>
      <c r="G35" s="183"/>
      <c r="H35" s="183"/>
    </row>
    <row r="36" spans="1:8" s="20" customFormat="1" x14ac:dyDescent="0.35">
      <c r="A36" s="179" t="s">
        <v>28</v>
      </c>
      <c r="B36" s="179" t="s">
        <v>29</v>
      </c>
      <c r="C36" s="181" t="s">
        <v>29</v>
      </c>
      <c r="D36" s="181"/>
      <c r="E36" s="181"/>
      <c r="F36" s="83" t="s">
        <v>186</v>
      </c>
      <c r="G36" s="83"/>
      <c r="H36" s="83"/>
    </row>
    <row r="37" spans="1:8" x14ac:dyDescent="0.35">
      <c r="A37" s="179" t="s">
        <v>27</v>
      </c>
      <c r="B37" s="179" t="s">
        <v>29</v>
      </c>
      <c r="C37" s="181" t="s">
        <v>29</v>
      </c>
      <c r="D37" s="181"/>
      <c r="E37" s="181"/>
      <c r="F37" s="181" t="s">
        <v>176</v>
      </c>
      <c r="G37" s="181"/>
      <c r="H37" s="181"/>
    </row>
    <row r="38" spans="1:8" x14ac:dyDescent="0.35">
      <c r="A38" s="113" t="s">
        <v>31</v>
      </c>
      <c r="B38" s="113"/>
      <c r="C38" s="113"/>
      <c r="D38" s="113"/>
      <c r="E38" s="113"/>
      <c r="F38" s="113"/>
      <c r="G38" s="113"/>
      <c r="H38" s="113"/>
    </row>
    <row r="39" spans="1:8" ht="15.75" customHeight="1" x14ac:dyDescent="0.35">
      <c r="A39" s="120" t="s">
        <v>242</v>
      </c>
      <c r="B39" s="120"/>
      <c r="C39" s="144" t="s">
        <v>243</v>
      </c>
      <c r="D39" s="145"/>
      <c r="E39" s="145"/>
      <c r="F39" s="145"/>
      <c r="G39" s="145"/>
      <c r="H39" s="146"/>
    </row>
    <row r="40" spans="1:8" x14ac:dyDescent="0.35">
      <c r="A40" s="120" t="s">
        <v>163</v>
      </c>
      <c r="B40" s="120"/>
      <c r="C40" s="151" t="s">
        <v>177</v>
      </c>
      <c r="D40" s="112"/>
      <c r="E40" s="112"/>
      <c r="F40" s="112"/>
      <c r="G40" s="112"/>
      <c r="H40" s="112"/>
    </row>
    <row r="41" spans="1:8" x14ac:dyDescent="0.35">
      <c r="A41" s="81" t="s">
        <v>244</v>
      </c>
      <c r="B41" s="81"/>
      <c r="C41" s="81"/>
      <c r="D41" s="81"/>
      <c r="E41" s="81"/>
      <c r="F41" s="81"/>
      <c r="G41" s="81"/>
      <c r="H41" s="81"/>
    </row>
    <row r="42" spans="1:8" x14ac:dyDescent="0.35">
      <c r="A42" s="118" t="s">
        <v>34</v>
      </c>
      <c r="B42" s="118"/>
      <c r="C42" s="118"/>
      <c r="D42" s="118"/>
      <c r="E42" s="148">
        <v>11876.2</v>
      </c>
      <c r="F42" s="148"/>
      <c r="G42" s="148"/>
      <c r="H42" s="148"/>
    </row>
    <row r="43" spans="1:8" x14ac:dyDescent="0.35">
      <c r="A43" s="118" t="s">
        <v>35</v>
      </c>
      <c r="B43" s="118"/>
      <c r="C43" s="118"/>
      <c r="D43" s="118"/>
      <c r="E43" s="150">
        <v>3</v>
      </c>
      <c r="F43" s="150"/>
      <c r="G43" s="150"/>
      <c r="H43" s="150"/>
    </row>
    <row r="44" spans="1:8" x14ac:dyDescent="0.35">
      <c r="A44" s="118" t="s">
        <v>36</v>
      </c>
      <c r="B44" s="118"/>
      <c r="C44" s="118"/>
      <c r="D44" s="118"/>
      <c r="E44" s="150">
        <f>E46/E42-E43</f>
        <v>0.52798875061046413</v>
      </c>
      <c r="F44" s="150"/>
      <c r="G44" s="150"/>
      <c r="H44" s="150"/>
    </row>
    <row r="45" spans="1:8" x14ac:dyDescent="0.35">
      <c r="A45" s="118" t="s">
        <v>37</v>
      </c>
      <c r="B45" s="118"/>
      <c r="C45" s="118"/>
      <c r="D45" s="118"/>
      <c r="E45" s="150">
        <f>E43+E44</f>
        <v>3.5279887506104641</v>
      </c>
      <c r="F45" s="150"/>
      <c r="G45" s="150"/>
      <c r="H45" s="150"/>
    </row>
    <row r="46" spans="1:8" x14ac:dyDescent="0.35">
      <c r="A46" s="118" t="s">
        <v>89</v>
      </c>
      <c r="B46" s="118"/>
      <c r="C46" s="118"/>
      <c r="D46" s="118"/>
      <c r="E46" s="152">
        <v>41899.1</v>
      </c>
      <c r="F46" s="152"/>
      <c r="G46" s="152"/>
      <c r="H46" s="152"/>
    </row>
    <row r="47" spans="1:8" x14ac:dyDescent="0.35">
      <c r="A47" s="113" t="s">
        <v>38</v>
      </c>
      <c r="B47" s="113"/>
      <c r="C47" s="113"/>
      <c r="D47" s="113"/>
      <c r="E47" s="123" t="s">
        <v>280</v>
      </c>
      <c r="F47" s="123"/>
      <c r="G47" s="123"/>
      <c r="H47" s="123"/>
    </row>
    <row r="48" spans="1:8" x14ac:dyDescent="0.35">
      <c r="A48" s="147" t="s">
        <v>245</v>
      </c>
      <c r="B48" s="147"/>
      <c r="C48" s="147"/>
      <c r="D48" s="147"/>
      <c r="E48" s="147"/>
      <c r="F48" s="147"/>
      <c r="G48" s="147"/>
      <c r="H48" s="147"/>
    </row>
    <row r="49" spans="1:8" x14ac:dyDescent="0.35">
      <c r="A49" s="118" t="s">
        <v>34</v>
      </c>
      <c r="B49" s="118"/>
      <c r="C49" s="118"/>
      <c r="D49" s="118"/>
      <c r="E49" s="148">
        <v>11876.2</v>
      </c>
      <c r="F49" s="148"/>
      <c r="G49" s="148"/>
      <c r="H49" s="148"/>
    </row>
    <row r="50" spans="1:8" x14ac:dyDescent="0.35">
      <c r="A50" s="118" t="s">
        <v>35</v>
      </c>
      <c r="B50" s="118"/>
      <c r="C50" s="118"/>
      <c r="D50" s="118"/>
      <c r="E50" s="149">
        <v>3</v>
      </c>
      <c r="F50" s="149"/>
      <c r="G50" s="149"/>
      <c r="H50" s="149"/>
    </row>
    <row r="51" spans="1:8" x14ac:dyDescent="0.35">
      <c r="A51" s="118" t="s">
        <v>36</v>
      </c>
      <c r="B51" s="118"/>
      <c r="C51" s="118"/>
      <c r="D51" s="118"/>
      <c r="E51" s="150">
        <f>E53/E49-E50</f>
        <v>1.4642461393374981</v>
      </c>
      <c r="F51" s="150"/>
      <c r="G51" s="150"/>
      <c r="H51" s="150"/>
    </row>
    <row r="52" spans="1:8" x14ac:dyDescent="0.35">
      <c r="A52" s="118" t="s">
        <v>37</v>
      </c>
      <c r="B52" s="118"/>
      <c r="C52" s="118"/>
      <c r="D52" s="118"/>
      <c r="E52" s="150">
        <f>E50+E51</f>
        <v>4.4642461393374981</v>
      </c>
      <c r="F52" s="150"/>
      <c r="G52" s="150"/>
      <c r="H52" s="150"/>
    </row>
    <row r="53" spans="1:8" x14ac:dyDescent="0.35">
      <c r="A53" s="118" t="s">
        <v>89</v>
      </c>
      <c r="B53" s="118"/>
      <c r="C53" s="118"/>
      <c r="D53" s="118"/>
      <c r="E53" s="153">
        <v>53018.28</v>
      </c>
      <c r="F53" s="153"/>
      <c r="G53" s="153"/>
      <c r="H53" s="153"/>
    </row>
    <row r="54" spans="1:8" x14ac:dyDescent="0.35">
      <c r="A54" s="113" t="s">
        <v>38</v>
      </c>
      <c r="B54" s="113"/>
      <c r="C54" s="113"/>
      <c r="D54" s="113"/>
      <c r="E54" s="123" t="s">
        <v>281</v>
      </c>
      <c r="F54" s="123"/>
      <c r="G54" s="123"/>
      <c r="H54" s="123"/>
    </row>
    <row r="55" spans="1:8" x14ac:dyDescent="0.35">
      <c r="A55" s="147" t="s">
        <v>39</v>
      </c>
      <c r="B55" s="147"/>
      <c r="C55" s="147"/>
      <c r="D55" s="147"/>
      <c r="E55" s="147"/>
      <c r="F55" s="147"/>
      <c r="G55" s="147"/>
      <c r="H55" s="147"/>
    </row>
    <row r="56" spans="1:8" x14ac:dyDescent="0.35">
      <c r="A56" s="74" t="s">
        <v>151</v>
      </c>
      <c r="B56" s="74"/>
      <c r="C56" s="81" t="s">
        <v>188</v>
      </c>
      <c r="D56" s="81"/>
      <c r="E56" s="81"/>
      <c r="F56" s="81"/>
      <c r="G56" s="81"/>
      <c r="H56" s="81"/>
    </row>
    <row r="57" spans="1:8" ht="15.75" customHeight="1" x14ac:dyDescent="0.35">
      <c r="A57" s="158" t="s">
        <v>240</v>
      </c>
      <c r="B57" s="158"/>
      <c r="C57" s="158"/>
      <c r="D57" s="158"/>
      <c r="E57" s="158"/>
      <c r="F57" s="158"/>
      <c r="G57" s="158"/>
      <c r="H57" s="158"/>
    </row>
    <row r="58" spans="1:8" x14ac:dyDescent="0.35">
      <c r="A58" s="74" t="s">
        <v>259</v>
      </c>
      <c r="B58" s="74"/>
      <c r="C58" s="74" t="s">
        <v>191</v>
      </c>
      <c r="D58" s="74"/>
      <c r="E58" s="74"/>
      <c r="F58" s="18" t="s">
        <v>41</v>
      </c>
      <c r="G58" s="126">
        <v>45050</v>
      </c>
      <c r="H58" s="74"/>
    </row>
    <row r="59" spans="1:8" s="21" customFormat="1" x14ac:dyDescent="0.35">
      <c r="A59" s="74" t="s">
        <v>260</v>
      </c>
      <c r="B59" s="74"/>
      <c r="C59" s="74" t="str">
        <f>C58</f>
        <v>MHADA-64/1081/2023</v>
      </c>
      <c r="D59" s="74"/>
      <c r="E59" s="74"/>
      <c r="F59" s="18" t="s">
        <v>41</v>
      </c>
      <c r="G59" s="126">
        <v>45050</v>
      </c>
      <c r="H59" s="74"/>
    </row>
    <row r="60" spans="1:8" ht="48" customHeight="1" x14ac:dyDescent="0.35">
      <c r="A60" s="74" t="s">
        <v>323</v>
      </c>
      <c r="B60" s="74"/>
      <c r="C60" s="75" t="s">
        <v>319</v>
      </c>
      <c r="D60" s="123"/>
      <c r="E60" s="123"/>
      <c r="F60" s="18" t="s">
        <v>255</v>
      </c>
      <c r="G60" s="126" t="s">
        <v>320</v>
      </c>
      <c r="H60" s="74"/>
    </row>
    <row r="61" spans="1:8" ht="197.5" customHeight="1" x14ac:dyDescent="0.35">
      <c r="A61" s="74"/>
      <c r="B61" s="74"/>
      <c r="C61" s="74" t="s">
        <v>321</v>
      </c>
      <c r="D61" s="74"/>
      <c r="E61" s="74"/>
      <c r="F61" s="74"/>
      <c r="G61" s="74"/>
      <c r="H61" s="74"/>
    </row>
    <row r="62" spans="1:8" x14ac:dyDescent="0.35">
      <c r="A62" s="159" t="s">
        <v>246</v>
      </c>
      <c r="B62" s="160"/>
      <c r="C62" s="160"/>
      <c r="D62" s="160"/>
      <c r="E62" s="160"/>
      <c r="F62" s="160"/>
      <c r="G62" s="160"/>
      <c r="H62" s="161"/>
    </row>
    <row r="63" spans="1:8" s="21" customFormat="1" x14ac:dyDescent="0.35">
      <c r="A63" s="154" t="s">
        <v>40</v>
      </c>
      <c r="B63" s="155"/>
      <c r="C63" s="154" t="s">
        <v>261</v>
      </c>
      <c r="D63" s="156"/>
      <c r="E63" s="155"/>
      <c r="F63" s="18" t="s">
        <v>41</v>
      </c>
      <c r="G63" s="157">
        <v>45499</v>
      </c>
      <c r="H63" s="155"/>
    </row>
    <row r="64" spans="1:8" s="21" customFormat="1" x14ac:dyDescent="0.35">
      <c r="A64" s="154" t="s">
        <v>298</v>
      </c>
      <c r="B64" s="155"/>
      <c r="C64" s="154" t="str">
        <f>C63</f>
        <v>Mhada-64/1318/2024</v>
      </c>
      <c r="D64" s="156"/>
      <c r="E64" s="155"/>
      <c r="F64" s="18" t="s">
        <v>41</v>
      </c>
      <c r="G64" s="157">
        <f>G63</f>
        <v>45499</v>
      </c>
      <c r="H64" s="155"/>
    </row>
    <row r="65" spans="1:14" ht="19.5" customHeight="1" x14ac:dyDescent="0.35">
      <c r="A65" s="74" t="s">
        <v>323</v>
      </c>
      <c r="B65" s="74"/>
      <c r="C65" s="75" t="s">
        <v>322</v>
      </c>
      <c r="D65" s="75"/>
      <c r="E65" s="75"/>
      <c r="F65" s="18" t="s">
        <v>295</v>
      </c>
      <c r="G65" s="126">
        <v>45799</v>
      </c>
      <c r="H65" s="74"/>
    </row>
    <row r="66" spans="1:14" ht="33" customHeight="1" x14ac:dyDescent="0.35">
      <c r="A66" s="74"/>
      <c r="B66" s="74"/>
      <c r="C66" s="75"/>
      <c r="D66" s="75"/>
      <c r="E66" s="75"/>
      <c r="F66" s="18" t="s">
        <v>121</v>
      </c>
      <c r="G66" s="126">
        <v>45878</v>
      </c>
      <c r="H66" s="74"/>
    </row>
    <row r="67" spans="1:14" ht="174.5" customHeight="1" x14ac:dyDescent="0.35">
      <c r="A67" s="74"/>
      <c r="B67" s="74"/>
      <c r="C67" s="74" t="s">
        <v>324</v>
      </c>
      <c r="D67" s="74"/>
      <c r="E67" s="74"/>
      <c r="F67" s="74"/>
      <c r="G67" s="74"/>
      <c r="H67" s="74"/>
    </row>
    <row r="68" spans="1:14" x14ac:dyDescent="0.35">
      <c r="A68" s="74" t="s">
        <v>284</v>
      </c>
      <c r="B68" s="74"/>
      <c r="C68" s="75" t="s">
        <v>285</v>
      </c>
      <c r="D68" s="123"/>
      <c r="E68" s="123"/>
      <c r="F68" s="18" t="s">
        <v>41</v>
      </c>
      <c r="G68" s="126">
        <v>44783</v>
      </c>
      <c r="H68" s="74"/>
    </row>
    <row r="69" spans="1:14" ht="63.65" customHeight="1" x14ac:dyDescent="0.35">
      <c r="A69" s="74"/>
      <c r="B69" s="74"/>
      <c r="C69" s="74" t="s">
        <v>286</v>
      </c>
      <c r="D69" s="74"/>
      <c r="E69" s="74"/>
      <c r="F69" s="74"/>
      <c r="G69" s="74"/>
      <c r="H69" s="74"/>
      <c r="I69" s="22"/>
    </row>
    <row r="70" spans="1:14" x14ac:dyDescent="0.35">
      <c r="A70" s="135" t="s">
        <v>42</v>
      </c>
      <c r="B70" s="136"/>
      <c r="C70" s="135" t="s">
        <v>103</v>
      </c>
      <c r="D70" s="137"/>
      <c r="E70" s="136"/>
      <c r="F70" s="41" t="s">
        <v>41</v>
      </c>
      <c r="G70" s="105" t="s">
        <v>29</v>
      </c>
      <c r="H70" s="106"/>
      <c r="I70" s="22"/>
    </row>
    <row r="71" spans="1:14" x14ac:dyDescent="0.35">
      <c r="A71" s="111" t="s">
        <v>44</v>
      </c>
      <c r="B71" s="111"/>
      <c r="C71" s="111"/>
      <c r="D71" s="111"/>
      <c r="E71" s="111"/>
      <c r="F71" s="111"/>
      <c r="G71" s="111"/>
      <c r="H71" s="111"/>
    </row>
    <row r="72" spans="1:14" ht="47.15" customHeight="1" x14ac:dyDescent="0.35">
      <c r="A72" s="74" t="s">
        <v>299</v>
      </c>
      <c r="B72" s="74"/>
      <c r="C72" s="74"/>
      <c r="D72" s="187">
        <f>E46
+E53</f>
        <v>94917.38</v>
      </c>
      <c r="E72" s="123"/>
      <c r="F72" s="123"/>
      <c r="G72" s="123"/>
      <c r="H72" s="123"/>
      <c r="I72" s="19">
        <f>124+71</f>
        <v>195</v>
      </c>
      <c r="J72" s="19">
        <f>591+501</f>
        <v>1092</v>
      </c>
    </row>
    <row r="73" spans="1:14" ht="35.25" hidden="1" customHeight="1" x14ac:dyDescent="0.35">
      <c r="A73" s="74" t="s">
        <v>279</v>
      </c>
      <c r="B73" s="74"/>
      <c r="C73" s="74"/>
      <c r="D73" s="123">
        <v>24577.53</v>
      </c>
      <c r="E73" s="123"/>
      <c r="F73" s="123"/>
      <c r="G73" s="123"/>
      <c r="H73" s="123"/>
    </row>
    <row r="74" spans="1:14" x14ac:dyDescent="0.35">
      <c r="A74" s="112" t="s">
        <v>45</v>
      </c>
      <c r="B74" s="113"/>
      <c r="C74" s="113"/>
      <c r="D74" s="113" t="s">
        <v>311</v>
      </c>
      <c r="E74" s="113"/>
      <c r="F74" s="113"/>
      <c r="G74" s="113"/>
      <c r="H74" s="113"/>
    </row>
    <row r="75" spans="1:14" ht="31.5" customHeight="1" x14ac:dyDescent="0.35">
      <c r="A75" s="185" t="s">
        <v>46</v>
      </c>
      <c r="B75" s="186"/>
      <c r="C75" s="124"/>
      <c r="D75" s="184" t="s">
        <v>250</v>
      </c>
      <c r="E75" s="125"/>
      <c r="F75" s="125"/>
      <c r="G75" s="125"/>
      <c r="H75" s="125"/>
    </row>
    <row r="76" spans="1:14" ht="18.75" customHeight="1" x14ac:dyDescent="0.35">
      <c r="A76" s="127" t="s">
        <v>87</v>
      </c>
      <c r="B76" s="128"/>
      <c r="C76" s="129"/>
      <c r="D76" s="124" t="s">
        <v>254</v>
      </c>
      <c r="E76" s="125"/>
      <c r="F76" s="125"/>
      <c r="G76" s="125"/>
      <c r="H76" s="125"/>
      <c r="J76" s="23"/>
      <c r="K76" s="22"/>
      <c r="N76" s="22"/>
    </row>
    <row r="77" spans="1:14" ht="18" customHeight="1" x14ac:dyDescent="0.35">
      <c r="A77" s="130"/>
      <c r="B77" s="122"/>
      <c r="C77" s="131"/>
      <c r="D77" s="122" t="s">
        <v>253</v>
      </c>
      <c r="E77" s="122"/>
      <c r="F77" s="122"/>
      <c r="G77" s="122"/>
      <c r="H77" s="122"/>
      <c r="N77" s="22"/>
    </row>
    <row r="78" spans="1:14" x14ac:dyDescent="0.35">
      <c r="A78" s="130"/>
      <c r="B78" s="122"/>
      <c r="C78" s="131"/>
      <c r="D78" s="122" t="s">
        <v>251</v>
      </c>
      <c r="E78" s="122"/>
      <c r="F78" s="122"/>
      <c r="G78" s="122"/>
      <c r="H78" s="122"/>
      <c r="J78" s="24"/>
      <c r="K78" s="24"/>
    </row>
    <row r="79" spans="1:14" ht="15" customHeight="1" x14ac:dyDescent="0.35">
      <c r="A79" s="132"/>
      <c r="B79" s="133"/>
      <c r="C79" s="134"/>
      <c r="D79" s="122" t="s">
        <v>252</v>
      </c>
      <c r="E79" s="122"/>
      <c r="F79" s="122"/>
      <c r="G79" s="122"/>
      <c r="H79" s="122"/>
    </row>
    <row r="80" spans="1:14" ht="51.75" customHeight="1" x14ac:dyDescent="0.35">
      <c r="A80" s="118" t="s">
        <v>43</v>
      </c>
      <c r="B80" s="118"/>
      <c r="C80" s="118"/>
      <c r="D80" s="74" t="s">
        <v>289</v>
      </c>
      <c r="E80" s="74"/>
      <c r="F80" s="74"/>
      <c r="G80" s="74"/>
      <c r="H80" s="74"/>
      <c r="I80" s="25"/>
      <c r="J80" s="25"/>
      <c r="K80" s="25"/>
      <c r="L80" s="25"/>
      <c r="M80" s="25"/>
      <c r="N80" s="25"/>
    </row>
    <row r="81" spans="1:12" x14ac:dyDescent="0.35">
      <c r="A81" s="118" t="s">
        <v>85</v>
      </c>
      <c r="B81" s="118"/>
      <c r="C81" s="118"/>
      <c r="D81" s="172" t="str">
        <f>(IF(G70="NA","60 Years After Completion",IF(G70&lt;&gt;"NA",""&amp;60-ROUNDDOWN((E3-G70)/360,0)&amp;" Years"," ")))</f>
        <v>60 Years After Completion</v>
      </c>
      <c r="E81" s="172"/>
      <c r="F81" s="172"/>
      <c r="G81" s="172"/>
      <c r="H81" s="172"/>
      <c r="J81" s="24"/>
    </row>
    <row r="82" spans="1:12" x14ac:dyDescent="0.35">
      <c r="A82" s="118" t="s">
        <v>86</v>
      </c>
      <c r="B82" s="118"/>
      <c r="C82" s="118"/>
      <c r="D82" s="74" t="s">
        <v>24</v>
      </c>
      <c r="E82" s="74"/>
      <c r="F82" s="74"/>
      <c r="G82" s="74"/>
      <c r="H82" s="74"/>
    </row>
    <row r="83" spans="1:12" ht="111.75" customHeight="1" x14ac:dyDescent="0.35">
      <c r="A83" s="118" t="s">
        <v>73</v>
      </c>
      <c r="B83" s="118"/>
      <c r="C83" s="118"/>
      <c r="D83" s="112" t="s">
        <v>283</v>
      </c>
      <c r="E83" s="74"/>
      <c r="F83" s="74"/>
      <c r="G83" s="74"/>
      <c r="H83" s="74"/>
      <c r="I83" s="66" t="s">
        <v>282</v>
      </c>
    </row>
    <row r="84" spans="1:12" x14ac:dyDescent="0.35">
      <c r="A84" s="74" t="s">
        <v>148</v>
      </c>
      <c r="B84" s="74"/>
      <c r="C84" s="74"/>
      <c r="D84" s="74" t="s">
        <v>29</v>
      </c>
      <c r="E84" s="74"/>
      <c r="F84" s="74"/>
      <c r="G84" s="74"/>
      <c r="H84" s="74"/>
    </row>
    <row r="85" spans="1:12" x14ac:dyDescent="0.35">
      <c r="A85" s="118" t="s">
        <v>84</v>
      </c>
      <c r="B85" s="118"/>
      <c r="C85" s="118"/>
      <c r="D85" s="112" t="str">
        <f ca="1">(IF(G91&gt;95%,"Nothing",IF(G91&gt;0%,"Cement, Aggregate, Steel, etc",IF(G91=0%,"Work not yet Started"))))</f>
        <v>Cement, Aggregate, Steel, etc</v>
      </c>
      <c r="E85" s="112"/>
      <c r="F85" s="112"/>
      <c r="G85" s="112"/>
      <c r="H85" s="112"/>
    </row>
    <row r="86" spans="1:12" ht="15.75" customHeight="1" thickBot="1" x14ac:dyDescent="0.4">
      <c r="A86" s="74" t="s">
        <v>116</v>
      </c>
      <c r="B86" s="74"/>
      <c r="C86" s="74"/>
      <c r="D86" s="112" t="str">
        <f ca="1">(IF(D85="Nothing","Yes",IF(D85="Cement, Aggregate, Steel, etc","Under Construction",IF(D85="Work not yet Started","Work not yet Started"))))</f>
        <v>Under Construction</v>
      </c>
      <c r="E86" s="112"/>
      <c r="F86" s="112" t="str">
        <f ca="1">(IF(D85="Nothing","Yes",IF(D85="Cement, Aggregate, Steel, etc","Under Construction",IF(D85="Work not yet Started","Work not yet Started"))))</f>
        <v>Under Construction</v>
      </c>
      <c r="G86" s="112"/>
      <c r="H86" s="112"/>
    </row>
    <row r="87" spans="1:12" x14ac:dyDescent="0.35">
      <c r="A87" s="80" t="s">
        <v>140</v>
      </c>
      <c r="B87" s="80"/>
      <c r="C87" s="80" t="s">
        <v>257</v>
      </c>
      <c r="D87" s="80"/>
      <c r="E87" s="80"/>
      <c r="F87" s="80"/>
      <c r="G87" s="80"/>
      <c r="H87" s="80"/>
      <c r="I87" s="72" t="str">
        <f ca="1">IF(D100=100%,"All work Completed. Possession granted to the Building.",IF(D99=100%,"All work Completed, Waiting for OC",I88&amp;""&amp;I89&amp;""&amp;J88&amp;""&amp;J87&amp;" "&amp;J89))</f>
        <v>Excavation, Plinth, RCC Slab, Brickwork Completed, Internal Plaster upto 21 Floor, External Plaster upto 18 Floor, Flooring upto 10 Floor, Painting upto 3 Floor Completed</v>
      </c>
      <c r="J87" s="45" t="str">
        <f ca="1">(IF(C93=(D88+F88+H88),"",IF(C93&gt;0,", RCC upto "&amp;C93&amp;" Slab","")))&amp;(IF(C94=H88,"",IF(C94&gt;0,", Brickwork upto "&amp;C94&amp;" Floor","")))&amp;(IF(C95=H88,"",IF(C95&gt;0,", Internal Plaster upto "&amp;C95&amp;" Floor","")))&amp;(IF(C96=H88,"",IF(C96&gt;0,", External Plaster upto "&amp;C96&amp;" Floor","")))&amp;(IF(C97=H88,"",IF(C97&gt;0,", Flooring upto "&amp;C97&amp;" Floor","")))&amp;(IF(C98=H88,"",IF(C98&gt;0,", Painting upto "&amp;C98&amp;" Floor","")))&amp;(IF(C99=H88,"",IF(C99&gt;0,", Finishing upto "&amp;C99&amp;" Floor","")))&amp;(IF(C100=H88,"",IF(C100&gt;0,", Possession upto "&amp;C100&amp;" Floor","")))</f>
        <v>, Internal Plaster upto 21 Floor, External Plaster upto 18 Floor, Flooring upto 10 Floor, Painting upto 3 Floor</v>
      </c>
    </row>
    <row r="88" spans="1:12" x14ac:dyDescent="0.35">
      <c r="A88" s="71" t="s">
        <v>142</v>
      </c>
      <c r="B88" s="71">
        <v>1</v>
      </c>
      <c r="C88" s="71" t="s">
        <v>70</v>
      </c>
      <c r="D88" s="71">
        <v>1</v>
      </c>
      <c r="E88" s="71" t="s">
        <v>69</v>
      </c>
      <c r="F88" s="71">
        <v>0</v>
      </c>
      <c r="G88" s="71" t="s">
        <v>78</v>
      </c>
      <c r="H88" s="71">
        <f ca="1">--TRIM(RIGHT(SUBSTITUTE(LEFT(C87,_xlfn.AGGREGATE(16,6,FIND({0,1,2,3,4,5,6,7,8,9},C87,ROW(INDIRECT("1:"&amp;LEN(C87)))),1))," ",REPT(" ",LEN(C87))),LEN(C87)))</f>
        <v>22</v>
      </c>
      <c r="I88" s="73" t="str">
        <f ca="1">IF(D91=100%,"Excavation","")&amp;IF(D92=100%,", Plinth","")&amp;IF(D93=100%,", RCC Slab","")&amp;IF(D94=100%,", Brickwork","")&amp;IF(D95=100%,", Internal Plaster","")&amp;IF(D96=100%,", External Plaster","")&amp;IF(D97=100%,", Flooring","")&amp;IF(D98=100%,", Painting","")&amp;IF(D99=100%,", Building common Amenities","")</f>
        <v>Excavation, Plinth, RCC Slab, Brickwork</v>
      </c>
      <c r="J88" s="47" t="str">
        <f ca="1">(IF(C91=0,"Work not yet Started.",IF(D91=25%,"Piling work in process",IF(D91=50%,"Excavation work in process",IF(D91=100%,"","0")))))&amp;(IF(C92=0%,"",IF(C92=J93,", Footing work is process",IF(C92=J94,", Footing work Completed",IF(C92=J95,", 1st Basement Completed",IF(C92=J96,", 1st &amp; 2nd Basement Completed",IF(C92=J97,", 1st to 3rd Basement Completed",IF(C92=J98,", 1st to 4th Basement Completed",IF(C92=J99,", Plinth work is process",IF(C92=J100,"","0"))))))))))</f>
        <v/>
      </c>
    </row>
    <row r="89" spans="1:12" ht="47" customHeight="1" x14ac:dyDescent="0.35">
      <c r="A89" s="81" t="s">
        <v>88</v>
      </c>
      <c r="B89" s="81"/>
      <c r="C89" s="80" t="str">
        <f ca="1">I87</f>
        <v>Excavation, Plinth, RCC Slab, Brickwork Completed, Internal Plaster upto 21 Floor, External Plaster upto 18 Floor, Flooring upto 10 Floor, Painting upto 3 Floor Completed</v>
      </c>
      <c r="D89" s="80"/>
      <c r="E89" s="80"/>
      <c r="F89" s="80"/>
      <c r="G89" s="80"/>
      <c r="H89" s="80"/>
      <c r="I89" s="73" t="str">
        <f ca="1">IF(I88&lt;&gt;""," Completed","")</f>
        <v xml:space="preserve"> Completed</v>
      </c>
      <c r="J89" s="47" t="str">
        <f ca="1">IF(J87&lt;&gt;"","Completed","")</f>
        <v>Completed</v>
      </c>
    </row>
    <row r="90" spans="1:12" ht="15.75" customHeight="1" x14ac:dyDescent="0.35">
      <c r="A90" s="82" t="s">
        <v>47</v>
      </c>
      <c r="B90" s="83"/>
      <c r="C90" s="49" t="s">
        <v>139</v>
      </c>
      <c r="D90" s="49" t="s">
        <v>81</v>
      </c>
      <c r="E90" s="83" t="s">
        <v>83</v>
      </c>
      <c r="F90" s="83"/>
      <c r="G90" s="83" t="s">
        <v>82</v>
      </c>
      <c r="H90" s="84"/>
      <c r="I90" s="14" t="s">
        <v>141</v>
      </c>
      <c r="J90" s="26">
        <f ca="1">H88*25%</f>
        <v>5.5</v>
      </c>
    </row>
    <row r="91" spans="1:12" ht="15.75" customHeight="1" x14ac:dyDescent="0.35">
      <c r="A91" s="83" t="s">
        <v>128</v>
      </c>
      <c r="B91" s="83"/>
      <c r="C91" s="70">
        <v>22</v>
      </c>
      <c r="D91" s="50">
        <f ca="1">((100/H88)*C91)/100</f>
        <v>1.0000000000000002</v>
      </c>
      <c r="E91" s="85">
        <f ca="1">(((C92/H88*10)+(40/(D88+F88+H88)*C93)+(7.5/(H88)*C94)+(7.5/(H88)*C95)+(10/H88*C96)+(10/H88*C97)+(5/H88*C98)+(5/H88*C99)+(5/H88*C100))/100)</f>
        <v>0.78068181818181825</v>
      </c>
      <c r="F91" s="85"/>
      <c r="G91" s="85">
        <f ca="1">((((C91/H88)*20)+((C92/H88)*25)+(30/(H88+F88+D88)*C93)+(5/H88*C94)+(5/H88*C95)+(5/H88*C96)+(5/H88*C97)+(0/H88*C98)+(0/H88*C99)+(5/H88*C100))/100)</f>
        <v>0.91136363636363626</v>
      </c>
      <c r="H91" s="85"/>
      <c r="I91" s="14" t="s">
        <v>98</v>
      </c>
      <c r="J91" s="27">
        <f ca="1">H88*50%</f>
        <v>11</v>
      </c>
    </row>
    <row r="92" spans="1:12" ht="15" customHeight="1" x14ac:dyDescent="0.35">
      <c r="A92" s="83" t="s">
        <v>48</v>
      </c>
      <c r="B92" s="83"/>
      <c r="C92" s="51">
        <v>22</v>
      </c>
      <c r="D92" s="50">
        <f ca="1">((100/H88)*C92)/100</f>
        <v>1.0000000000000002</v>
      </c>
      <c r="E92" s="85"/>
      <c r="F92" s="85"/>
      <c r="G92" s="85"/>
      <c r="H92" s="85"/>
      <c r="I92" s="14" t="s">
        <v>99</v>
      </c>
      <c r="J92" s="27">
        <f ca="1">H88</f>
        <v>22</v>
      </c>
    </row>
    <row r="93" spans="1:12" ht="15.75" customHeight="1" x14ac:dyDescent="0.35">
      <c r="A93" s="83" t="s">
        <v>129</v>
      </c>
      <c r="B93" s="83"/>
      <c r="C93" s="70">
        <v>23</v>
      </c>
      <c r="D93" s="50">
        <f ca="1">((100/(D88+F88+H88))*C93)/100</f>
        <v>1</v>
      </c>
      <c r="E93" s="85"/>
      <c r="F93" s="85"/>
      <c r="G93" s="85"/>
      <c r="H93" s="85"/>
      <c r="I93" s="14" t="s">
        <v>100</v>
      </c>
      <c r="J93" s="28">
        <f ca="1">(IF(B88&gt;1,(H88/(B88+2)),H88/4))</f>
        <v>5.5</v>
      </c>
    </row>
    <row r="94" spans="1:12" ht="15.75" customHeight="1" x14ac:dyDescent="0.35">
      <c r="A94" s="83" t="s">
        <v>136</v>
      </c>
      <c r="B94" s="83" t="s">
        <v>130</v>
      </c>
      <c r="C94" s="70">
        <v>22</v>
      </c>
      <c r="D94" s="50">
        <f ca="1">((100/H88)*C94)/100</f>
        <v>1.0000000000000002</v>
      </c>
      <c r="E94" s="85"/>
      <c r="F94" s="85"/>
      <c r="G94" s="85"/>
      <c r="H94" s="85"/>
      <c r="I94" s="14" t="s">
        <v>101</v>
      </c>
      <c r="J94" s="28">
        <f ca="1">(IF(B88&gt;1,(H88/(B88+2)+J93),H88/4+J93))</f>
        <v>11</v>
      </c>
    </row>
    <row r="95" spans="1:12" ht="15.75" customHeight="1" x14ac:dyDescent="0.35">
      <c r="A95" s="83" t="s">
        <v>137</v>
      </c>
      <c r="B95" s="83" t="s">
        <v>130</v>
      </c>
      <c r="C95" s="70">
        <v>21</v>
      </c>
      <c r="D95" s="50">
        <f ca="1">((100/H88)*C95)/100</f>
        <v>0.9545454545454547</v>
      </c>
      <c r="E95" s="85"/>
      <c r="F95" s="85"/>
      <c r="G95" s="85"/>
      <c r="H95" s="85"/>
      <c r="I95" s="14" t="s">
        <v>146</v>
      </c>
      <c r="J95" s="28">
        <f>(IF(B88&gt;1,(H88/(B88+2)+J94),0))</f>
        <v>0</v>
      </c>
      <c r="L95" s="19">
        <v>0</v>
      </c>
    </row>
    <row r="96" spans="1:12" x14ac:dyDescent="0.35">
      <c r="A96" s="83" t="s">
        <v>135</v>
      </c>
      <c r="B96" s="83" t="s">
        <v>132</v>
      </c>
      <c r="C96" s="70">
        <v>18</v>
      </c>
      <c r="D96" s="50">
        <f ca="1">((100/(H88))*C96)/100</f>
        <v>0.81818181818181823</v>
      </c>
      <c r="E96" s="85"/>
      <c r="F96" s="85"/>
      <c r="G96" s="85"/>
      <c r="H96" s="85"/>
      <c r="I96" s="14" t="s">
        <v>143</v>
      </c>
      <c r="J96" s="28">
        <f>(IF(B88&gt;2,(H88/(B88+2)+J95),0))</f>
        <v>0</v>
      </c>
    </row>
    <row r="97" spans="1:10" ht="15.75" customHeight="1" x14ac:dyDescent="0.35">
      <c r="A97" s="83" t="s">
        <v>131</v>
      </c>
      <c r="B97" s="83" t="s">
        <v>131</v>
      </c>
      <c r="C97" s="70">
        <v>10</v>
      </c>
      <c r="D97" s="50">
        <f ca="1">((100/H88)*C97)/100</f>
        <v>0.45454545454545459</v>
      </c>
      <c r="E97" s="85"/>
      <c r="F97" s="85"/>
      <c r="G97" s="85"/>
      <c r="H97" s="85"/>
      <c r="I97" s="14" t="s">
        <v>144</v>
      </c>
      <c r="J97" s="29">
        <f>(IF(B88&gt;3,(H88/(B88+2)+J96),0))</f>
        <v>0</v>
      </c>
    </row>
    <row r="98" spans="1:10" x14ac:dyDescent="0.35">
      <c r="A98" s="83" t="s">
        <v>138</v>
      </c>
      <c r="B98" s="83"/>
      <c r="C98" s="70">
        <v>3</v>
      </c>
      <c r="D98" s="50">
        <f ca="1">((100/H88)*C98)/100</f>
        <v>0.13636363636363635</v>
      </c>
      <c r="E98" s="85"/>
      <c r="F98" s="85"/>
      <c r="G98" s="85"/>
      <c r="H98" s="85"/>
      <c r="I98" s="14" t="s">
        <v>145</v>
      </c>
      <c r="J98" s="28">
        <f>(IF(B88&gt;4,(H88/(B88+2)+J97),0))</f>
        <v>0</v>
      </c>
    </row>
    <row r="99" spans="1:10" x14ac:dyDescent="0.35">
      <c r="A99" s="83" t="s">
        <v>133</v>
      </c>
      <c r="B99" s="83" t="s">
        <v>133</v>
      </c>
      <c r="C99" s="70">
        <v>0</v>
      </c>
      <c r="D99" s="50">
        <f ca="1">((100/(H88))*C99)/100</f>
        <v>0</v>
      </c>
      <c r="E99" s="85"/>
      <c r="F99" s="85"/>
      <c r="G99" s="85"/>
      <c r="H99" s="85"/>
      <c r="I99" s="14" t="s">
        <v>147</v>
      </c>
      <c r="J99" s="28">
        <f ca="1">(IF(B88=1,(H88/(B88+3)+J94),IF(B88=0,(H88/4+J94),IF(B88&gt;1,0))))</f>
        <v>16.5</v>
      </c>
    </row>
    <row r="100" spans="1:10" ht="15.75" customHeight="1" thickBot="1" x14ac:dyDescent="0.4">
      <c r="A100" s="83" t="s">
        <v>134</v>
      </c>
      <c r="B100" s="83"/>
      <c r="C100" s="70">
        <v>0</v>
      </c>
      <c r="D100" s="50">
        <f ca="1">((100/(H88))*C100)/100</f>
        <v>0</v>
      </c>
      <c r="E100" s="85"/>
      <c r="F100" s="85"/>
      <c r="G100" s="85"/>
      <c r="H100" s="85"/>
      <c r="I100" s="15" t="s">
        <v>102</v>
      </c>
      <c r="J100" s="30">
        <f ca="1">(IF(B88&gt;1.5,(H88/(B88+2)+J94+MAX(0,J95-J94)+MAX(0,J96-J95)+MAX(0,J97-J96)+MAX(0,J98-J97)+MAX(0,J99-J98)),IF(B88=1,(H88/(B88+3)+J99),IF(B88=0,H88/4+J99))))</f>
        <v>22</v>
      </c>
    </row>
    <row r="101" spans="1:10" x14ac:dyDescent="0.35">
      <c r="A101" s="80" t="s">
        <v>140</v>
      </c>
      <c r="B101" s="80"/>
      <c r="C101" s="80" t="str">
        <f>D78</f>
        <v>Tower I (Wing D to F) = B + G + 1st to 22nd Floor</v>
      </c>
      <c r="D101" s="80"/>
      <c r="E101" s="80"/>
      <c r="F101" s="80"/>
      <c r="G101" s="80"/>
      <c r="H101" s="80"/>
      <c r="I101" s="72" t="str">
        <f ca="1">IF(D114=100%,"All work Completed. Possession granted to the Building.",IF(D113=100%,"All work Completed, Waiting for OC",I102&amp;""&amp;I103&amp;""&amp;J102&amp;""&amp;J101&amp;" "&amp;J103))</f>
        <v>Excavation, Plinth, RCC Slab, Brickwork Completed, Internal Plaster upto 21 Floor, External Plaster upto 18 Floor, Flooring upto 10 Floor, Painting upto 3 Floor Completed</v>
      </c>
      <c r="J101" s="45" t="str">
        <f ca="1">(IF(C107=(D102+F102+H102),"",IF(C107&gt;0,", RCC upto "&amp;C107&amp;" Slab","")))&amp;(IF(C108=H102,"",IF(C108&gt;0,", Brickwork upto "&amp;C108&amp;" Floor","")))&amp;(IF(C109=H102,"",IF(C109&gt;0,", Internal Plaster upto "&amp;C109&amp;" Floor","")))&amp;(IF(C110=H102,"",IF(C110&gt;0,", External Plaster upto "&amp;C110&amp;" Floor","")))&amp;(IF(C111=H102,"",IF(C111&gt;0,", Flooring upto "&amp;C111&amp;" Floor","")))&amp;(IF(C112=H102,"",IF(C112&gt;0,", Painting upto "&amp;C112&amp;" Floor","")))&amp;(IF(C113=H102,"",IF(C113&gt;0,", Finishing upto "&amp;C113&amp;" Floor","")))&amp;(IF(C114=H102,"",IF(C114&gt;0,", Possession upto "&amp;C114&amp;" Floor","")))</f>
        <v>, Internal Plaster upto 21 Floor, External Plaster upto 18 Floor, Flooring upto 10 Floor, Painting upto 3 Floor</v>
      </c>
    </row>
    <row r="102" spans="1:10" x14ac:dyDescent="0.35">
      <c r="A102" s="71" t="s">
        <v>142</v>
      </c>
      <c r="B102" s="71">
        <v>1</v>
      </c>
      <c r="C102" s="71" t="s">
        <v>70</v>
      </c>
      <c r="D102" s="71">
        <v>1</v>
      </c>
      <c r="E102" s="71" t="s">
        <v>69</v>
      </c>
      <c r="F102" s="71">
        <v>0</v>
      </c>
      <c r="G102" s="71" t="s">
        <v>78</v>
      </c>
      <c r="H102" s="71">
        <f ca="1">--TRIM(RIGHT(SUBSTITUTE(LEFT(C101,_xlfn.AGGREGATE(16,6,FIND({0,1,2,3,4,5,6,7,8,9},C101,ROW(INDIRECT("1:"&amp;LEN(C101)))),1))," ",REPT(" ",LEN(C101))),LEN(C101)))</f>
        <v>22</v>
      </c>
      <c r="I102" s="73" t="str">
        <f ca="1">IF(D105=100%,"Excavation","")&amp;IF(D106=100%,", Plinth","")&amp;IF(D107=100%,", RCC Slab","")&amp;IF(D108=100%,", Brickwork","")&amp;IF(D109=100%,", Internal Plaster","")&amp;IF(D110=100%,", External Plaster","")&amp;IF(D111=100%,", Flooring","")&amp;IF(D112=100%,", Painting","")&amp;IF(D113=100%,", Building common Amenities","")</f>
        <v>Excavation, Plinth, RCC Slab, Brickwork</v>
      </c>
      <c r="J102" s="47" t="str">
        <f ca="1">(IF(C105=0,"Work not yet Started.",IF(D105=25%,"Piling work in process",IF(D105=50%,"Excavation work in process",IF(D105=100%,"","0")))))&amp;(IF(C106=0%,"",IF(C106=J107,", Footing work is process",IF(C106=J108,", Footing work Completed",IF(C106=J109,", 1st Basement Completed",IF(C106=J110,", 1st &amp; 2nd Basement Completed",IF(C106=J111,", 1st to 3rd Basement Completed",IF(C106=J112,", 1st to 4th Basement Completed",IF(C106=J113,", Plinth work is process",IF(C106=J114,"","0"))))))))))</f>
        <v/>
      </c>
    </row>
    <row r="103" spans="1:10" ht="32.25" customHeight="1" x14ac:dyDescent="0.35">
      <c r="A103" s="81" t="s">
        <v>88</v>
      </c>
      <c r="B103" s="81"/>
      <c r="C103" s="80" t="str">
        <f ca="1">(IF($G$70="NA",I101,"All work Completed. OC Received."))</f>
        <v>Excavation, Plinth, RCC Slab, Brickwork Completed, Internal Plaster upto 21 Floor, External Plaster upto 18 Floor, Flooring upto 10 Floor, Painting upto 3 Floor Completed</v>
      </c>
      <c r="D103" s="80"/>
      <c r="E103" s="80"/>
      <c r="F103" s="80"/>
      <c r="G103" s="80"/>
      <c r="H103" s="80"/>
      <c r="I103" s="73" t="str">
        <f ca="1">IF(I102&lt;&gt;""," Completed","")</f>
        <v xml:space="preserve"> Completed</v>
      </c>
      <c r="J103" s="47" t="str">
        <f ca="1">IF(J101&lt;&gt;"","Completed","")</f>
        <v>Completed</v>
      </c>
    </row>
    <row r="104" spans="1:10" ht="15.75" customHeight="1" x14ac:dyDescent="0.35">
      <c r="A104" s="83" t="s">
        <v>47</v>
      </c>
      <c r="B104" s="83"/>
      <c r="C104" s="70" t="s">
        <v>139</v>
      </c>
      <c r="D104" s="70" t="s">
        <v>81</v>
      </c>
      <c r="E104" s="83" t="s">
        <v>83</v>
      </c>
      <c r="F104" s="83"/>
      <c r="G104" s="83" t="s">
        <v>82</v>
      </c>
      <c r="H104" s="83"/>
      <c r="I104" s="14" t="s">
        <v>141</v>
      </c>
      <c r="J104" s="26">
        <f ca="1">H102*25%</f>
        <v>5.5</v>
      </c>
    </row>
    <row r="105" spans="1:10" ht="15.75" customHeight="1" x14ac:dyDescent="0.35">
      <c r="A105" s="83" t="s">
        <v>128</v>
      </c>
      <c r="B105" s="83"/>
      <c r="C105" s="70">
        <v>22</v>
      </c>
      <c r="D105" s="50">
        <f ca="1">((100/H102)*C105)/100</f>
        <v>1.0000000000000002</v>
      </c>
      <c r="E105" s="85">
        <f ca="1">(((C106/H102*10)+(40/(D102+F102+H102)*C107)+(7.5/(H102)*C108)+(7.5/(H102)*C109)+(10/H102*C110)+(10/H102*C111)+(5/H102*C112)+(5/H102*C113)+(5/H102*C114))/100)</f>
        <v>0.78068181818181825</v>
      </c>
      <c r="F105" s="85"/>
      <c r="G105" s="85">
        <f ca="1">((((C105/H102)*20)+((C106/H102)*25)+(30/(H102+F102+D102)*C107)+(5/H102*C108)+(5/H102*C109)+(5/H102*C110)+(5/H102*C111)+(0/H102*C112)+(0/H102*C113)+(5/H102*C114))/100)</f>
        <v>0.91136363636363626</v>
      </c>
      <c r="H105" s="85"/>
      <c r="I105" s="14" t="s">
        <v>98</v>
      </c>
      <c r="J105" s="27">
        <f ca="1">H102*50%</f>
        <v>11</v>
      </c>
    </row>
    <row r="106" spans="1:10" ht="15" customHeight="1" x14ac:dyDescent="0.35">
      <c r="A106" s="83" t="s">
        <v>48</v>
      </c>
      <c r="B106" s="83"/>
      <c r="C106" s="70">
        <v>22</v>
      </c>
      <c r="D106" s="50">
        <f ca="1">((100/H102)*C106)/100</f>
        <v>1.0000000000000002</v>
      </c>
      <c r="E106" s="85"/>
      <c r="F106" s="85"/>
      <c r="G106" s="85"/>
      <c r="H106" s="85"/>
      <c r="I106" s="14" t="s">
        <v>99</v>
      </c>
      <c r="J106" s="27">
        <f ca="1">H102</f>
        <v>22</v>
      </c>
    </row>
    <row r="107" spans="1:10" ht="15.75" customHeight="1" x14ac:dyDescent="0.35">
      <c r="A107" s="83" t="s">
        <v>129</v>
      </c>
      <c r="B107" s="83"/>
      <c r="C107" s="70">
        <v>23</v>
      </c>
      <c r="D107" s="50">
        <f ca="1">((100/(D102+F102+H102))*C107)/100</f>
        <v>1</v>
      </c>
      <c r="E107" s="85"/>
      <c r="F107" s="85"/>
      <c r="G107" s="85"/>
      <c r="H107" s="85"/>
      <c r="I107" s="14" t="s">
        <v>100</v>
      </c>
      <c r="J107" s="28">
        <f ca="1">(IF(B102&gt;1,(H102/(B102+2)),H102/4))</f>
        <v>5.5</v>
      </c>
    </row>
    <row r="108" spans="1:10" ht="15.75" customHeight="1" x14ac:dyDescent="0.35">
      <c r="A108" s="83" t="s">
        <v>136</v>
      </c>
      <c r="B108" s="83" t="s">
        <v>130</v>
      </c>
      <c r="C108" s="70">
        <v>22</v>
      </c>
      <c r="D108" s="50">
        <f ca="1">((100/H102)*C108)/100</f>
        <v>1.0000000000000002</v>
      </c>
      <c r="E108" s="85"/>
      <c r="F108" s="85"/>
      <c r="G108" s="85"/>
      <c r="H108" s="85"/>
      <c r="I108" s="14" t="s">
        <v>101</v>
      </c>
      <c r="J108" s="28">
        <f ca="1">(IF(B102&gt;1,(H102/(B102+2)+J107),H102/4+J107))</f>
        <v>11</v>
      </c>
    </row>
    <row r="109" spans="1:10" ht="15.75" customHeight="1" x14ac:dyDescent="0.35">
      <c r="A109" s="83" t="s">
        <v>137</v>
      </c>
      <c r="B109" s="83" t="s">
        <v>130</v>
      </c>
      <c r="C109" s="70">
        <v>21</v>
      </c>
      <c r="D109" s="50">
        <f ca="1">((100/H102)*C109)/100</f>
        <v>0.9545454545454547</v>
      </c>
      <c r="E109" s="85"/>
      <c r="F109" s="85"/>
      <c r="G109" s="85"/>
      <c r="H109" s="85"/>
      <c r="I109" s="14" t="s">
        <v>146</v>
      </c>
      <c r="J109" s="28">
        <f>(IF(B102&gt;1,(H102/(B102+2)+J108),0))</f>
        <v>0</v>
      </c>
    </row>
    <row r="110" spans="1:10" x14ac:dyDescent="0.35">
      <c r="A110" s="83" t="s">
        <v>135</v>
      </c>
      <c r="B110" s="83" t="s">
        <v>132</v>
      </c>
      <c r="C110" s="70">
        <v>18</v>
      </c>
      <c r="D110" s="50">
        <f ca="1">((100/(H102))*C110)/100</f>
        <v>0.81818181818181823</v>
      </c>
      <c r="E110" s="85"/>
      <c r="F110" s="85"/>
      <c r="G110" s="85"/>
      <c r="H110" s="85"/>
      <c r="I110" s="14" t="s">
        <v>143</v>
      </c>
      <c r="J110" s="28">
        <f>(IF(B102&gt;2,(H102/(B102+2)+J109),0))</f>
        <v>0</v>
      </c>
    </row>
    <row r="111" spans="1:10" ht="15.75" customHeight="1" x14ac:dyDescent="0.35">
      <c r="A111" s="83" t="s">
        <v>131</v>
      </c>
      <c r="B111" s="83" t="s">
        <v>131</v>
      </c>
      <c r="C111" s="70">
        <v>10</v>
      </c>
      <c r="D111" s="50">
        <f ca="1">((100/H102)*C111)/100</f>
        <v>0.45454545454545459</v>
      </c>
      <c r="E111" s="85"/>
      <c r="F111" s="85"/>
      <c r="G111" s="85"/>
      <c r="H111" s="85"/>
      <c r="I111" s="14" t="s">
        <v>144</v>
      </c>
      <c r="J111" s="29">
        <f>(IF(B102&gt;3,(H102/(B102+2)+J110),0))</f>
        <v>0</v>
      </c>
    </row>
    <row r="112" spans="1:10" x14ac:dyDescent="0.35">
      <c r="A112" s="83" t="s">
        <v>138</v>
      </c>
      <c r="B112" s="83"/>
      <c r="C112" s="70">
        <v>3</v>
      </c>
      <c r="D112" s="50">
        <f ca="1">((100/H102)*C112)/100</f>
        <v>0.13636363636363635</v>
      </c>
      <c r="E112" s="85"/>
      <c r="F112" s="85"/>
      <c r="G112" s="85"/>
      <c r="H112" s="85"/>
      <c r="I112" s="14" t="s">
        <v>145</v>
      </c>
      <c r="J112" s="28">
        <f>(IF(B102&gt;4,(H102/(B102+2)+J111),0))</f>
        <v>0</v>
      </c>
    </row>
    <row r="113" spans="1:11" ht="15" customHeight="1" x14ac:dyDescent="0.35">
      <c r="A113" s="83" t="s">
        <v>133</v>
      </c>
      <c r="B113" s="83" t="s">
        <v>133</v>
      </c>
      <c r="C113" s="70">
        <v>0</v>
      </c>
      <c r="D113" s="50">
        <f ca="1">((100/(H102))*C113)/100</f>
        <v>0</v>
      </c>
      <c r="E113" s="85"/>
      <c r="F113" s="85"/>
      <c r="G113" s="85"/>
      <c r="H113" s="85"/>
      <c r="I113" s="14" t="s">
        <v>147</v>
      </c>
      <c r="J113" s="28">
        <f ca="1">(IF(B102=1,(H102/(B102+3)+J108),IF(B102=0,(H102/4+J108),IF(B102&gt;1,0))))</f>
        <v>16.5</v>
      </c>
    </row>
    <row r="114" spans="1:11" ht="15.75" customHeight="1" thickBot="1" x14ac:dyDescent="0.4">
      <c r="A114" s="83" t="s">
        <v>134</v>
      </c>
      <c r="B114" s="83"/>
      <c r="C114" s="70">
        <v>0</v>
      </c>
      <c r="D114" s="50">
        <f ca="1">((100/(H102))*C114)/100</f>
        <v>0</v>
      </c>
      <c r="E114" s="85"/>
      <c r="F114" s="85"/>
      <c r="G114" s="85"/>
      <c r="H114" s="85"/>
      <c r="I114" s="15" t="s">
        <v>102</v>
      </c>
      <c r="J114" s="30">
        <f ca="1">(IF(B102&gt;1.5,(H102/(B102+2)+J108+MAX(0,J109-J108)+MAX(0,J110-J109)+MAX(0,J111-J110)+MAX(0,J112-J111)+MAX(0,J113-J112)),IF(B102=1,(H102/(B102+3)+J113),IF(B102=0,H102/4+J113))))</f>
        <v>22</v>
      </c>
    </row>
    <row r="115" spans="1:11" x14ac:dyDescent="0.35">
      <c r="A115" s="192" t="s">
        <v>140</v>
      </c>
      <c r="B115" s="193"/>
      <c r="C115" s="194" t="s">
        <v>329</v>
      </c>
      <c r="D115" s="195"/>
      <c r="E115" s="195"/>
      <c r="F115" s="195"/>
      <c r="G115" s="195"/>
      <c r="H115" s="196"/>
      <c r="I115" s="44" t="str">
        <f ca="1">IF(D128=100%,"All work Completed. Possession granted to the Building.",IF(D127=100%,"All work Completed, Waiting for OC",I116&amp;""&amp;I117&amp;""&amp;J116&amp;""&amp;J115&amp;" "&amp;J117))</f>
        <v>Excavation, Plinth Completed, RCC upto 11 Slab, Brickwork upto 5 Floor Completed</v>
      </c>
      <c r="J115" s="45" t="str">
        <f ca="1">(IF(C121=(D116+F116+H116),"",IF(C121&gt;0,", RCC upto "&amp;C121&amp;" Slab","")))&amp;(IF(C122=H116,"",IF(C122&gt;0,", Brickwork upto "&amp;C122&amp;" Floor","")))&amp;(IF(C123=H116,"",IF(C123&gt;0,", Internal Plaster upto "&amp;C123&amp;" Floor","")))&amp;(IF(C124=H116,"",IF(C124&gt;0,", External Plaster upto "&amp;C124&amp;" Floor","")))&amp;(IF(C125=H116,"",IF(C125&gt;0,", Flooring upto "&amp;C125&amp;" Floor","")))&amp;(IF(C126=H116,"",IF(C126&gt;0,", Painting upto "&amp;C126&amp;" Floor","")))&amp;(IF(C127=H116,"",IF(C127&gt;0,", Finishing upto "&amp;C127&amp;" Floor","")))&amp;(IF(C128=H116,"",IF(C128&gt;0,", Possession upto "&amp;C128&amp;" Floor","")))</f>
        <v>, RCC upto 11 Slab, Brickwork upto 5 Floor</v>
      </c>
    </row>
    <row r="116" spans="1:11" x14ac:dyDescent="0.35">
      <c r="A116" s="16" t="s">
        <v>142</v>
      </c>
      <c r="B116" s="48">
        <v>0</v>
      </c>
      <c r="C116" s="48" t="s">
        <v>70</v>
      </c>
      <c r="D116" s="48">
        <v>1</v>
      </c>
      <c r="E116" s="48" t="s">
        <v>69</v>
      </c>
      <c r="F116" s="48">
        <v>0</v>
      </c>
      <c r="G116" s="48" t="s">
        <v>78</v>
      </c>
      <c r="H116" s="17">
        <f ca="1">--TRIM(RIGHT(SUBSTITUTE(LEFT(C115,_xlfn.AGGREGATE(16,6,FIND({0,1,2,3,4,5,6,7,8,9},C115,ROW(INDIRECT("1:"&amp;LEN(C115)))),1))," ",REPT(" ",LEN(C115))),LEN(C115)))</f>
        <v>22</v>
      </c>
      <c r="I116" s="46" t="str">
        <f ca="1">IF(D119=100%,"Excavation","")&amp;IF(D120=100%,", Plinth","")&amp;IF(D121=100%,", RCC Slab","")&amp;IF(D122=100%,", Brickwork","")&amp;IF(D123=100%,", Internal Plaster","")&amp;IF(D124=100%,", External Plaster","")&amp;IF(D125=100%,", Flooring","")&amp;IF(D126=100%,", Painting","")&amp;IF(D127=100%,", Building common Amenities","")</f>
        <v>Excavation, Plinth</v>
      </c>
      <c r="J116" s="47" t="str">
        <f ca="1">(IF(C119=0,"Work not yet Started.",IF(D119=25%,"Piling work in process",IF(D119=50%,"Excavation work in process",IF(D119=100%,"","0")))))&amp;(IF(C120=0%,"",IF(C120=J121,", Footing work is process",IF(C120=J122,", Footing work Completed",IF(C120=J123,", 1st Basement Completed",IF(C120=J124,", 1st &amp; 2nd Basement Completed",IF(C120=J125,", 1st to 3rd Basement Completed",IF(C120=J126,", 1st to 4th Basement Completed",IF(C120=J127,", Plinth work is process",IF(C120=J128,"","0"))))))))))</f>
        <v/>
      </c>
    </row>
    <row r="117" spans="1:11" ht="30" customHeight="1" x14ac:dyDescent="0.35">
      <c r="A117" s="191" t="s">
        <v>88</v>
      </c>
      <c r="B117" s="81"/>
      <c r="C117" s="80" t="str">
        <f ca="1">(IF($G$70="NA",I115,"All work Completed. OC Received."))</f>
        <v>Excavation, Plinth Completed, RCC upto 11 Slab, Brickwork upto 5 Floor Completed</v>
      </c>
      <c r="D117" s="80"/>
      <c r="E117" s="80"/>
      <c r="F117" s="80"/>
      <c r="G117" s="80"/>
      <c r="H117" s="121"/>
      <c r="I117" s="46" t="str">
        <f ca="1">IF(I116&lt;&gt;""," Completed","")</f>
        <v xml:space="preserve"> Completed</v>
      </c>
      <c r="J117" s="47" t="str">
        <f ca="1">IF(J115&lt;&gt;"","Completed","")</f>
        <v>Completed</v>
      </c>
    </row>
    <row r="118" spans="1:11" ht="15.75" customHeight="1" x14ac:dyDescent="0.35">
      <c r="A118" s="82" t="s">
        <v>47</v>
      </c>
      <c r="B118" s="83"/>
      <c r="C118" s="49" t="s">
        <v>139</v>
      </c>
      <c r="D118" s="49" t="s">
        <v>81</v>
      </c>
      <c r="E118" s="83" t="s">
        <v>83</v>
      </c>
      <c r="F118" s="83"/>
      <c r="G118" s="83" t="s">
        <v>82</v>
      </c>
      <c r="H118" s="84"/>
      <c r="I118" s="14" t="s">
        <v>141</v>
      </c>
      <c r="J118" s="26">
        <f ca="1">H116*25%</f>
        <v>5.5</v>
      </c>
    </row>
    <row r="119" spans="1:11" ht="15.75" customHeight="1" x14ac:dyDescent="0.35">
      <c r="A119" s="83" t="s">
        <v>128</v>
      </c>
      <c r="B119" s="83"/>
      <c r="C119" s="70">
        <f ca="1">J120</f>
        <v>22</v>
      </c>
      <c r="D119" s="50">
        <f ca="1">((100/H116)*C119)/100</f>
        <v>1.0000000000000002</v>
      </c>
      <c r="E119" s="85">
        <f ca="1">(((C120/H116*10)+(40/(D116+F116+H116)*C121)+(7.5/(H116)*C122)+(7.5/(H116)*C123)+(10/H116*C124)+(10/H116*C125)+(5/H116*C126)+(5/H116*C127)+(5/H116*C128))/100)</f>
        <v>0.30834980237154147</v>
      </c>
      <c r="F119" s="85"/>
      <c r="G119" s="85">
        <f ca="1">((((C119/H116)*20)+((C120/H116)*25)+(30/(H116+F116+D116)*C121)+(5/H116*C122)+(5/H116*C123)+(5/H116*C124)+(5/H116*C125)+(0/H116*C126)+(0/H116*C127)+(5/H116*C128))/100)</f>
        <v>0.60484189723320159</v>
      </c>
      <c r="H119" s="85"/>
      <c r="I119" s="14" t="s">
        <v>98</v>
      </c>
      <c r="J119" s="27">
        <f ca="1">H116*50%</f>
        <v>11</v>
      </c>
    </row>
    <row r="120" spans="1:11" ht="15" customHeight="1" x14ac:dyDescent="0.35">
      <c r="A120" s="83" t="s">
        <v>48</v>
      </c>
      <c r="B120" s="83"/>
      <c r="C120" s="51">
        <f ca="1">J128</f>
        <v>22</v>
      </c>
      <c r="D120" s="50">
        <f ca="1">((100/H116)*C120)/100</f>
        <v>1.0000000000000002</v>
      </c>
      <c r="E120" s="85"/>
      <c r="F120" s="85"/>
      <c r="G120" s="85"/>
      <c r="H120" s="85"/>
      <c r="I120" s="14" t="s">
        <v>99</v>
      </c>
      <c r="J120" s="27">
        <f ca="1">H116</f>
        <v>22</v>
      </c>
    </row>
    <row r="121" spans="1:11" ht="15.75" customHeight="1" x14ac:dyDescent="0.35">
      <c r="A121" s="83" t="s">
        <v>129</v>
      </c>
      <c r="B121" s="83"/>
      <c r="C121" s="70">
        <v>11</v>
      </c>
      <c r="D121" s="50">
        <f ca="1">((100/(D116+F116+H116))*C121)/100</f>
        <v>0.47826086956521735</v>
      </c>
      <c r="E121" s="85"/>
      <c r="F121" s="85"/>
      <c r="G121" s="85"/>
      <c r="H121" s="85"/>
      <c r="I121" s="14" t="s">
        <v>100</v>
      </c>
      <c r="J121" s="28">
        <f ca="1">(IF(B116&gt;1,(H116/(B116+2)),H116/4))</f>
        <v>5.5</v>
      </c>
    </row>
    <row r="122" spans="1:11" ht="15.75" customHeight="1" x14ac:dyDescent="0.35">
      <c r="A122" s="83" t="s">
        <v>136</v>
      </c>
      <c r="B122" s="83" t="s">
        <v>130</v>
      </c>
      <c r="C122" s="70">
        <v>5</v>
      </c>
      <c r="D122" s="50">
        <f ca="1">((100/H116)*C122)/100</f>
        <v>0.22727272727272729</v>
      </c>
      <c r="E122" s="85"/>
      <c r="F122" s="85"/>
      <c r="G122" s="85"/>
      <c r="H122" s="85"/>
      <c r="I122" s="14" t="s">
        <v>101</v>
      </c>
      <c r="J122" s="28">
        <f ca="1">(IF(B116&gt;1,(H116/(B116+2)+J121),H116/4+J121))</f>
        <v>11</v>
      </c>
    </row>
    <row r="123" spans="1:11" ht="15.75" customHeight="1" x14ac:dyDescent="0.35">
      <c r="A123" s="83" t="s">
        <v>137</v>
      </c>
      <c r="B123" s="83" t="s">
        <v>130</v>
      </c>
      <c r="C123" s="70">
        <v>0</v>
      </c>
      <c r="D123" s="50">
        <f ca="1">((100/H116)*C123)/100</f>
        <v>0</v>
      </c>
      <c r="E123" s="85"/>
      <c r="F123" s="85"/>
      <c r="G123" s="85"/>
      <c r="H123" s="85"/>
      <c r="I123" s="14" t="s">
        <v>146</v>
      </c>
      <c r="J123" s="28">
        <f>(IF(B116&gt;1,(H116/(B116+2)+J122),0))</f>
        <v>0</v>
      </c>
    </row>
    <row r="124" spans="1:11" x14ac:dyDescent="0.35">
      <c r="A124" s="83" t="s">
        <v>135</v>
      </c>
      <c r="B124" s="83" t="s">
        <v>132</v>
      </c>
      <c r="C124" s="70">
        <v>0</v>
      </c>
      <c r="D124" s="50">
        <f ca="1">((100/(H116))*C124)/100</f>
        <v>0</v>
      </c>
      <c r="E124" s="85"/>
      <c r="F124" s="85"/>
      <c r="G124" s="85"/>
      <c r="H124" s="85"/>
      <c r="I124" s="14" t="s">
        <v>143</v>
      </c>
      <c r="J124" s="28">
        <f>(IF(B116&gt;2,(H116/(B116+2)+J123),0))</f>
        <v>0</v>
      </c>
    </row>
    <row r="125" spans="1:11" x14ac:dyDescent="0.35">
      <c r="A125" s="83" t="s">
        <v>131</v>
      </c>
      <c r="B125" s="83" t="s">
        <v>131</v>
      </c>
      <c r="C125" s="70">
        <v>0</v>
      </c>
      <c r="D125" s="50">
        <f ca="1">((100/H116)*C125)/100</f>
        <v>0</v>
      </c>
      <c r="E125" s="85"/>
      <c r="F125" s="85"/>
      <c r="G125" s="85"/>
      <c r="H125" s="85"/>
      <c r="I125" s="14" t="s">
        <v>144</v>
      </c>
      <c r="J125" s="29">
        <f>(IF(B116&gt;3,(H116/(B116+2)+J124),0))</f>
        <v>0</v>
      </c>
    </row>
    <row r="126" spans="1:11" x14ac:dyDescent="0.35">
      <c r="A126" s="83" t="s">
        <v>138</v>
      </c>
      <c r="B126" s="83"/>
      <c r="C126" s="70">
        <v>0</v>
      </c>
      <c r="D126" s="50">
        <f ca="1">((100/H116)*C126)/100</f>
        <v>0</v>
      </c>
      <c r="E126" s="85"/>
      <c r="F126" s="85"/>
      <c r="G126" s="85"/>
      <c r="H126" s="85"/>
      <c r="I126" s="14" t="s">
        <v>145</v>
      </c>
      <c r="J126" s="28">
        <f>(IF(B116&gt;4,(H116/(B116+2)+J125),0))</f>
        <v>0</v>
      </c>
      <c r="K126" s="19">
        <f>14000/1.55</f>
        <v>9032.2580645161288</v>
      </c>
    </row>
    <row r="127" spans="1:11" x14ac:dyDescent="0.35">
      <c r="A127" s="83" t="s">
        <v>133</v>
      </c>
      <c r="B127" s="83" t="s">
        <v>133</v>
      </c>
      <c r="C127" s="70">
        <v>0</v>
      </c>
      <c r="D127" s="50">
        <f ca="1">((100/(H116))*C127)/100</f>
        <v>0</v>
      </c>
      <c r="E127" s="85"/>
      <c r="F127" s="85"/>
      <c r="G127" s="85"/>
      <c r="H127" s="85"/>
      <c r="I127" s="14" t="s">
        <v>147</v>
      </c>
      <c r="J127" s="28">
        <f ca="1">(IF(B116=1,(H116/(B116+3)+J122),IF(B116=0,(H116/4+J122),IF(B116&gt;1,0))))</f>
        <v>16.5</v>
      </c>
    </row>
    <row r="128" spans="1:11" ht="16" thickBot="1" x14ac:dyDescent="0.4">
      <c r="A128" s="83" t="s">
        <v>134</v>
      </c>
      <c r="B128" s="83"/>
      <c r="C128" s="70">
        <v>0</v>
      </c>
      <c r="D128" s="50">
        <f ca="1">((100/(H116))*C128)/100</f>
        <v>0</v>
      </c>
      <c r="E128" s="85"/>
      <c r="F128" s="85"/>
      <c r="G128" s="85"/>
      <c r="H128" s="85"/>
      <c r="I128" s="15" t="s">
        <v>102</v>
      </c>
      <c r="J128" s="30">
        <f ca="1">(IF(B116&gt;1.5,(H116/(B116+2)+J122+MAX(0,J123-J122)+MAX(0,J124-J123)+MAX(0,J125-J124)+MAX(0,J126-J125)+MAX(0,J127-J126)),IF(B116=1,(H116/(B116+3)+J127),IF(B116=0,H116/4+J127))))</f>
        <v>22</v>
      </c>
    </row>
    <row r="129" spans="1:12" x14ac:dyDescent="0.35">
      <c r="A129" s="80" t="s">
        <v>140</v>
      </c>
      <c r="B129" s="80"/>
      <c r="C129" s="80" t="s">
        <v>330</v>
      </c>
      <c r="D129" s="80"/>
      <c r="E129" s="80"/>
      <c r="F129" s="80"/>
      <c r="G129" s="80"/>
      <c r="H129" s="80"/>
      <c r="I129" s="72" t="str">
        <f ca="1">IF(D142=100%,"All work Completed. Possession granted to the Building.",IF(D141=100%,"All work Completed, Waiting for OC",I130&amp;""&amp;I131&amp;""&amp;J130&amp;""&amp;J129&amp;" "&amp;J131))</f>
        <v>Excavation, Plinth Completed, RCC upto 11 Slab, Brickwork upto 6 Floor Completed</v>
      </c>
      <c r="J129" s="45" t="str">
        <f ca="1">(IF(C135=(D130+F130+H130),"",IF(C135&gt;0,", RCC upto "&amp;C135&amp;" Slab","")))&amp;(IF(C136=H130,"",IF(C136&gt;0,", Brickwork upto "&amp;C136&amp;" Floor","")))&amp;(IF(C137=H130,"",IF(C137&gt;0,", Internal Plaster upto "&amp;C137&amp;" Floor","")))&amp;(IF(C138=H130,"",IF(C138&gt;0,", External Plaster upto "&amp;C138&amp;" Floor","")))&amp;(IF(C139=H130,"",IF(C139&gt;0,", Flooring upto "&amp;C139&amp;" Floor","")))&amp;(IF(C140=H130,"",IF(C140&gt;0,", Painting upto "&amp;C140&amp;" Floor","")))&amp;(IF(C141=H130,"",IF(C141&gt;0,", Finishing upto "&amp;C141&amp;" Floor","")))&amp;(IF(C142=H130,"",IF(C142&gt;0,", Possession upto "&amp;C142&amp;" Floor","")))</f>
        <v>, RCC upto 11 Slab, Brickwork upto 6 Floor</v>
      </c>
    </row>
    <row r="130" spans="1:12" x14ac:dyDescent="0.35">
      <c r="A130" s="71" t="s">
        <v>142</v>
      </c>
      <c r="B130" s="71">
        <v>0</v>
      </c>
      <c r="C130" s="71" t="s">
        <v>70</v>
      </c>
      <c r="D130" s="71">
        <v>1</v>
      </c>
      <c r="E130" s="71" t="s">
        <v>69</v>
      </c>
      <c r="F130" s="71">
        <v>0</v>
      </c>
      <c r="G130" s="71" t="s">
        <v>78</v>
      </c>
      <c r="H130" s="71">
        <f ca="1">--TRIM(RIGHT(SUBSTITUTE(LEFT(C129,_xlfn.AGGREGATE(16,6,FIND({0,1,2,3,4,5,6,7,8,9},C129,ROW(INDIRECT("1:"&amp;LEN(C129)))),1))," ",REPT(" ",LEN(C129))),LEN(C129)))</f>
        <v>22</v>
      </c>
      <c r="I130" s="73" t="str">
        <f ca="1">IF(D133=100%,"Excavation","")&amp;IF(D134=100%,", Plinth","")&amp;IF(D135=100%,", RCC Slab","")&amp;IF(D136=100%,", Brickwork","")&amp;IF(D137=100%,", Internal Plaster","")&amp;IF(D138=100%,", External Plaster","")&amp;IF(D139=100%,", Flooring","")&amp;IF(D140=100%,", Painting","")&amp;IF(D141=100%,", Building common Amenities","")</f>
        <v>Excavation, Plinth</v>
      </c>
      <c r="J130" s="47" t="str">
        <f ca="1">(IF(C133=0,"Work not yet Started.",IF(D133=25%,"Piling work in process",IF(D133=50%,"Excavation work in process",IF(D133=100%,"","0")))))&amp;(IF(C134=0%,"",IF(C134=J135,", Footing work is process",IF(C134=J136,", Footing work Completed",IF(C134=J137,", 1st Basement Completed",IF(C134=J138,", 1st &amp; 2nd Basement Completed",IF(C134=J139,", 1st to 3rd Basement Completed",IF(C134=J140,", 1st to 4th Basement Completed",IF(C134=J141,", Plinth work is process",IF(C134=J142,"","0"))))))))))</f>
        <v/>
      </c>
    </row>
    <row r="131" spans="1:12" ht="32.5" customHeight="1" x14ac:dyDescent="0.35">
      <c r="A131" s="81" t="s">
        <v>88</v>
      </c>
      <c r="B131" s="81"/>
      <c r="C131" s="80" t="str">
        <f ca="1">(IF($G$70="NA",I129,"All work Completed. OC Received."))</f>
        <v>Excavation, Plinth Completed, RCC upto 11 Slab, Brickwork upto 6 Floor Completed</v>
      </c>
      <c r="D131" s="80"/>
      <c r="E131" s="80"/>
      <c r="F131" s="80"/>
      <c r="G131" s="80"/>
      <c r="H131" s="80"/>
      <c r="I131" s="73" t="str">
        <f ca="1">IF(I130&lt;&gt;""," Completed","")</f>
        <v xml:space="preserve"> Completed</v>
      </c>
      <c r="J131" s="47" t="str">
        <f ca="1">IF(J129&lt;&gt;"","Completed","")</f>
        <v>Completed</v>
      </c>
    </row>
    <row r="132" spans="1:12" ht="15.75" customHeight="1" x14ac:dyDescent="0.35">
      <c r="A132" s="82" t="s">
        <v>47</v>
      </c>
      <c r="B132" s="83"/>
      <c r="C132" s="49" t="s">
        <v>139</v>
      </c>
      <c r="D132" s="49" t="s">
        <v>81</v>
      </c>
      <c r="E132" s="83" t="s">
        <v>83</v>
      </c>
      <c r="F132" s="83"/>
      <c r="G132" s="83" t="s">
        <v>82</v>
      </c>
      <c r="H132" s="84"/>
      <c r="I132" s="14" t="s">
        <v>141</v>
      </c>
      <c r="J132" s="26">
        <f ca="1">H130*25%</f>
        <v>5.5</v>
      </c>
    </row>
    <row r="133" spans="1:12" ht="15.75" customHeight="1" x14ac:dyDescent="0.35">
      <c r="A133" s="83" t="s">
        <v>128</v>
      </c>
      <c r="B133" s="83"/>
      <c r="C133" s="70">
        <f ca="1">J134</f>
        <v>22</v>
      </c>
      <c r="D133" s="50">
        <f ca="1">((100/H130)*C133)/100</f>
        <v>1.0000000000000002</v>
      </c>
      <c r="E133" s="85">
        <f ca="1">(((C134/H130*10)+(40/(D130+F130+H130)*C135)+(7.5/(H130)*C136)+(7.5/(H130)*C137)+(10/H130*C138)+(10/H130*C139)+(5/H130*C140)+(5/H130*C141)+(5/H130*C142))/100)</f>
        <v>0.31175889328063244</v>
      </c>
      <c r="F133" s="85"/>
      <c r="G133" s="85">
        <f ca="1">((((C133/H130)*20)+((C134/H130)*25)+(30/(H130+F130+D130)*C135)+(5/H130*C136)+(5/H130*C137)+(5/H130*C138)+(5/H130*C139)+(0/H130*C140)+(0/H130*C141)+(5/H130*C142))/100)</f>
        <v>0.6071146245059289</v>
      </c>
      <c r="H133" s="85"/>
      <c r="I133" s="14" t="s">
        <v>98</v>
      </c>
      <c r="J133" s="27">
        <f ca="1">H130*50%</f>
        <v>11</v>
      </c>
    </row>
    <row r="134" spans="1:12" ht="15" customHeight="1" x14ac:dyDescent="0.35">
      <c r="A134" s="83" t="s">
        <v>48</v>
      </c>
      <c r="B134" s="83"/>
      <c r="C134" s="51">
        <f ca="1">J142</f>
        <v>22</v>
      </c>
      <c r="D134" s="50">
        <f ca="1">((100/H130)*C134)/100</f>
        <v>1.0000000000000002</v>
      </c>
      <c r="E134" s="85"/>
      <c r="F134" s="85"/>
      <c r="G134" s="85"/>
      <c r="H134" s="85"/>
      <c r="I134" s="14" t="s">
        <v>99</v>
      </c>
      <c r="J134" s="27">
        <f ca="1">H130</f>
        <v>22</v>
      </c>
      <c r="L134" s="19" t="s">
        <v>331</v>
      </c>
    </row>
    <row r="135" spans="1:12" ht="15.75" customHeight="1" x14ac:dyDescent="0.35">
      <c r="A135" s="83" t="s">
        <v>129</v>
      </c>
      <c r="B135" s="83"/>
      <c r="C135" s="70">
        <v>11</v>
      </c>
      <c r="D135" s="50">
        <f ca="1">((100/(D130+F130+H130))*C135)/100</f>
        <v>0.47826086956521735</v>
      </c>
      <c r="E135" s="85"/>
      <c r="F135" s="85"/>
      <c r="G135" s="85"/>
      <c r="H135" s="85"/>
      <c r="I135" s="14" t="s">
        <v>100</v>
      </c>
      <c r="J135" s="28">
        <f ca="1">(IF(B130&gt;1,(H130/(B130+2)),H130/4))</f>
        <v>5.5</v>
      </c>
    </row>
    <row r="136" spans="1:12" ht="15.75" customHeight="1" x14ac:dyDescent="0.35">
      <c r="A136" s="83" t="s">
        <v>136</v>
      </c>
      <c r="B136" s="83" t="s">
        <v>130</v>
      </c>
      <c r="C136" s="70">
        <v>6</v>
      </c>
      <c r="D136" s="50">
        <f ca="1">((100/H130)*C136)/100</f>
        <v>0.27272727272727271</v>
      </c>
      <c r="E136" s="85"/>
      <c r="F136" s="85"/>
      <c r="G136" s="85"/>
      <c r="H136" s="85"/>
      <c r="I136" s="14" t="s">
        <v>101</v>
      </c>
      <c r="J136" s="28">
        <f ca="1">(IF(B130&gt;1,(H130/(B130+2)+J135),H130/4+J135))</f>
        <v>11</v>
      </c>
    </row>
    <row r="137" spans="1:12" ht="15.75" customHeight="1" x14ac:dyDescent="0.35">
      <c r="A137" s="83" t="s">
        <v>137</v>
      </c>
      <c r="B137" s="83" t="s">
        <v>130</v>
      </c>
      <c r="C137" s="70">
        <v>0</v>
      </c>
      <c r="D137" s="50">
        <f ca="1">((100/H130)*C137)/100</f>
        <v>0</v>
      </c>
      <c r="E137" s="85"/>
      <c r="F137" s="85"/>
      <c r="G137" s="85"/>
      <c r="H137" s="85"/>
      <c r="I137" s="14" t="s">
        <v>146</v>
      </c>
      <c r="J137" s="28">
        <f>(IF(B130&gt;1,(H130/(B130+2)+J136),0))</f>
        <v>0</v>
      </c>
    </row>
    <row r="138" spans="1:12" x14ac:dyDescent="0.35">
      <c r="A138" s="83" t="s">
        <v>135</v>
      </c>
      <c r="B138" s="83" t="s">
        <v>132</v>
      </c>
      <c r="C138" s="70">
        <v>0</v>
      </c>
      <c r="D138" s="50">
        <f ca="1">((100/(H130))*C138)/100</f>
        <v>0</v>
      </c>
      <c r="E138" s="85"/>
      <c r="F138" s="85"/>
      <c r="G138" s="85"/>
      <c r="H138" s="85"/>
      <c r="I138" s="14" t="s">
        <v>143</v>
      </c>
      <c r="J138" s="28">
        <f>(IF(B130&gt;2,(H130/(B130+2)+J137),0))</f>
        <v>0</v>
      </c>
    </row>
    <row r="139" spans="1:12" x14ac:dyDescent="0.35">
      <c r="A139" s="83" t="s">
        <v>131</v>
      </c>
      <c r="B139" s="83" t="s">
        <v>131</v>
      </c>
      <c r="C139" s="70">
        <v>0</v>
      </c>
      <c r="D139" s="50">
        <f ca="1">((100/H130)*C139)/100</f>
        <v>0</v>
      </c>
      <c r="E139" s="85"/>
      <c r="F139" s="85"/>
      <c r="G139" s="85"/>
      <c r="H139" s="85"/>
      <c r="I139" s="14" t="s">
        <v>144</v>
      </c>
      <c r="J139" s="29">
        <f>(IF(B130&gt;3,(H130/(B130+2)+J138),0))</f>
        <v>0</v>
      </c>
    </row>
    <row r="140" spans="1:12" x14ac:dyDescent="0.35">
      <c r="A140" s="83" t="s">
        <v>138</v>
      </c>
      <c r="B140" s="83"/>
      <c r="C140" s="70">
        <v>0</v>
      </c>
      <c r="D140" s="50">
        <f ca="1">((100/H130)*C140)/100</f>
        <v>0</v>
      </c>
      <c r="E140" s="85"/>
      <c r="F140" s="85"/>
      <c r="G140" s="85"/>
      <c r="H140" s="85"/>
      <c r="I140" s="14" t="s">
        <v>145</v>
      </c>
      <c r="J140" s="28">
        <f>(IF(B130&gt;4,(H130/(B130+2)+J139),0))</f>
        <v>0</v>
      </c>
      <c r="K140" s="19">
        <f>14000/1.55</f>
        <v>9032.2580645161288</v>
      </c>
    </row>
    <row r="141" spans="1:12" x14ac:dyDescent="0.35">
      <c r="A141" s="83" t="s">
        <v>133</v>
      </c>
      <c r="B141" s="83" t="s">
        <v>133</v>
      </c>
      <c r="C141" s="70">
        <v>0</v>
      </c>
      <c r="D141" s="50">
        <f ca="1">((100/(H130))*C141)/100</f>
        <v>0</v>
      </c>
      <c r="E141" s="85"/>
      <c r="F141" s="85"/>
      <c r="G141" s="85"/>
      <c r="H141" s="85"/>
      <c r="I141" s="14" t="s">
        <v>147</v>
      </c>
      <c r="J141" s="28">
        <f ca="1">(IF(B130=1,(H130/(B130+3)+J136),IF(B130=0,(H130/4+J136),IF(B130&gt;1,0))))</f>
        <v>16.5</v>
      </c>
    </row>
    <row r="142" spans="1:12" ht="16" thickBot="1" x14ac:dyDescent="0.4">
      <c r="A142" s="83" t="s">
        <v>134</v>
      </c>
      <c r="B142" s="83"/>
      <c r="C142" s="70">
        <v>0</v>
      </c>
      <c r="D142" s="50">
        <f ca="1">((100/(H130))*C142)/100</f>
        <v>0</v>
      </c>
      <c r="E142" s="85"/>
      <c r="F142" s="85"/>
      <c r="G142" s="85"/>
      <c r="H142" s="85"/>
      <c r="I142" s="15" t="s">
        <v>102</v>
      </c>
      <c r="J142" s="30">
        <f ca="1">(IF(B130&gt;1.5,(H130/(B130+2)+J136+MAX(0,J137-J136)+MAX(0,J138-J137)+MAX(0,J139-J138)+MAX(0,J140-J139)+MAX(0,J141-J140)),IF(B130=1,(H130/(B130+3)+J141),IF(B130=0,H130/4+J141))))</f>
        <v>22</v>
      </c>
    </row>
    <row r="143" spans="1:12" s="31" customFormat="1" x14ac:dyDescent="0.35">
      <c r="A143" s="147" t="s">
        <v>156</v>
      </c>
      <c r="B143" s="147"/>
      <c r="C143" s="147"/>
      <c r="D143" s="147"/>
      <c r="E143" s="147"/>
      <c r="F143" s="120" t="s">
        <v>161</v>
      </c>
      <c r="G143" s="120"/>
      <c r="H143" s="120"/>
      <c r="I143" s="52" t="s">
        <v>189</v>
      </c>
    </row>
    <row r="144" spans="1:12" s="31" customFormat="1" x14ac:dyDescent="0.3">
      <c r="A144" s="118" t="s">
        <v>159</v>
      </c>
      <c r="B144" s="118"/>
      <c r="C144" s="118"/>
      <c r="D144" s="118"/>
      <c r="E144" s="118"/>
      <c r="F144" s="190">
        <v>9000</v>
      </c>
      <c r="G144" s="190"/>
      <c r="H144" s="190"/>
      <c r="J144" s="31" t="s">
        <v>293</v>
      </c>
    </row>
    <row r="145" spans="1:8" s="31" customFormat="1" x14ac:dyDescent="0.3">
      <c r="A145" s="118" t="s">
        <v>158</v>
      </c>
      <c r="B145" s="118"/>
      <c r="C145" s="118"/>
      <c r="D145" s="118"/>
      <c r="E145" s="118"/>
      <c r="F145" s="117">
        <v>21000</v>
      </c>
      <c r="G145" s="117"/>
      <c r="H145" s="117"/>
    </row>
    <row r="146" spans="1:8" s="31" customFormat="1" hidden="1" x14ac:dyDescent="0.3">
      <c r="A146" s="118" t="s">
        <v>160</v>
      </c>
      <c r="B146" s="118"/>
      <c r="C146" s="118"/>
      <c r="D146" s="118"/>
      <c r="E146" s="118"/>
      <c r="F146" s="117"/>
      <c r="G146" s="117"/>
      <c r="H146" s="117"/>
    </row>
    <row r="147" spans="1:8" s="31" customFormat="1" hidden="1" x14ac:dyDescent="0.3">
      <c r="A147" s="118" t="s">
        <v>157</v>
      </c>
      <c r="B147" s="118"/>
      <c r="C147" s="118"/>
      <c r="D147" s="118"/>
      <c r="E147" s="118"/>
      <c r="F147" s="117"/>
      <c r="G147" s="117"/>
      <c r="H147" s="117"/>
    </row>
    <row r="148" spans="1:8" s="31" customFormat="1" x14ac:dyDescent="0.3">
      <c r="A148" s="118" t="s">
        <v>92</v>
      </c>
      <c r="B148" s="118"/>
      <c r="C148" s="118"/>
      <c r="D148" s="118"/>
      <c r="E148" s="118"/>
      <c r="F148" s="117">
        <v>200000</v>
      </c>
      <c r="G148" s="117"/>
      <c r="H148" s="117"/>
    </row>
    <row r="149" spans="1:8" s="31" customFormat="1" hidden="1" x14ac:dyDescent="0.3">
      <c r="A149" s="118" t="s">
        <v>93</v>
      </c>
      <c r="B149" s="118"/>
      <c r="C149" s="118"/>
      <c r="D149" s="118"/>
      <c r="E149" s="118"/>
      <c r="F149" s="117"/>
      <c r="G149" s="117"/>
      <c r="H149" s="117"/>
    </row>
    <row r="150" spans="1:8" s="31" customFormat="1" hidden="1" x14ac:dyDescent="0.3">
      <c r="A150" s="118" t="s">
        <v>162</v>
      </c>
      <c r="B150" s="118"/>
      <c r="C150" s="118"/>
      <c r="D150" s="118"/>
      <c r="E150" s="118"/>
      <c r="F150" s="117"/>
      <c r="G150" s="117"/>
      <c r="H150" s="117"/>
    </row>
    <row r="151" spans="1:8" hidden="1" x14ac:dyDescent="0.35">
      <c r="A151" s="118" t="s">
        <v>94</v>
      </c>
      <c r="B151" s="118"/>
      <c r="C151" s="118"/>
      <c r="D151" s="118"/>
      <c r="E151" s="118"/>
      <c r="F151" s="117"/>
      <c r="G151" s="117"/>
      <c r="H151" s="117"/>
    </row>
    <row r="152" spans="1:8" s="32" customFormat="1" hidden="1" x14ac:dyDescent="0.35">
      <c r="A152" s="118" t="s">
        <v>95</v>
      </c>
      <c r="B152" s="118"/>
      <c r="C152" s="118"/>
      <c r="D152" s="118"/>
      <c r="E152" s="118"/>
      <c r="F152" s="117"/>
      <c r="G152" s="117"/>
      <c r="H152" s="117"/>
    </row>
    <row r="153" spans="1:8" s="33" customFormat="1" ht="15.75" hidden="1" customHeight="1" x14ac:dyDescent="0.35">
      <c r="A153" s="118" t="s">
        <v>96</v>
      </c>
      <c r="B153" s="118"/>
      <c r="C153" s="118"/>
      <c r="D153" s="118"/>
      <c r="E153" s="118"/>
      <c r="F153" s="117"/>
      <c r="G153" s="117"/>
      <c r="H153" s="117"/>
    </row>
    <row r="154" spans="1:8" s="33" customFormat="1" ht="15.75" hidden="1" customHeight="1" x14ac:dyDescent="0.35">
      <c r="A154" s="118" t="s">
        <v>97</v>
      </c>
      <c r="B154" s="118"/>
      <c r="C154" s="118"/>
      <c r="D154" s="118"/>
      <c r="E154" s="118"/>
      <c r="F154" s="117"/>
      <c r="G154" s="117"/>
      <c r="H154" s="117"/>
    </row>
    <row r="155" spans="1:8" s="33" customFormat="1" x14ac:dyDescent="0.35">
      <c r="A155" s="118" t="s">
        <v>49</v>
      </c>
      <c r="B155" s="118"/>
      <c r="C155" s="118"/>
      <c r="D155" s="118"/>
      <c r="E155" s="118"/>
      <c r="F155" s="117">
        <v>600000</v>
      </c>
      <c r="G155" s="117"/>
      <c r="H155" s="117"/>
    </row>
    <row r="156" spans="1:8" s="33" customFormat="1" x14ac:dyDescent="0.35">
      <c r="A156" s="147" t="s">
        <v>50</v>
      </c>
      <c r="B156" s="147"/>
      <c r="C156" s="147"/>
      <c r="D156" s="147"/>
      <c r="E156" s="147"/>
      <c r="F156" s="117">
        <f>F144*0.8</f>
        <v>7200</v>
      </c>
      <c r="G156" s="117"/>
      <c r="H156" s="117"/>
    </row>
    <row r="157" spans="1:8" s="33" customFormat="1" x14ac:dyDescent="0.35">
      <c r="A157" s="114" t="s">
        <v>240</v>
      </c>
      <c r="B157" s="115"/>
      <c r="C157" s="115"/>
      <c r="D157" s="115"/>
      <c r="E157" s="115"/>
      <c r="F157" s="115"/>
      <c r="G157" s="115"/>
      <c r="H157" s="116"/>
    </row>
    <row r="158" spans="1:8" s="33" customFormat="1" x14ac:dyDescent="0.35">
      <c r="A158" s="166" t="s">
        <v>290</v>
      </c>
      <c r="B158" s="166"/>
      <c r="C158" s="166"/>
      <c r="D158" s="166"/>
      <c r="E158" s="166"/>
      <c r="F158" s="166"/>
      <c r="G158" s="166"/>
      <c r="H158" s="166"/>
    </row>
    <row r="159" spans="1:8" s="33" customFormat="1" x14ac:dyDescent="0.35">
      <c r="A159" s="163" t="s">
        <v>51</v>
      </c>
      <c r="B159" s="163"/>
      <c r="C159" s="119" t="s">
        <v>76</v>
      </c>
      <c r="D159" s="119"/>
      <c r="E159" s="167" t="s">
        <v>52</v>
      </c>
      <c r="F159" s="167"/>
      <c r="G159" s="163" t="s">
        <v>53</v>
      </c>
      <c r="H159" s="163"/>
    </row>
    <row r="160" spans="1:8" s="33" customFormat="1" x14ac:dyDescent="0.35">
      <c r="A160" s="168" t="s">
        <v>194</v>
      </c>
      <c r="B160" s="168"/>
      <c r="C160" s="164">
        <f>COUNT(D211:D212)</f>
        <v>2</v>
      </c>
      <c r="D160" s="165"/>
      <c r="E160" s="164">
        <f>SUM(D211:D212)</f>
        <v>572.34340799999995</v>
      </c>
      <c r="F160" s="165"/>
      <c r="G160" s="164">
        <f>SUM(F211:F212)</f>
        <v>915.74945279999997</v>
      </c>
      <c r="H160" s="165"/>
    </row>
    <row r="161" spans="1:11" s="33" customFormat="1" ht="15.75" customHeight="1" x14ac:dyDescent="0.35">
      <c r="A161" s="168" t="s">
        <v>195</v>
      </c>
      <c r="B161" s="168"/>
      <c r="C161" s="164">
        <f>COUNT(D216:D222)</f>
        <v>7</v>
      </c>
      <c r="D161" s="165"/>
      <c r="E161" s="164">
        <f>SUM(D216:D222)</f>
        <v>780.62142599999993</v>
      </c>
      <c r="F161" s="165"/>
      <c r="G161" s="164">
        <f>SUM(F216:F222)</f>
        <v>1248.9942816</v>
      </c>
      <c r="H161" s="165"/>
    </row>
    <row r="162" spans="1:11" s="33" customFormat="1" x14ac:dyDescent="0.35">
      <c r="A162" s="168" t="s">
        <v>196</v>
      </c>
      <c r="B162" s="168"/>
      <c r="C162" s="164">
        <f>COUNT(D226:D233)</f>
        <v>8</v>
      </c>
      <c r="D162" s="165"/>
      <c r="E162" s="164">
        <f>SUM(D226:D233)</f>
        <v>908.73993599999994</v>
      </c>
      <c r="F162" s="165"/>
      <c r="G162" s="164">
        <f>SUM(F226:F233)</f>
        <v>1453.9838976000001</v>
      </c>
      <c r="H162" s="165"/>
    </row>
    <row r="163" spans="1:11" s="33" customFormat="1" x14ac:dyDescent="0.35">
      <c r="A163" s="168" t="s">
        <v>197</v>
      </c>
      <c r="B163" s="168"/>
      <c r="C163" s="164">
        <f>COUNT(D237:D245)</f>
        <v>9</v>
      </c>
      <c r="D163" s="165"/>
      <c r="E163" s="164">
        <f>SUM(D237:D245)</f>
        <v>1456.5091320000001</v>
      </c>
      <c r="F163" s="165"/>
      <c r="G163" s="164">
        <f>SUM(F237:F245)</f>
        <v>2330.4146111999999</v>
      </c>
      <c r="H163" s="165"/>
    </row>
    <row r="164" spans="1:11" s="33" customFormat="1" x14ac:dyDescent="0.35">
      <c r="A164" s="166" t="s">
        <v>150</v>
      </c>
      <c r="B164" s="166"/>
      <c r="C164" s="188">
        <f>SUM(C160:C163)</f>
        <v>26</v>
      </c>
      <c r="D164" s="119"/>
      <c r="E164" s="189">
        <f>SUM(E160:E163)</f>
        <v>3718.213902</v>
      </c>
      <c r="F164" s="167"/>
      <c r="G164" s="163">
        <f>SUM(G160:G163)</f>
        <v>5949.1422431999999</v>
      </c>
      <c r="H164" s="163"/>
    </row>
    <row r="165" spans="1:11" s="33" customFormat="1" x14ac:dyDescent="0.35">
      <c r="A165" s="166" t="s">
        <v>277</v>
      </c>
      <c r="B165" s="166"/>
      <c r="C165" s="166"/>
      <c r="D165" s="166"/>
      <c r="E165" s="166"/>
      <c r="F165" s="166"/>
      <c r="G165" s="166"/>
      <c r="H165" s="166"/>
    </row>
    <row r="166" spans="1:11" s="33" customFormat="1" x14ac:dyDescent="0.35">
      <c r="A166" s="163" t="s">
        <v>51</v>
      </c>
      <c r="B166" s="163"/>
      <c r="C166" s="119" t="s">
        <v>76</v>
      </c>
      <c r="D166" s="119"/>
      <c r="E166" s="167" t="s">
        <v>52</v>
      </c>
      <c r="F166" s="167"/>
      <c r="G166" s="163" t="s">
        <v>53</v>
      </c>
      <c r="H166" s="163"/>
    </row>
    <row r="167" spans="1:11" s="33" customFormat="1" x14ac:dyDescent="0.35">
      <c r="A167" s="168" t="s">
        <v>194</v>
      </c>
      <c r="B167" s="168"/>
      <c r="C167" s="164">
        <f>COUNT(D272:D277)+COUNT(D279:D284)*16+COUNT(D286:D288,D290:D291)+COUNT(D293:D297)+COUNT(D300,D303:D305,D307,D310:D312)</f>
        <v>120</v>
      </c>
      <c r="D167" s="164"/>
      <c r="E167" s="164">
        <f>SUM(D272:D277)+SUM(D279:D284)*16+SUM(D286:D288,D290:D291)+SUM(D293:D297)+SUM(D300,D303:D305,D307,D310:D312)</f>
        <v>48459.312719999987</v>
      </c>
      <c r="F167" s="164"/>
      <c r="G167" s="164">
        <f>SUM(F272:F277)+SUM(F279:F284)*16+SUM(F286:F288,F290:F291)+SUM(F293:F297)+SUM(F300,F303:F305,F307,F310:F312)</f>
        <v>75111.934715999989</v>
      </c>
      <c r="H167" s="164"/>
    </row>
    <row r="168" spans="1:11" s="33" customFormat="1" x14ac:dyDescent="0.35">
      <c r="A168" s="168" t="s">
        <v>199</v>
      </c>
      <c r="B168" s="168"/>
      <c r="C168" s="164">
        <f>COUNT(D318:D319,D321,D323,D325:D326,D330,D332:D333,D337,D339,D341:D342,D344,D346:D349,D351,D354:D356,D358,D360,D362:D363,D367:D370,D372,D374:D377,D379,D381:D384,D386,D389:D391,D393,D396:D398)+COUNT(D402:D405,D407)*7+COUNT(D409:D412)+COUNT(D416:D419)</f>
        <v>91</v>
      </c>
      <c r="D168" s="164"/>
      <c r="E168" s="164">
        <f>SUM(D318:D319,D321,D323,D325:D326,D330,D332:D333,D337,D339,D341:D342,D344,D346:D349,D351,D354:D356,D358,D360,D362:D363,D367:D370,D372,D374:D377,D379,D381:D384,D386,D389:D391,D393,D396:D398)+SUM(D402:D405,D407)*7+SUM(D409:D412)+SUM(D416:D419)</f>
        <v>32457.550319999991</v>
      </c>
      <c r="F168" s="164"/>
      <c r="G168" s="164">
        <f>SUM(F318:F319,F321,F323,F325:F326,F330,F332:F333,F337,F339,F341:F342,F344,F346:F349,F351,F354:F356,F358,F360,F362:F363,F367:F370,F372,F374:F377,F379,F381:F384,F386,F389:F391,F393,F396:F398)+SUM(F402:F405,F407)*7+SUM(F409:F412)+SUM(F416:F419)</f>
        <v>50309.202996</v>
      </c>
      <c r="H168" s="164"/>
    </row>
    <row r="169" spans="1:11" s="33" customFormat="1" x14ac:dyDescent="0.35">
      <c r="A169" s="168" t="s">
        <v>202</v>
      </c>
      <c r="B169" s="168"/>
      <c r="C169" s="164">
        <f>COUNT(D426:D427,D429,D431)+COUNT(D436:D437)*18+COUNT(D441:D442)*2</f>
        <v>44</v>
      </c>
      <c r="D169" s="164"/>
      <c r="E169" s="164">
        <f>SUM(D426:D427,D429,D431)+SUM(D436:D437)*18+SUM(D441:D442)*2</f>
        <v>15659.036639999998</v>
      </c>
      <c r="F169" s="164"/>
      <c r="G169" s="164">
        <f>SUM(F426:F427,F429,F431)+SUM(F436:F437)*18+SUM(F441:F442)*2</f>
        <v>24271.506791999993</v>
      </c>
      <c r="H169" s="164"/>
    </row>
    <row r="170" spans="1:11" s="33" customFormat="1" ht="15.75" customHeight="1" x14ac:dyDescent="0.35">
      <c r="A170" s="168" t="s">
        <v>195</v>
      </c>
      <c r="B170" s="168"/>
      <c r="C170" s="164">
        <f>COUNT(D449:D452,D463:D464,D466,D470:D472,D478:D480,D485:D487)+COUNT(D456:D459)*17</f>
        <v>84</v>
      </c>
      <c r="D170" s="164"/>
      <c r="E170" s="164">
        <f>SUM(D449:D452,D463:D464,D466,D470:D472,D478:D480,D485:D487)+SUM(D456:D459)*17</f>
        <v>29897.117639999997</v>
      </c>
      <c r="F170" s="164"/>
      <c r="G170" s="164">
        <f>SUM(F449:F452,F463:F464,F466,F470:F472,F478:F480,F485:F487)+SUM(F456:F459)*17</f>
        <v>46340.532341999999</v>
      </c>
      <c r="H170" s="164"/>
      <c r="J170" s="64">
        <f>C173+C196</f>
        <v>1083</v>
      </c>
      <c r="K170" s="64">
        <f>C181+C199</f>
        <v>195</v>
      </c>
    </row>
    <row r="171" spans="1:11" s="33" customFormat="1" x14ac:dyDescent="0.35">
      <c r="A171" s="168" t="s">
        <v>196</v>
      </c>
      <c r="B171" s="168"/>
      <c r="C171" s="164">
        <f>COUNT(D490:D495,D504:D507,D512:D516,D520:D523,D527:D529)+COUNT(D497:D502)*17</f>
        <v>124</v>
      </c>
      <c r="D171" s="164"/>
      <c r="E171" s="164">
        <f>SUM(D490:D495,D504:D507,D512:D516,D520:D523,D527:D529)+SUM(D497:D502)*17</f>
        <v>44054.791559999991</v>
      </c>
      <c r="F171" s="164"/>
      <c r="G171" s="164">
        <f>SUM(F490:F495,F504:F507,F512:F516,F520:F523,F527:F529)+SUM(F497:F502)*17</f>
        <v>68284.926917999983</v>
      </c>
      <c r="H171" s="164"/>
    </row>
    <row r="172" spans="1:11" s="33" customFormat="1" x14ac:dyDescent="0.35">
      <c r="A172" s="168" t="s">
        <v>197</v>
      </c>
      <c r="B172" s="168"/>
      <c r="C172" s="164">
        <f>COUNT(D533:D538)+COUNT(D540:D545)*19+COUNT(D547:D549,D552,D554:D556,D559)</f>
        <v>128</v>
      </c>
      <c r="D172" s="164"/>
      <c r="E172" s="164">
        <f>SUM(D533:D538)+SUM(D540:D545)*19+SUM(D547:D549,D552,D554:D556,D559)</f>
        <v>51596.480519999997</v>
      </c>
      <c r="F172" s="164"/>
      <c r="G172" s="164">
        <f>SUM(F533:F538)+SUM(F540:F545)*19+SUM(F547:F549,F552,F554:F556,F559)</f>
        <v>79974.544805999991</v>
      </c>
      <c r="H172" s="164"/>
    </row>
    <row r="173" spans="1:11" s="33" customFormat="1" x14ac:dyDescent="0.35">
      <c r="A173" s="166" t="s">
        <v>150</v>
      </c>
      <c r="B173" s="166"/>
      <c r="C173" s="188">
        <f>SUM(C167:C172)</f>
        <v>591</v>
      </c>
      <c r="D173" s="119"/>
      <c r="E173" s="189">
        <f>SUM(E167:E172)</f>
        <v>222124.28939999995</v>
      </c>
      <c r="F173" s="167"/>
      <c r="G173" s="163">
        <f>SUM(G167:G172)</f>
        <v>344292.64856999996</v>
      </c>
      <c r="H173" s="163"/>
    </row>
    <row r="174" spans="1:11" s="33" customFormat="1" x14ac:dyDescent="0.35">
      <c r="A174" s="166" t="s">
        <v>278</v>
      </c>
      <c r="B174" s="166"/>
      <c r="C174" s="166"/>
      <c r="D174" s="166"/>
      <c r="E174" s="166"/>
      <c r="F174" s="166"/>
      <c r="G174" s="166"/>
      <c r="H174" s="166"/>
    </row>
    <row r="175" spans="1:11" s="33" customFormat="1" x14ac:dyDescent="0.35">
      <c r="A175" s="163" t="s">
        <v>51</v>
      </c>
      <c r="B175" s="163"/>
      <c r="C175" s="119" t="s">
        <v>76</v>
      </c>
      <c r="D175" s="119"/>
      <c r="E175" s="167" t="s">
        <v>52</v>
      </c>
      <c r="F175" s="167"/>
      <c r="G175" s="163" t="s">
        <v>53</v>
      </c>
      <c r="H175" s="163"/>
    </row>
    <row r="176" spans="1:11" s="33" customFormat="1" x14ac:dyDescent="0.35">
      <c r="A176" s="168" t="s">
        <v>194</v>
      </c>
      <c r="B176" s="168"/>
      <c r="C176" s="164">
        <f>COUNT(D289,D298)</f>
        <v>2</v>
      </c>
      <c r="D176" s="165"/>
      <c r="E176" s="164">
        <f>SUM(D289,D298)</f>
        <v>708.59411999999998</v>
      </c>
      <c r="F176" s="165"/>
      <c r="G176" s="164">
        <f>SUM(F289,F298)</f>
        <v>1098.320886</v>
      </c>
      <c r="H176" s="165"/>
    </row>
    <row r="177" spans="1:9" s="33" customFormat="1" x14ac:dyDescent="0.35">
      <c r="A177" s="168" t="s">
        <v>199</v>
      </c>
      <c r="B177" s="168"/>
      <c r="C177" s="164">
        <f>COUNT(D320,D322,D327:D329,D334:D336,D340,D343,D350,D353,D357,D361,D371,D378,D385,D388,D392,D395,D399:D400,)+COUNT(D406)*7+COUNT(D420:D421)</f>
        <v>32</v>
      </c>
      <c r="D177" s="164"/>
      <c r="E177" s="164">
        <f>SUM(D320,D322,D327:D329,D334:D336,D340,D343,D350,D353,D357,D361,D371,D378,D385,D388,D392,D395,D399:D400,)+SUM(D406)*7+SUM(D420:D421)</f>
        <v>11765.26728</v>
      </c>
      <c r="F177" s="164"/>
      <c r="G177" s="164">
        <f>SUM(F320,F322,F327:F329,F334:F336,F340,F343,F350,F353,F357,F361,F371,F378,F385,F388,F392,F395,F399:F400,)+SUM(F406)*7+SUM(F420:F421)</f>
        <v>18236.164284000002</v>
      </c>
      <c r="H177" s="164"/>
    </row>
    <row r="178" spans="1:9" s="32" customFormat="1" x14ac:dyDescent="0.35">
      <c r="A178" s="168" t="s">
        <v>202</v>
      </c>
      <c r="B178" s="168"/>
      <c r="C178" s="164">
        <f>COUNT(D428,D432:D434)+COUNT(D438:D439)*18+COUNT(D444)*2</f>
        <v>42</v>
      </c>
      <c r="D178" s="164"/>
      <c r="E178" s="164">
        <f>SUM(D428,D432:D434)+SUM(D438:D439)*18+SUM(D444)*2</f>
        <v>16509.823199999999</v>
      </c>
      <c r="F178" s="164"/>
      <c r="G178" s="164">
        <f>SUM(F428,F432:F434)+SUM(F438:F439)*18+SUM(F444)*2</f>
        <v>25590.225959999996</v>
      </c>
      <c r="H178" s="164"/>
    </row>
    <row r="179" spans="1:9" x14ac:dyDescent="0.35">
      <c r="A179" s="168" t="s">
        <v>195</v>
      </c>
      <c r="B179" s="168"/>
      <c r="C179" s="164">
        <f>COUNT(D447:D448,D461:D462,D465,D468:D469,D473,D475,D482)+COUNT(D454:D455)*17</f>
        <v>44</v>
      </c>
      <c r="D179" s="164"/>
      <c r="E179" s="164">
        <f>SUM(D447:D448,D461:D462,D465,D468:D469,D473,D475,D482)+SUM(D454:D455)*17</f>
        <v>17252.96976</v>
      </c>
      <c r="F179" s="164"/>
      <c r="G179" s="164">
        <f>SUM(F447:F448,F461:F462,F465,F468:F469,F473,F475,F482)+SUM(F454:F455)*17</f>
        <v>26742.103128000002</v>
      </c>
      <c r="H179" s="164"/>
    </row>
    <row r="180" spans="1:9" x14ac:dyDescent="0.35">
      <c r="A180" s="168" t="s">
        <v>196</v>
      </c>
      <c r="B180" s="168"/>
      <c r="C180" s="164">
        <f>COUNT(D508:D509,D511,D530)</f>
        <v>4</v>
      </c>
      <c r="D180" s="165"/>
      <c r="E180" s="164">
        <f>SUM(D508:D509,D511,D530)</f>
        <v>1413.3131999999998</v>
      </c>
      <c r="F180" s="165"/>
      <c r="G180" s="164">
        <f>SUM(F508:F509,F511,F530)</f>
        <v>2190.6354600000004</v>
      </c>
      <c r="H180" s="165"/>
    </row>
    <row r="181" spans="1:9" x14ac:dyDescent="0.35">
      <c r="A181" s="166" t="s">
        <v>150</v>
      </c>
      <c r="B181" s="166"/>
      <c r="C181" s="188">
        <f>SUM(C176:C180)</f>
        <v>124</v>
      </c>
      <c r="D181" s="119"/>
      <c r="E181" s="189">
        <f>SUM(E176:E180)</f>
        <v>47649.967559999997</v>
      </c>
      <c r="F181" s="167"/>
      <c r="G181" s="163">
        <f>SUM(G176:G180)</f>
        <v>73857.449718000003</v>
      </c>
      <c r="H181" s="163"/>
    </row>
    <row r="182" spans="1:9" ht="15.75" customHeight="1" x14ac:dyDescent="0.35">
      <c r="A182" s="166" t="s">
        <v>276</v>
      </c>
      <c r="B182" s="166"/>
      <c r="C182" s="188">
        <f>C164+C173+C181</f>
        <v>741</v>
      </c>
      <c r="D182" s="119"/>
      <c r="E182" s="188">
        <f>E164+E173+E181</f>
        <v>273492.47086199996</v>
      </c>
      <c r="F182" s="119"/>
      <c r="G182" s="188">
        <f>G164+G173+G181</f>
        <v>424099.24053119996</v>
      </c>
      <c r="H182" s="119"/>
    </row>
    <row r="183" spans="1:9" ht="15.75" customHeight="1" x14ac:dyDescent="0.35">
      <c r="A183" s="114" t="s">
        <v>246</v>
      </c>
      <c r="B183" s="115"/>
      <c r="C183" s="115"/>
      <c r="D183" s="115"/>
      <c r="E183" s="115"/>
      <c r="F183" s="115"/>
      <c r="G183" s="115"/>
      <c r="H183" s="116"/>
    </row>
    <row r="184" spans="1:9" ht="15.65" customHeight="1" x14ac:dyDescent="0.35">
      <c r="A184" s="166" t="s">
        <v>290</v>
      </c>
      <c r="B184" s="166"/>
      <c r="C184" s="166"/>
      <c r="D184" s="166"/>
      <c r="E184" s="166"/>
      <c r="F184" s="166"/>
      <c r="G184" s="166"/>
      <c r="H184" s="166"/>
    </row>
    <row r="185" spans="1:9" x14ac:dyDescent="0.35">
      <c r="A185" s="163" t="s">
        <v>51</v>
      </c>
      <c r="B185" s="163"/>
      <c r="C185" s="119" t="s">
        <v>76</v>
      </c>
      <c r="D185" s="119"/>
      <c r="E185" s="167" t="s">
        <v>52</v>
      </c>
      <c r="F185" s="167"/>
      <c r="G185" s="163" t="s">
        <v>53</v>
      </c>
      <c r="H185" s="163"/>
    </row>
    <row r="186" spans="1:9" ht="30.65" customHeight="1" x14ac:dyDescent="0.35">
      <c r="A186" s="42" t="s">
        <v>310</v>
      </c>
      <c r="B186" s="42" t="s">
        <v>198</v>
      </c>
      <c r="C186" s="202">
        <f>COUNT(D249:D258)</f>
        <v>10</v>
      </c>
      <c r="D186" s="202"/>
      <c r="E186" s="202">
        <f>SUM(D249:D258)</f>
        <v>2201.7008519999999</v>
      </c>
      <c r="F186" s="202"/>
      <c r="G186" s="202">
        <f>SUM(F249:F258)</f>
        <v>3522.7213631999998</v>
      </c>
      <c r="H186" s="202"/>
    </row>
    <row r="187" spans="1:9" x14ac:dyDescent="0.35">
      <c r="A187" s="42" t="s">
        <v>268</v>
      </c>
      <c r="B187" s="42" t="s">
        <v>303</v>
      </c>
      <c r="C187" s="202">
        <f>COUNT(D261:D264)</f>
        <v>4</v>
      </c>
      <c r="D187" s="202"/>
      <c r="E187" s="202">
        <f>SUM(D261:D264)</f>
        <v>3795.0473339999994</v>
      </c>
      <c r="F187" s="202"/>
      <c r="G187" s="202">
        <f>SUM(F261:F264)</f>
        <v>6172.4392703999993</v>
      </c>
      <c r="H187" s="202"/>
    </row>
    <row r="188" spans="1:9" x14ac:dyDescent="0.35">
      <c r="A188" s="166" t="s">
        <v>150</v>
      </c>
      <c r="B188" s="166"/>
      <c r="C188" s="188">
        <f>SUM(C186:C187)</f>
        <v>14</v>
      </c>
      <c r="D188" s="119"/>
      <c r="E188" s="189">
        <f>SUM(E186:E187)</f>
        <v>5996.7481859999989</v>
      </c>
      <c r="F188" s="167"/>
      <c r="G188" s="163">
        <f>SUM(G186:G187)</f>
        <v>9695.1606335999986</v>
      </c>
      <c r="H188" s="163"/>
    </row>
    <row r="189" spans="1:9" x14ac:dyDescent="0.35">
      <c r="A189" s="166" t="s">
        <v>277</v>
      </c>
      <c r="B189" s="166"/>
      <c r="C189" s="166"/>
      <c r="D189" s="166"/>
      <c r="E189" s="166"/>
      <c r="F189" s="166"/>
      <c r="G189" s="166"/>
      <c r="H189" s="166"/>
      <c r="I189" s="19">
        <f>83+44</f>
        <v>127</v>
      </c>
    </row>
    <row r="190" spans="1:9" x14ac:dyDescent="0.35">
      <c r="A190" s="163" t="s">
        <v>51</v>
      </c>
      <c r="B190" s="163"/>
      <c r="C190" s="119" t="s">
        <v>76</v>
      </c>
      <c r="D190" s="119"/>
      <c r="E190" s="167" t="s">
        <v>52</v>
      </c>
      <c r="F190" s="167"/>
      <c r="G190" s="163" t="s">
        <v>53</v>
      </c>
      <c r="H190" s="163"/>
    </row>
    <row r="191" spans="1:9" x14ac:dyDescent="0.35">
      <c r="A191" s="168" t="s">
        <v>263</v>
      </c>
      <c r="B191" s="168"/>
      <c r="C191" s="164">
        <f>COUNT(D566:D567)+COUNT(D570:D575)*2+COUNT(D577:D582)*4+COUNT(D586:D589)+COUNT(D591:D596)*13+COUNT(D600:D603)</f>
        <v>124</v>
      </c>
      <c r="D191" s="164"/>
      <c r="E191" s="164">
        <f>SUM(D566:D567)+SUM(D570:D575)*2+SUM(D577:D582)*4+SUM(D586:D589)+SUM(D591:D596)*13+SUM(D600:D603)</f>
        <v>53233.146719999997</v>
      </c>
      <c r="F191" s="164"/>
      <c r="G191" s="164">
        <f>SUM(F566:F567)+SUM(F570:F575)*2+SUM(F577:F582)*4+SUM(F586:F589)+SUM(F591:F596)*13+SUM(F600:F603)</f>
        <v>82511.377415999988</v>
      </c>
      <c r="H191" s="164"/>
    </row>
    <row r="192" spans="1:9" x14ac:dyDescent="0.35">
      <c r="A192" s="168" t="s">
        <v>265</v>
      </c>
      <c r="B192" s="168"/>
      <c r="C192" s="164">
        <f>COUNT(D616:D621)*2+COUNT(D623:D628)*4+COUNT(D630:D632,D635)+COUNT(D637:D642)*13+COUNT(D644:D646,D649)</f>
        <v>122</v>
      </c>
      <c r="D192" s="164"/>
      <c r="E192" s="164">
        <f>SUM(D616:D621)*2+SUM(D623:D628)*4+SUM(D630:D632,D635)+SUM(D637:D642)*13+SUM(D644:D646,D649)</f>
        <v>51308.112959999999</v>
      </c>
      <c r="F192" s="164"/>
      <c r="G192" s="164">
        <f>SUM(F616:F621)*2+SUM(F623:F628)*4+SUM(F630:F632,F635)+SUM(F637:F642)*13+SUM(F644:F646,F649)</f>
        <v>79527.575087999998</v>
      </c>
      <c r="H192" s="164"/>
    </row>
    <row r="193" spans="1:14" x14ac:dyDescent="0.35">
      <c r="A193" s="168" t="s">
        <v>268</v>
      </c>
      <c r="B193" s="168"/>
      <c r="C193" s="164">
        <f>COUNT(D659:D662)*2+COUNT(D664:D667)*4+COUNT(D669:D670)+COUNT(D674:D677)*13+COUNT(D679:D680)</f>
        <v>80</v>
      </c>
      <c r="D193" s="164"/>
      <c r="E193" s="164">
        <f>SUM(D659:D662)*2+SUM(D664:D667)*4+SUM(D669:D670)+SUM(D674:D677)*13+SUM(D679:D680)</f>
        <v>28839.554639999998</v>
      </c>
      <c r="F193" s="164"/>
      <c r="G193" s="164">
        <f>SUM(F659:F662)*2+SUM(F664:F667)*4+SUM(F669:F670)+SUM(F674:F677)*13+SUM(F679:F680)</f>
        <v>44701.309691999995</v>
      </c>
      <c r="H193" s="164"/>
      <c r="I193" s="19">
        <f>86+27</f>
        <v>113</v>
      </c>
      <c r="J193" s="19">
        <f>42+71</f>
        <v>113</v>
      </c>
    </row>
    <row r="194" spans="1:14" x14ac:dyDescent="0.35">
      <c r="A194" s="168" t="s">
        <v>269</v>
      </c>
      <c r="B194" s="168"/>
      <c r="C194" s="164">
        <f>COUNT(D689:D694)*2+COUNT(D696:D701)*4+COUNT(D703,D705:D708)+COUNT(D710:D715)*13+COUNT(D717,D719:D722)</f>
        <v>124</v>
      </c>
      <c r="D194" s="164"/>
      <c r="E194" s="164">
        <f>SUM(D689:D694)*2+SUM(D696:D701)*4+SUM(D703,D705:D708)+SUM(D710:D715)*13+SUM(D717,D719:D722)</f>
        <v>45203.310360000003</v>
      </c>
      <c r="F194" s="164"/>
      <c r="G194" s="164">
        <f>SUM(F689:F694)*2+SUM(F696:F701)*4+SUM(F703,F705:F708)+SUM(F710:F715)*13+SUM(F717,F719:F722)</f>
        <v>70065.131057999984</v>
      </c>
      <c r="H194" s="164"/>
    </row>
    <row r="195" spans="1:14" x14ac:dyDescent="0.35">
      <c r="A195" s="168" t="s">
        <v>270</v>
      </c>
      <c r="B195" s="168"/>
      <c r="C195" s="164">
        <f>COUNT(D744:D745)*2+COUNT(D751:D752)*4+COUNT(D756,D759)+COUNT(D763,D765)*13+COUNT(D769,D771)</f>
        <v>42</v>
      </c>
      <c r="D195" s="164"/>
      <c r="E195" s="164">
        <f>SUM(D744:D745)*2+SUM(D751:D752)*4+SUM(D756,D759)+SUM(D763,D765)*13+SUM(D769,D771)</f>
        <v>17959.949280000001</v>
      </c>
      <c r="F195" s="164"/>
      <c r="G195" s="164">
        <f>SUM(F744:F745)*2+SUM(F751:F752)*4+SUM(F756,F759)+SUM(F763,F765)*13+SUM(F769,F771)</f>
        <v>27837.921383999997</v>
      </c>
      <c r="H195" s="164"/>
    </row>
    <row r="196" spans="1:14" x14ac:dyDescent="0.35">
      <c r="A196" s="166" t="s">
        <v>150</v>
      </c>
      <c r="B196" s="166"/>
      <c r="C196" s="188">
        <f>SUM(C191:D195)</f>
        <v>492</v>
      </c>
      <c r="D196" s="119"/>
      <c r="E196" s="189">
        <f>SUM(E191:F195)</f>
        <v>196544.07395999998</v>
      </c>
      <c r="F196" s="167"/>
      <c r="G196" s="163">
        <f>SUM(G191:H195)</f>
        <v>304643.31463799992</v>
      </c>
      <c r="H196" s="163"/>
    </row>
    <row r="197" spans="1:14" x14ac:dyDescent="0.35">
      <c r="A197" s="166" t="s">
        <v>278</v>
      </c>
      <c r="B197" s="166"/>
      <c r="C197" s="166"/>
      <c r="D197" s="166"/>
      <c r="E197" s="166"/>
      <c r="F197" s="166"/>
      <c r="G197" s="166"/>
      <c r="H197" s="166"/>
    </row>
    <row r="198" spans="1:14" x14ac:dyDescent="0.35">
      <c r="A198" s="163" t="s">
        <v>51</v>
      </c>
      <c r="B198" s="163"/>
      <c r="C198" s="119" t="s">
        <v>76</v>
      </c>
      <c r="D198" s="119"/>
      <c r="E198" s="167" t="s">
        <v>52</v>
      </c>
      <c r="F198" s="167"/>
      <c r="G198" s="163" t="s">
        <v>53</v>
      </c>
      <c r="H198" s="163"/>
    </row>
    <row r="199" spans="1:14" x14ac:dyDescent="0.35">
      <c r="A199" s="168" t="s">
        <v>270</v>
      </c>
      <c r="B199" s="168"/>
      <c r="C199" s="164">
        <f>COUNT(D733:D736)+COUNT(D740:D743)*2+COUNT(D747:D750)*4+COUNT(D754:D755)+COUNT(D761:D762,D764)*13+COUNT(D767:D768)</f>
        <v>71</v>
      </c>
      <c r="D199" s="165"/>
      <c r="E199" s="164">
        <f>SUM(D733:D736)+SUM(D740:D743)*2+SUM(D747:D750)*4+SUM(D754:D755)+SUM(D761:D762,D764)*13+SUM(D767:D768)</f>
        <v>28869.586199999994</v>
      </c>
      <c r="F199" s="165"/>
      <c r="G199" s="164">
        <f>SUM(F733:F736)+SUM(F740:F743)*2+SUM(F747:F750)*4+SUM(F754:F755)+SUM(F761:F762,F764)*13+SUM(F767:F768)</f>
        <v>44747.858609999988</v>
      </c>
      <c r="H199" s="165"/>
    </row>
    <row r="200" spans="1:14" ht="15.75" customHeight="1" x14ac:dyDescent="0.35">
      <c r="A200" s="166" t="s">
        <v>150</v>
      </c>
      <c r="B200" s="166"/>
      <c r="C200" s="188">
        <f>SUM(C199)</f>
        <v>71</v>
      </c>
      <c r="D200" s="119"/>
      <c r="E200" s="189">
        <f>SUM(E199)</f>
        <v>28869.586199999994</v>
      </c>
      <c r="F200" s="167"/>
      <c r="G200" s="163">
        <f>SUM(G199)</f>
        <v>44747.858609999988</v>
      </c>
      <c r="H200" s="163"/>
    </row>
    <row r="201" spans="1:14" s="43" customFormat="1" x14ac:dyDescent="0.35">
      <c r="A201" s="166" t="s">
        <v>276</v>
      </c>
      <c r="B201" s="166"/>
      <c r="C201" s="188">
        <f>C196+C200</f>
        <v>563</v>
      </c>
      <c r="D201" s="119"/>
      <c r="E201" s="188">
        <f>E196+E200</f>
        <v>225413.66015999997</v>
      </c>
      <c r="F201" s="119"/>
      <c r="G201" s="188">
        <f>G196+G200</f>
        <v>349391.17324799992</v>
      </c>
      <c r="H201" s="119"/>
    </row>
    <row r="202" spans="1:14" s="43" customFormat="1" x14ac:dyDescent="0.35">
      <c r="A202" s="197" t="s">
        <v>237</v>
      </c>
      <c r="B202" s="198"/>
      <c r="C202" s="199">
        <f>C182+C201</f>
        <v>1304</v>
      </c>
      <c r="D202" s="200"/>
      <c r="E202" s="199">
        <f>E182+E201</f>
        <v>498906.13102199993</v>
      </c>
      <c r="F202" s="200"/>
      <c r="G202" s="199">
        <f>G182+G201</f>
        <v>773490.41377919982</v>
      </c>
      <c r="H202" s="200"/>
      <c r="J202" s="34"/>
    </row>
    <row r="203" spans="1:14" s="43" customFormat="1" x14ac:dyDescent="0.35">
      <c r="A203" s="120" t="s">
        <v>54</v>
      </c>
      <c r="B203" s="120"/>
      <c r="C203" s="120"/>
      <c r="D203" s="120"/>
      <c r="E203" s="120"/>
      <c r="F203" s="120"/>
      <c r="G203" s="120"/>
      <c r="H203" s="120"/>
      <c r="J203" s="34"/>
    </row>
    <row r="204" spans="1:14" s="43" customFormat="1" x14ac:dyDescent="0.35">
      <c r="A204" s="120" t="s">
        <v>55</v>
      </c>
      <c r="B204" s="120"/>
      <c r="C204" s="120"/>
      <c r="D204" s="120"/>
      <c r="E204" s="120"/>
      <c r="F204" s="120"/>
      <c r="G204" s="120"/>
      <c r="H204" s="120"/>
      <c r="J204" s="34"/>
    </row>
    <row r="205" spans="1:14" s="43" customFormat="1" ht="51" customHeight="1" x14ac:dyDescent="0.35">
      <c r="A205" s="170" t="s">
        <v>119</v>
      </c>
      <c r="B205" s="170" t="s">
        <v>118</v>
      </c>
      <c r="C205" s="170" t="s">
        <v>56</v>
      </c>
      <c r="D205" s="170" t="s">
        <v>57</v>
      </c>
      <c r="E205" s="138" t="s">
        <v>155</v>
      </c>
      <c r="F205" s="40" t="s">
        <v>149</v>
      </c>
      <c r="G205" s="140" t="s">
        <v>59</v>
      </c>
      <c r="H205" s="141"/>
      <c r="J205" s="34"/>
    </row>
    <row r="206" spans="1:14" s="43" customFormat="1" x14ac:dyDescent="0.35">
      <c r="A206" s="171"/>
      <c r="B206" s="171"/>
      <c r="C206" s="171"/>
      <c r="D206" s="171"/>
      <c r="E206" s="139"/>
      <c r="F206" s="13">
        <v>0.6</v>
      </c>
      <c r="G206" s="142"/>
      <c r="H206" s="143"/>
      <c r="I206" s="53">
        <f>10.764</f>
        <v>10.763999999999999</v>
      </c>
      <c r="L206" s="162"/>
      <c r="M206" s="162"/>
      <c r="N206" s="34"/>
    </row>
    <row r="207" spans="1:14" s="43" customFormat="1" x14ac:dyDescent="0.35">
      <c r="A207" s="86" t="s">
        <v>240</v>
      </c>
      <c r="B207" s="87"/>
      <c r="C207" s="87"/>
      <c r="D207" s="87"/>
      <c r="E207" s="87"/>
      <c r="F207" s="87"/>
      <c r="G207" s="87"/>
      <c r="H207" s="88"/>
      <c r="I207" s="34"/>
      <c r="L207" s="162"/>
      <c r="M207" s="162"/>
      <c r="N207" s="34"/>
    </row>
    <row r="208" spans="1:14" s="43" customFormat="1" x14ac:dyDescent="0.35">
      <c r="A208" s="86" t="s">
        <v>194</v>
      </c>
      <c r="B208" s="87"/>
      <c r="C208" s="87"/>
      <c r="D208" s="87"/>
      <c r="E208" s="87"/>
      <c r="F208" s="87"/>
      <c r="G208" s="87"/>
      <c r="H208" s="88"/>
      <c r="J208" s="34"/>
    </row>
    <row r="209" spans="1:14" s="43" customFormat="1" x14ac:dyDescent="0.35">
      <c r="A209" s="107" t="s">
        <v>193</v>
      </c>
      <c r="B209" s="108"/>
      <c r="C209" s="108"/>
      <c r="D209" s="108"/>
      <c r="E209" s="108"/>
      <c r="F209" s="108"/>
      <c r="G209" s="108"/>
      <c r="H209" s="109"/>
      <c r="J209" s="34"/>
    </row>
    <row r="210" spans="1:14" s="43" customFormat="1" ht="15.75" customHeight="1" x14ac:dyDescent="0.35">
      <c r="A210" s="107" t="s">
        <v>200</v>
      </c>
      <c r="B210" s="108"/>
      <c r="C210" s="108"/>
      <c r="D210" s="108"/>
      <c r="E210" s="108"/>
      <c r="F210" s="108"/>
      <c r="G210" s="108"/>
      <c r="H210" s="109"/>
      <c r="J210" s="34"/>
    </row>
    <row r="211" spans="1:14" s="43" customFormat="1" ht="36" customHeight="1" x14ac:dyDescent="0.35">
      <c r="A211" s="101">
        <v>1</v>
      </c>
      <c r="B211" s="103"/>
      <c r="C211" s="39" t="s">
        <v>198</v>
      </c>
      <c r="D211" s="53">
        <f>((5*3.15+1.35*1.91))*(10.764)</f>
        <v>197.28797399999996</v>
      </c>
      <c r="E211" s="39">
        <v>0</v>
      </c>
      <c r="F211" s="39">
        <f>(D211+E211)*(($F$206)+1)</f>
        <v>315.66075839999996</v>
      </c>
      <c r="G211" s="93" t="str">
        <f>A210</f>
        <v>Ground Floor for Commercial, Entrance Lobby, Meter Room, Society Office, Public Toilet &amp; Parking</v>
      </c>
      <c r="H211" s="94"/>
      <c r="I211" s="34"/>
      <c r="L211" s="162"/>
      <c r="M211" s="162"/>
      <c r="N211" s="34"/>
    </row>
    <row r="212" spans="1:14" s="43" customFormat="1" ht="39.75" customHeight="1" x14ac:dyDescent="0.35">
      <c r="A212" s="101">
        <f t="shared" ref="A212" si="0">A211+1</f>
        <v>2</v>
      </c>
      <c r="B212" s="103"/>
      <c r="C212" s="39" t="s">
        <v>198</v>
      </c>
      <c r="D212" s="53">
        <f>((6.35*4.45+0.95*3.78+1.25*1.1+1.8*0.9))*(10.764)</f>
        <v>375.05543399999999</v>
      </c>
      <c r="E212" s="39">
        <v>0</v>
      </c>
      <c r="F212" s="39">
        <f t="shared" ref="F212" si="1">(D212+E212)*(($F$206)+1)</f>
        <v>600.08869440000001</v>
      </c>
      <c r="G212" s="97"/>
      <c r="H212" s="98"/>
      <c r="I212" s="34"/>
      <c r="L212" s="162"/>
      <c r="M212" s="162"/>
      <c r="N212" s="34"/>
    </row>
    <row r="213" spans="1:14" s="43" customFormat="1" x14ac:dyDescent="0.35">
      <c r="A213" s="86" t="s">
        <v>195</v>
      </c>
      <c r="B213" s="87"/>
      <c r="C213" s="87"/>
      <c r="D213" s="87"/>
      <c r="E213" s="87"/>
      <c r="F213" s="87"/>
      <c r="G213" s="87"/>
      <c r="H213" s="88"/>
      <c r="I213" s="34"/>
      <c r="L213" s="162"/>
      <c r="M213" s="162"/>
      <c r="N213" s="34"/>
    </row>
    <row r="214" spans="1:14" s="43" customFormat="1" x14ac:dyDescent="0.35">
      <c r="A214" s="107" t="s">
        <v>193</v>
      </c>
      <c r="B214" s="108"/>
      <c r="C214" s="108"/>
      <c r="D214" s="108"/>
      <c r="E214" s="108"/>
      <c r="F214" s="108"/>
      <c r="G214" s="108"/>
      <c r="H214" s="109"/>
      <c r="I214" s="34"/>
      <c r="L214" s="162"/>
      <c r="M214" s="162"/>
      <c r="N214" s="34"/>
    </row>
    <row r="215" spans="1:14" s="43" customFormat="1" x14ac:dyDescent="0.35">
      <c r="A215" s="107" t="s">
        <v>203</v>
      </c>
      <c r="B215" s="108"/>
      <c r="C215" s="108"/>
      <c r="D215" s="108"/>
      <c r="E215" s="108"/>
      <c r="F215" s="108"/>
      <c r="G215" s="108"/>
      <c r="H215" s="109"/>
      <c r="I215" s="34"/>
      <c r="L215" s="162"/>
      <c r="M215" s="162"/>
      <c r="N215" s="34"/>
    </row>
    <row r="216" spans="1:14" s="43" customFormat="1" x14ac:dyDescent="0.35">
      <c r="A216" s="101">
        <v>20</v>
      </c>
      <c r="B216" s="103"/>
      <c r="C216" s="39" t="s">
        <v>198</v>
      </c>
      <c r="D216" s="53">
        <f>((3*3.37+1.4))*(10.764)</f>
        <v>123.89363999999999</v>
      </c>
      <c r="E216" s="39">
        <v>0</v>
      </c>
      <c r="F216" s="39">
        <f>(D216+E216)*(($F$206)+1)</f>
        <v>198.22982400000001</v>
      </c>
      <c r="G216" s="93" t="str">
        <f>A215</f>
        <v>Ground Floor for Commercial, Entrance Lobby, Public Toilet</v>
      </c>
      <c r="H216" s="94"/>
      <c r="I216" s="34"/>
      <c r="L216" s="162"/>
      <c r="M216" s="162"/>
      <c r="N216" s="34"/>
    </row>
    <row r="217" spans="1:14" s="43" customFormat="1" x14ac:dyDescent="0.35">
      <c r="A217" s="101">
        <f t="shared" ref="A217:A222" si="2">A216+1</f>
        <v>21</v>
      </c>
      <c r="B217" s="103"/>
      <c r="C217" s="39" t="s">
        <v>198</v>
      </c>
      <c r="D217" s="53">
        <f>((3.55*3.22))*(10.764)</f>
        <v>123.043284</v>
      </c>
      <c r="E217" s="39">
        <v>0</v>
      </c>
      <c r="F217" s="39">
        <f t="shared" ref="F217:F219" si="3">(D217+E217)*(($F$206)+1)</f>
        <v>196.86925440000002</v>
      </c>
      <c r="G217" s="95"/>
      <c r="H217" s="96"/>
      <c r="I217" s="34"/>
      <c r="L217" s="162"/>
      <c r="M217" s="162"/>
      <c r="N217" s="34"/>
    </row>
    <row r="218" spans="1:14" s="43" customFormat="1" x14ac:dyDescent="0.35">
      <c r="A218" s="101">
        <f t="shared" si="2"/>
        <v>22</v>
      </c>
      <c r="B218" s="103"/>
      <c r="C218" s="39" t="s">
        <v>198</v>
      </c>
      <c r="D218" s="53">
        <f>((3.55*3.22))*(10.764)</f>
        <v>123.043284</v>
      </c>
      <c r="E218" s="39">
        <v>0</v>
      </c>
      <c r="F218" s="39">
        <f t="shared" si="3"/>
        <v>196.86925440000002</v>
      </c>
      <c r="G218" s="95"/>
      <c r="H218" s="96"/>
      <c r="J218" s="34"/>
    </row>
    <row r="219" spans="1:14" s="43" customFormat="1" x14ac:dyDescent="0.35">
      <c r="A219" s="101">
        <f t="shared" si="2"/>
        <v>23</v>
      </c>
      <c r="B219" s="103"/>
      <c r="C219" s="39" t="s">
        <v>198</v>
      </c>
      <c r="D219" s="53">
        <f>((3*2.17+1.4*0.95))*(10.764)</f>
        <v>84.389759999999995</v>
      </c>
      <c r="E219" s="39">
        <v>0</v>
      </c>
      <c r="F219" s="39">
        <f t="shared" si="3"/>
        <v>135.023616</v>
      </c>
      <c r="G219" s="95"/>
      <c r="H219" s="96"/>
      <c r="J219" s="34"/>
    </row>
    <row r="220" spans="1:14" s="43" customFormat="1" ht="15.75" customHeight="1" x14ac:dyDescent="0.35">
      <c r="A220" s="101">
        <f t="shared" si="2"/>
        <v>24</v>
      </c>
      <c r="B220" s="103"/>
      <c r="C220" s="39" t="s">
        <v>198</v>
      </c>
      <c r="D220" s="53">
        <f>((3*2.17+1.25*0.75))*(10.764)</f>
        <v>80.16489</v>
      </c>
      <c r="E220" s="39">
        <v>0</v>
      </c>
      <c r="F220" s="39">
        <f t="shared" ref="F220:F221" si="4">(D220+E220)*(($F$206)+1)</f>
        <v>128.263824</v>
      </c>
      <c r="G220" s="95"/>
      <c r="H220" s="96"/>
      <c r="J220" s="34"/>
    </row>
    <row r="221" spans="1:14" s="43" customFormat="1" x14ac:dyDescent="0.35">
      <c r="A221" s="101">
        <f t="shared" si="2"/>
        <v>25</v>
      </c>
      <c r="B221" s="103"/>
      <c r="C221" s="39" t="s">
        <v>198</v>
      </c>
      <c r="D221" s="53">
        <f>((3.55*3.22))*(10.764)</f>
        <v>123.043284</v>
      </c>
      <c r="E221" s="39">
        <v>0</v>
      </c>
      <c r="F221" s="39">
        <f t="shared" si="4"/>
        <v>196.86925440000002</v>
      </c>
      <c r="G221" s="95"/>
      <c r="H221" s="96"/>
      <c r="I221" s="34"/>
      <c r="L221" s="162"/>
      <c r="M221" s="162"/>
      <c r="N221" s="34"/>
    </row>
    <row r="222" spans="1:14" s="43" customFormat="1" x14ac:dyDescent="0.35">
      <c r="A222" s="101">
        <f t="shared" si="2"/>
        <v>26</v>
      </c>
      <c r="B222" s="103"/>
      <c r="C222" s="39" t="s">
        <v>198</v>
      </c>
      <c r="D222" s="53">
        <f>((3.55*3.22))*(10.764)</f>
        <v>123.043284</v>
      </c>
      <c r="E222" s="39">
        <v>0</v>
      </c>
      <c r="F222" s="39">
        <f t="shared" ref="F222" si="5">(D222+E222)*(($F$206)+1)</f>
        <v>196.86925440000002</v>
      </c>
      <c r="G222" s="97"/>
      <c r="H222" s="98"/>
      <c r="I222" s="34"/>
      <c r="L222" s="162"/>
      <c r="M222" s="162"/>
      <c r="N222" s="34"/>
    </row>
    <row r="223" spans="1:14" s="43" customFormat="1" x14ac:dyDescent="0.35">
      <c r="A223" s="86" t="s">
        <v>196</v>
      </c>
      <c r="B223" s="87"/>
      <c r="C223" s="87"/>
      <c r="D223" s="87"/>
      <c r="E223" s="87"/>
      <c r="F223" s="87"/>
      <c r="G223" s="87"/>
      <c r="H223" s="88"/>
      <c r="I223" s="34"/>
      <c r="L223" s="162"/>
      <c r="M223" s="162"/>
      <c r="N223" s="34"/>
    </row>
    <row r="224" spans="1:14" s="43" customFormat="1" x14ac:dyDescent="0.35">
      <c r="A224" s="107" t="s">
        <v>193</v>
      </c>
      <c r="B224" s="108"/>
      <c r="C224" s="108"/>
      <c r="D224" s="108"/>
      <c r="E224" s="108"/>
      <c r="F224" s="108"/>
      <c r="G224" s="108"/>
      <c r="H224" s="109"/>
      <c r="I224" s="34"/>
      <c r="L224" s="162"/>
      <c r="M224" s="162"/>
      <c r="N224" s="34"/>
    </row>
    <row r="225" spans="1:14" s="43" customFormat="1" x14ac:dyDescent="0.35">
      <c r="A225" s="107" t="s">
        <v>204</v>
      </c>
      <c r="B225" s="108"/>
      <c r="C225" s="108"/>
      <c r="D225" s="108"/>
      <c r="E225" s="108"/>
      <c r="F225" s="108"/>
      <c r="G225" s="108"/>
      <c r="H225" s="109"/>
      <c r="I225" s="34"/>
      <c r="L225" s="162"/>
      <c r="M225" s="162"/>
      <c r="N225" s="34"/>
    </row>
    <row r="226" spans="1:14" s="43" customFormat="1" x14ac:dyDescent="0.35">
      <c r="A226" s="101">
        <v>12</v>
      </c>
      <c r="B226" s="103"/>
      <c r="C226" s="39" t="s">
        <v>198</v>
      </c>
      <c r="D226" s="53">
        <f>((3*3.37+1.4))*(10.764)</f>
        <v>123.89363999999999</v>
      </c>
      <c r="E226" s="39">
        <v>0</v>
      </c>
      <c r="F226" s="39">
        <f>(D226+E226)*(($F$206)+1)</f>
        <v>198.22982400000001</v>
      </c>
      <c r="G226" s="93" t="str">
        <f>A225</f>
        <v>Ground Floor for Commercial, Entrance Lobby &amp; Meter Room</v>
      </c>
      <c r="H226" s="94"/>
      <c r="I226" s="34"/>
      <c r="L226" s="162"/>
      <c r="M226" s="162"/>
      <c r="N226" s="34"/>
    </row>
    <row r="227" spans="1:14" s="43" customFormat="1" x14ac:dyDescent="0.35">
      <c r="A227" s="101">
        <f t="shared" ref="A227:A233" si="6">A226+1</f>
        <v>13</v>
      </c>
      <c r="B227" s="103"/>
      <c r="C227" s="39" t="s">
        <v>198</v>
      </c>
      <c r="D227" s="53">
        <f>((3.55*3.22))*(10.764)</f>
        <v>123.043284</v>
      </c>
      <c r="E227" s="39">
        <v>0</v>
      </c>
      <c r="F227" s="39">
        <f t="shared" ref="F227:F232" si="7">(D227+E227)*(($F$206)+1)</f>
        <v>196.86925440000002</v>
      </c>
      <c r="G227" s="95"/>
      <c r="H227" s="96"/>
      <c r="I227" s="34"/>
      <c r="L227" s="162"/>
      <c r="M227" s="162"/>
      <c r="N227" s="34"/>
    </row>
    <row r="228" spans="1:14" s="43" customFormat="1" x14ac:dyDescent="0.35">
      <c r="A228" s="101">
        <f t="shared" si="6"/>
        <v>14</v>
      </c>
      <c r="B228" s="103"/>
      <c r="C228" s="39" t="s">
        <v>198</v>
      </c>
      <c r="D228" s="53">
        <f>((3.55*3.22))*(10.764)</f>
        <v>123.043284</v>
      </c>
      <c r="E228" s="39">
        <v>0</v>
      </c>
      <c r="F228" s="39">
        <f t="shared" si="7"/>
        <v>196.86925440000002</v>
      </c>
      <c r="G228" s="95"/>
      <c r="H228" s="96"/>
      <c r="I228" s="34"/>
      <c r="L228" s="162"/>
      <c r="M228" s="162"/>
      <c r="N228" s="34"/>
    </row>
    <row r="229" spans="1:14" s="43" customFormat="1" x14ac:dyDescent="0.35">
      <c r="A229" s="101">
        <f t="shared" si="6"/>
        <v>15</v>
      </c>
      <c r="B229" s="103"/>
      <c r="C229" s="39" t="s">
        <v>198</v>
      </c>
      <c r="D229" s="53">
        <f>((3*2.17+1.4*0.95))*(10.764)</f>
        <v>84.389759999999995</v>
      </c>
      <c r="E229" s="39">
        <v>0</v>
      </c>
      <c r="F229" s="39">
        <f t="shared" si="7"/>
        <v>135.023616</v>
      </c>
      <c r="G229" s="95"/>
      <c r="H229" s="96"/>
      <c r="J229" s="34"/>
    </row>
    <row r="230" spans="1:14" s="43" customFormat="1" x14ac:dyDescent="0.35">
      <c r="A230" s="101">
        <f t="shared" si="6"/>
        <v>16</v>
      </c>
      <c r="B230" s="103"/>
      <c r="C230" s="39" t="s">
        <v>198</v>
      </c>
      <c r="D230" s="53">
        <f>((3*2.17+1.4*0.95))*(10.764)</f>
        <v>84.389759999999995</v>
      </c>
      <c r="E230" s="39">
        <v>0</v>
      </c>
      <c r="F230" s="39">
        <f t="shared" si="7"/>
        <v>135.023616</v>
      </c>
      <c r="G230" s="95"/>
      <c r="H230" s="96"/>
      <c r="J230" s="34"/>
    </row>
    <row r="231" spans="1:14" s="43" customFormat="1" ht="15.75" customHeight="1" x14ac:dyDescent="0.35">
      <c r="A231" s="101">
        <f t="shared" si="6"/>
        <v>17</v>
      </c>
      <c r="B231" s="103"/>
      <c r="C231" s="39" t="s">
        <v>198</v>
      </c>
      <c r="D231" s="53">
        <f>((3.55*3.22))*(10.764)</f>
        <v>123.043284</v>
      </c>
      <c r="E231" s="39">
        <v>0</v>
      </c>
      <c r="F231" s="39">
        <f t="shared" si="7"/>
        <v>196.86925440000002</v>
      </c>
      <c r="G231" s="95"/>
      <c r="H231" s="96"/>
      <c r="J231" s="34"/>
    </row>
    <row r="232" spans="1:14" s="43" customFormat="1" ht="15.75" customHeight="1" x14ac:dyDescent="0.35">
      <c r="A232" s="101">
        <f t="shared" si="6"/>
        <v>18</v>
      </c>
      <c r="B232" s="103"/>
      <c r="C232" s="39" t="s">
        <v>198</v>
      </c>
      <c r="D232" s="53">
        <f>((3.55*3.22))*(10.764)</f>
        <v>123.043284</v>
      </c>
      <c r="E232" s="39">
        <v>0</v>
      </c>
      <c r="F232" s="39">
        <f t="shared" si="7"/>
        <v>196.86925440000002</v>
      </c>
      <c r="G232" s="95"/>
      <c r="H232" s="96"/>
      <c r="I232" s="34"/>
      <c r="L232" s="162"/>
      <c r="M232" s="162"/>
      <c r="N232" s="34"/>
    </row>
    <row r="233" spans="1:14" s="43" customFormat="1" ht="15.75" customHeight="1" x14ac:dyDescent="0.35">
      <c r="A233" s="101">
        <f t="shared" si="6"/>
        <v>19</v>
      </c>
      <c r="B233" s="103"/>
      <c r="C233" s="39" t="s">
        <v>198</v>
      </c>
      <c r="D233" s="53">
        <f>((3*3.37+1.4))*(10.764)</f>
        <v>123.89363999999999</v>
      </c>
      <c r="E233" s="39">
        <v>0</v>
      </c>
      <c r="F233" s="39">
        <f t="shared" ref="F233" si="8">(D233+E233)*(($F$206)+1)</f>
        <v>198.22982400000001</v>
      </c>
      <c r="G233" s="97"/>
      <c r="H233" s="98"/>
      <c r="I233" s="34"/>
      <c r="L233" s="162"/>
      <c r="M233" s="162"/>
      <c r="N233" s="34"/>
    </row>
    <row r="234" spans="1:14" s="43" customFormat="1" ht="15.75" customHeight="1" x14ac:dyDescent="0.35">
      <c r="A234" s="86" t="s">
        <v>197</v>
      </c>
      <c r="B234" s="87"/>
      <c r="C234" s="87"/>
      <c r="D234" s="87"/>
      <c r="E234" s="87"/>
      <c r="F234" s="87"/>
      <c r="G234" s="87"/>
      <c r="H234" s="88"/>
      <c r="I234" s="34"/>
      <c r="L234" s="162"/>
      <c r="M234" s="162"/>
      <c r="N234" s="34"/>
    </row>
    <row r="235" spans="1:14" s="43" customFormat="1" ht="15.75" customHeight="1" x14ac:dyDescent="0.35">
      <c r="A235" s="107" t="s">
        <v>193</v>
      </c>
      <c r="B235" s="108"/>
      <c r="C235" s="108"/>
      <c r="D235" s="108"/>
      <c r="E235" s="108"/>
      <c r="F235" s="108"/>
      <c r="G235" s="108"/>
      <c r="H235" s="109"/>
      <c r="I235" s="34"/>
      <c r="L235" s="162"/>
      <c r="M235" s="162"/>
      <c r="N235" s="34"/>
    </row>
    <row r="236" spans="1:14" s="43" customFormat="1" ht="15.75" customHeight="1" x14ac:dyDescent="0.35">
      <c r="A236" s="107" t="s">
        <v>204</v>
      </c>
      <c r="B236" s="108"/>
      <c r="C236" s="108"/>
      <c r="D236" s="108"/>
      <c r="E236" s="108"/>
      <c r="F236" s="108"/>
      <c r="G236" s="108"/>
      <c r="H236" s="109"/>
      <c r="I236" s="34"/>
      <c r="L236" s="162"/>
      <c r="M236" s="162"/>
      <c r="N236" s="34"/>
    </row>
    <row r="237" spans="1:14" s="43" customFormat="1" ht="15.75" customHeight="1" x14ac:dyDescent="0.35">
      <c r="A237" s="101">
        <v>3</v>
      </c>
      <c r="B237" s="103"/>
      <c r="C237" s="39" t="s">
        <v>198</v>
      </c>
      <c r="D237" s="53">
        <f>((6.35*4.45+0.95*3.78+1.25*1.1+1.8*0.9))*(10.764)</f>
        <v>375.05543399999999</v>
      </c>
      <c r="E237" s="39">
        <v>0</v>
      </c>
      <c r="F237" s="39">
        <f>(D237+E237)*(($F$206)+1)</f>
        <v>600.08869440000001</v>
      </c>
      <c r="G237" s="93" t="str">
        <f>A236</f>
        <v>Ground Floor for Commercial, Entrance Lobby &amp; Meter Room</v>
      </c>
      <c r="H237" s="94"/>
      <c r="I237" s="34"/>
      <c r="L237" s="162"/>
      <c r="M237" s="162"/>
      <c r="N237" s="34"/>
    </row>
    <row r="238" spans="1:14" s="43" customFormat="1" ht="15.75" customHeight="1" x14ac:dyDescent="0.35">
      <c r="A238" s="101">
        <f t="shared" ref="A238:A245" si="9">A237+1</f>
        <v>4</v>
      </c>
      <c r="B238" s="103"/>
      <c r="C238" s="39" t="s">
        <v>198</v>
      </c>
      <c r="D238" s="53">
        <f>((5*3.15+1.35*1.91))*(10.764)</f>
        <v>197.28797399999996</v>
      </c>
      <c r="E238" s="39">
        <v>0</v>
      </c>
      <c r="F238" s="39">
        <f t="shared" ref="F238:F245" si="10">(D238+E238)*(($F$206)+1)</f>
        <v>315.66075839999996</v>
      </c>
      <c r="G238" s="95"/>
      <c r="H238" s="96"/>
      <c r="I238" s="34"/>
      <c r="L238" s="162"/>
      <c r="M238" s="162"/>
      <c r="N238" s="34"/>
    </row>
    <row r="239" spans="1:14" s="43" customFormat="1" ht="15.75" customHeight="1" x14ac:dyDescent="0.35">
      <c r="A239" s="101">
        <f t="shared" si="9"/>
        <v>5</v>
      </c>
      <c r="B239" s="103"/>
      <c r="C239" s="39" t="s">
        <v>198</v>
      </c>
      <c r="D239" s="53">
        <f>((4.1*4.68+0.7*2.1))*(10.764)</f>
        <v>222.36271199999996</v>
      </c>
      <c r="E239" s="39">
        <v>0</v>
      </c>
      <c r="F239" s="39">
        <f t="shared" si="10"/>
        <v>355.78033919999996</v>
      </c>
      <c r="G239" s="95"/>
      <c r="H239" s="96"/>
      <c r="I239" s="34"/>
      <c r="L239" s="162"/>
      <c r="M239" s="162"/>
      <c r="N239" s="34"/>
    </row>
    <row r="240" spans="1:14" s="43" customFormat="1" ht="15.75" customHeight="1" x14ac:dyDescent="0.35">
      <c r="A240" s="101">
        <f t="shared" si="9"/>
        <v>6</v>
      </c>
      <c r="B240" s="103"/>
      <c r="C240" s="39" t="s">
        <v>198</v>
      </c>
      <c r="D240" s="53">
        <f>((3.55*3.22))*(10.764)</f>
        <v>123.043284</v>
      </c>
      <c r="E240" s="39">
        <v>0</v>
      </c>
      <c r="F240" s="39">
        <f t="shared" si="10"/>
        <v>196.86925440000002</v>
      </c>
      <c r="G240" s="95"/>
      <c r="H240" s="96"/>
      <c r="I240" s="34"/>
      <c r="L240" s="162"/>
      <c r="M240" s="162"/>
      <c r="N240" s="34"/>
    </row>
    <row r="241" spans="1:14" s="43" customFormat="1" x14ac:dyDescent="0.35">
      <c r="A241" s="101">
        <f t="shared" si="9"/>
        <v>7</v>
      </c>
      <c r="B241" s="103"/>
      <c r="C241" s="39" t="s">
        <v>198</v>
      </c>
      <c r="D241" s="53">
        <f>((3*2.17+1.4*0.95))*(10.764)</f>
        <v>84.389759999999995</v>
      </c>
      <c r="E241" s="39">
        <v>0</v>
      </c>
      <c r="F241" s="39">
        <f t="shared" si="10"/>
        <v>135.023616</v>
      </c>
      <c r="G241" s="95"/>
      <c r="H241" s="96"/>
      <c r="I241" s="34"/>
      <c r="N241" s="34"/>
    </row>
    <row r="242" spans="1:14" x14ac:dyDescent="0.35">
      <c r="A242" s="101">
        <f t="shared" si="9"/>
        <v>8</v>
      </c>
      <c r="B242" s="103"/>
      <c r="C242" s="39" t="s">
        <v>198</v>
      </c>
      <c r="D242" s="53">
        <f>((3*2.17+1.4*0.95))*(10.764)</f>
        <v>84.389759999999995</v>
      </c>
      <c r="E242" s="39">
        <v>0</v>
      </c>
      <c r="F242" s="39">
        <f t="shared" si="10"/>
        <v>135.023616</v>
      </c>
      <c r="G242" s="95"/>
      <c r="H242" s="96"/>
      <c r="I242" s="19">
        <f>5597227/F272</f>
        <v>6729.8032960799665</v>
      </c>
    </row>
    <row r="243" spans="1:14" x14ac:dyDescent="0.35">
      <c r="A243" s="101">
        <f t="shared" si="9"/>
        <v>9</v>
      </c>
      <c r="B243" s="103"/>
      <c r="C243" s="39" t="s">
        <v>198</v>
      </c>
      <c r="D243" s="53">
        <f>((3.55*3.22))*(10.764)</f>
        <v>123.043284</v>
      </c>
      <c r="E243" s="39">
        <v>0</v>
      </c>
      <c r="F243" s="39">
        <f t="shared" si="10"/>
        <v>196.86925440000002</v>
      </c>
      <c r="G243" s="95"/>
      <c r="H243" s="96"/>
      <c r="I243" s="34"/>
    </row>
    <row r="244" spans="1:14" s="43" customFormat="1" ht="15.75" customHeight="1" x14ac:dyDescent="0.35">
      <c r="A244" s="101">
        <f t="shared" si="9"/>
        <v>10</v>
      </c>
      <c r="B244" s="103"/>
      <c r="C244" s="39" t="s">
        <v>198</v>
      </c>
      <c r="D244" s="53">
        <f>((3.55*3.22))*(10.764)</f>
        <v>123.043284</v>
      </c>
      <c r="E244" s="39">
        <v>0</v>
      </c>
      <c r="F244" s="39">
        <f t="shared" si="10"/>
        <v>196.86925440000002</v>
      </c>
      <c r="G244" s="95"/>
      <c r="H244" s="96"/>
      <c r="I244" s="34"/>
    </row>
    <row r="245" spans="1:14" s="43" customFormat="1" x14ac:dyDescent="0.35">
      <c r="A245" s="101">
        <f t="shared" si="9"/>
        <v>11</v>
      </c>
      <c r="B245" s="103"/>
      <c r="C245" s="39" t="s">
        <v>198</v>
      </c>
      <c r="D245" s="53">
        <f>((3*3.37+1.4))*(10.764)</f>
        <v>123.89363999999999</v>
      </c>
      <c r="E245" s="39">
        <v>0</v>
      </c>
      <c r="F245" s="39">
        <f t="shared" si="10"/>
        <v>198.22982400000001</v>
      </c>
      <c r="G245" s="97"/>
      <c r="H245" s="98"/>
      <c r="J245" s="34"/>
    </row>
    <row r="246" spans="1:14" s="43" customFormat="1" x14ac:dyDescent="0.35">
      <c r="A246" s="86" t="s">
        <v>246</v>
      </c>
      <c r="B246" s="87"/>
      <c r="C246" s="87"/>
      <c r="D246" s="87"/>
      <c r="E246" s="87"/>
      <c r="F246" s="87"/>
      <c r="G246" s="87"/>
      <c r="H246" s="88"/>
      <c r="J246" s="34"/>
    </row>
    <row r="247" spans="1:14" s="43" customFormat="1" x14ac:dyDescent="0.35">
      <c r="A247" s="86" t="s">
        <v>301</v>
      </c>
      <c r="B247" s="87"/>
      <c r="C247" s="87"/>
      <c r="D247" s="87"/>
      <c r="E247" s="87"/>
      <c r="F247" s="87"/>
      <c r="G247" s="87"/>
      <c r="H247" s="88"/>
      <c r="I247" s="34"/>
      <c r="L247" s="162"/>
      <c r="M247" s="162"/>
    </row>
    <row r="248" spans="1:14" s="43" customFormat="1" ht="15.75" customHeight="1" x14ac:dyDescent="0.35">
      <c r="A248" s="107" t="s">
        <v>204</v>
      </c>
      <c r="B248" s="108"/>
      <c r="C248" s="108"/>
      <c r="D248" s="108"/>
      <c r="E248" s="108"/>
      <c r="F248" s="108"/>
      <c r="G248" s="108"/>
      <c r="H248" s="109"/>
      <c r="I248" s="34"/>
      <c r="L248" s="162"/>
      <c r="M248" s="162"/>
      <c r="N248" s="34"/>
    </row>
    <row r="249" spans="1:14" s="43" customFormat="1" ht="15.75" customHeight="1" x14ac:dyDescent="0.35">
      <c r="A249" s="101">
        <v>1</v>
      </c>
      <c r="B249" s="103"/>
      <c r="C249" s="39" t="s">
        <v>198</v>
      </c>
      <c r="D249" s="53">
        <f>(4.05*2.69+1*1+1.59*0.9)*(10.764)</f>
        <v>143.43568199999996</v>
      </c>
      <c r="E249" s="39">
        <v>0</v>
      </c>
      <c r="F249" s="39">
        <f>(D249+E249)*(($F$206)+1)</f>
        <v>229.49709119999994</v>
      </c>
      <c r="G249" s="93" t="str">
        <f>A248</f>
        <v>Ground Floor for Commercial, Entrance Lobby &amp; Meter Room</v>
      </c>
      <c r="H249" s="94"/>
      <c r="I249" s="34"/>
      <c r="L249" s="162"/>
      <c r="M249" s="162"/>
      <c r="N249" s="34"/>
    </row>
    <row r="250" spans="1:14" s="43" customFormat="1" ht="15.75" customHeight="1" x14ac:dyDescent="0.35">
      <c r="A250" s="101">
        <f t="shared" ref="A250:A258" si="11">A249+1</f>
        <v>2</v>
      </c>
      <c r="B250" s="103"/>
      <c r="C250" s="39" t="s">
        <v>198</v>
      </c>
      <c r="D250" s="53">
        <f>(4.2*3+1.65*1.2)*(10.764)</f>
        <v>156.93912</v>
      </c>
      <c r="E250" s="39">
        <v>0</v>
      </c>
      <c r="F250" s="39">
        <f t="shared" ref="F250:F257" si="12">(D250+E250)*(($F$206)+1)</f>
        <v>251.10259200000002</v>
      </c>
      <c r="G250" s="95"/>
      <c r="H250" s="96"/>
      <c r="I250" s="34"/>
      <c r="L250" s="162"/>
      <c r="M250" s="162"/>
      <c r="N250" s="34"/>
    </row>
    <row r="251" spans="1:14" s="43" customFormat="1" ht="15.75" customHeight="1" x14ac:dyDescent="0.35">
      <c r="A251" s="101">
        <f t="shared" si="11"/>
        <v>3</v>
      </c>
      <c r="B251" s="103"/>
      <c r="C251" s="39" t="s">
        <v>198</v>
      </c>
      <c r="D251" s="53">
        <f>(5.65*4.1+1.7*1.15)*(10.764)</f>
        <v>270.39167999999995</v>
      </c>
      <c r="E251" s="39">
        <v>0</v>
      </c>
      <c r="F251" s="39">
        <f t="shared" si="12"/>
        <v>432.62668799999994</v>
      </c>
      <c r="G251" s="95"/>
      <c r="H251" s="96"/>
      <c r="I251" s="34"/>
      <c r="L251" s="162"/>
      <c r="M251" s="162"/>
      <c r="N251" s="34"/>
    </row>
    <row r="252" spans="1:14" s="43" customFormat="1" ht="15.75" customHeight="1" x14ac:dyDescent="0.35">
      <c r="A252" s="101">
        <f t="shared" si="11"/>
        <v>4</v>
      </c>
      <c r="B252" s="103"/>
      <c r="C252" s="39" t="s">
        <v>198</v>
      </c>
      <c r="D252" s="53">
        <f>(4.85*3+1.55*1.2)*(10.764)</f>
        <v>176.63723999999999</v>
      </c>
      <c r="E252" s="39">
        <v>0</v>
      </c>
      <c r="F252" s="39">
        <f t="shared" si="12"/>
        <v>282.61958399999997</v>
      </c>
      <c r="G252" s="95"/>
      <c r="H252" s="96"/>
      <c r="I252" s="34"/>
      <c r="L252" s="162"/>
      <c r="M252" s="162"/>
      <c r="N252" s="34"/>
    </row>
    <row r="253" spans="1:14" s="43" customFormat="1" x14ac:dyDescent="0.35">
      <c r="A253" s="101">
        <f t="shared" si="11"/>
        <v>5</v>
      </c>
      <c r="B253" s="103"/>
      <c r="C253" s="39" t="s">
        <v>198</v>
      </c>
      <c r="D253" s="53">
        <f>(4.95*3+3*1.25+2*1.2)*(10.764)</f>
        <v>226.04399999999998</v>
      </c>
      <c r="E253" s="39">
        <v>0</v>
      </c>
      <c r="F253" s="39">
        <f t="shared" si="12"/>
        <v>361.67039999999997</v>
      </c>
      <c r="G253" s="95"/>
      <c r="H253" s="96"/>
      <c r="I253" s="34"/>
      <c r="N253" s="34"/>
    </row>
    <row r="254" spans="1:14" x14ac:dyDescent="0.35">
      <c r="A254" s="101">
        <f t="shared" si="11"/>
        <v>6</v>
      </c>
      <c r="B254" s="103"/>
      <c r="C254" s="39" t="s">
        <v>198</v>
      </c>
      <c r="D254" s="53">
        <f>(2.82*3+1.1*1.3+1.75*1.2)*(10.764)</f>
        <v>129.06035999999997</v>
      </c>
      <c r="E254" s="39">
        <v>0</v>
      </c>
      <c r="F254" s="39">
        <f t="shared" si="12"/>
        <v>206.49657599999998</v>
      </c>
      <c r="G254" s="95"/>
      <c r="H254" s="96"/>
    </row>
    <row r="255" spans="1:14" x14ac:dyDescent="0.35">
      <c r="A255" s="101">
        <f t="shared" si="11"/>
        <v>7</v>
      </c>
      <c r="B255" s="103"/>
      <c r="C255" s="39" t="s">
        <v>198</v>
      </c>
      <c r="D255" s="53">
        <f>(4.85*3+1.75*1.2)*(10.764)</f>
        <v>179.22059999999996</v>
      </c>
      <c r="E255" s="39">
        <v>0</v>
      </c>
      <c r="F255" s="39">
        <f t="shared" si="12"/>
        <v>286.75295999999997</v>
      </c>
      <c r="G255" s="95"/>
      <c r="H255" s="96"/>
      <c r="I255" s="34"/>
    </row>
    <row r="256" spans="1:14" s="43" customFormat="1" ht="15.75" customHeight="1" x14ac:dyDescent="0.35">
      <c r="A256" s="101">
        <f t="shared" si="11"/>
        <v>8</v>
      </c>
      <c r="B256" s="103"/>
      <c r="C256" s="39" t="s">
        <v>198</v>
      </c>
      <c r="D256" s="53">
        <f>(5.65*4.1+1.75*1.2)*(10.764)</f>
        <v>271.95245999999997</v>
      </c>
      <c r="E256" s="39">
        <v>0</v>
      </c>
      <c r="F256" s="39">
        <f t="shared" si="12"/>
        <v>435.12393599999996</v>
      </c>
      <c r="G256" s="95"/>
      <c r="H256" s="96"/>
      <c r="I256" s="34"/>
    </row>
    <row r="257" spans="1:14" s="43" customFormat="1" x14ac:dyDescent="0.35">
      <c r="A257" s="101">
        <f t="shared" si="11"/>
        <v>9</v>
      </c>
      <c r="B257" s="103"/>
      <c r="C257" s="39" t="s">
        <v>198</v>
      </c>
      <c r="D257" s="53">
        <f>(5.25*3+1.75*1.2)*(10.764)</f>
        <v>192.13740000000001</v>
      </c>
      <c r="E257" s="39">
        <v>0</v>
      </c>
      <c r="F257" s="39">
        <f t="shared" si="12"/>
        <v>307.41984000000002</v>
      </c>
      <c r="G257" s="95"/>
      <c r="H257" s="96"/>
      <c r="J257" s="34"/>
    </row>
    <row r="258" spans="1:14" s="43" customFormat="1" x14ac:dyDescent="0.35">
      <c r="A258" s="101">
        <f t="shared" si="11"/>
        <v>10</v>
      </c>
      <c r="B258" s="103"/>
      <c r="C258" s="39" t="s">
        <v>198</v>
      </c>
      <c r="D258" s="53">
        <f>(6.15*6.55+1.8*1.15)*(10.764)</f>
        <v>455.88230999999996</v>
      </c>
      <c r="E258" s="39">
        <v>0</v>
      </c>
      <c r="F258" s="39">
        <f t="shared" ref="F258" si="13">(D258+E258)*(($F$206)+1)</f>
        <v>729.41169600000001</v>
      </c>
      <c r="G258" s="97"/>
      <c r="H258" s="98"/>
      <c r="J258" s="34"/>
    </row>
    <row r="259" spans="1:14" s="43" customFormat="1" x14ac:dyDescent="0.35">
      <c r="A259" s="86" t="s">
        <v>268</v>
      </c>
      <c r="B259" s="87"/>
      <c r="C259" s="87"/>
      <c r="D259" s="87"/>
      <c r="E259" s="87"/>
      <c r="F259" s="87"/>
      <c r="G259" s="87"/>
      <c r="H259" s="88"/>
      <c r="I259" s="34"/>
      <c r="L259" s="162"/>
      <c r="M259" s="162"/>
    </row>
    <row r="260" spans="1:14" s="43" customFormat="1" ht="15.75" customHeight="1" x14ac:dyDescent="0.35">
      <c r="A260" s="107" t="s">
        <v>302</v>
      </c>
      <c r="B260" s="108"/>
      <c r="C260" s="108"/>
      <c r="D260" s="108"/>
      <c r="E260" s="108"/>
      <c r="F260" s="108"/>
      <c r="G260" s="108"/>
      <c r="H260" s="109"/>
      <c r="I260" s="34"/>
      <c r="L260" s="162"/>
      <c r="M260" s="162"/>
      <c r="N260" s="34"/>
    </row>
    <row r="261" spans="1:14" s="43" customFormat="1" ht="15.75" customHeight="1" x14ac:dyDescent="0.35">
      <c r="A261" s="101">
        <v>1</v>
      </c>
      <c r="B261" s="103"/>
      <c r="C261" s="39" t="s">
        <v>303</v>
      </c>
      <c r="D261" s="53">
        <f>(5.65*5.4+1.05*3.95+3*4.6+2.75*5.1+1.95*1.6+1*1.5)*(10.764)</f>
        <v>722.29131000000007</v>
      </c>
      <c r="E261" s="39">
        <v>0</v>
      </c>
      <c r="F261" s="39">
        <f>(D261+E261)*(($F$206)+1)</f>
        <v>1155.6660960000002</v>
      </c>
      <c r="G261" s="93" t="str">
        <f>A260</f>
        <v xml:space="preserve">1st Floor </v>
      </c>
      <c r="H261" s="94"/>
      <c r="I261" s="34"/>
      <c r="L261" s="162"/>
      <c r="M261" s="162"/>
      <c r="N261" s="34"/>
    </row>
    <row r="262" spans="1:14" s="43" customFormat="1" ht="15.75" customHeight="1" x14ac:dyDescent="0.35">
      <c r="A262" s="101">
        <f t="shared" ref="A262:A264" si="14">A261+1</f>
        <v>2</v>
      </c>
      <c r="B262" s="103"/>
      <c r="C262" s="39" t="s">
        <v>303</v>
      </c>
      <c r="D262" s="53">
        <f>(5.75*5.4+1.05*3.95+3*4.6+2.75*5.1+1.95*1.6+1*1.5)*(10.764)</f>
        <v>728.10386999999992</v>
      </c>
      <c r="E262" s="39">
        <v>0</v>
      </c>
      <c r="F262" s="39">
        <f t="shared" ref="F262:F264" si="15">(D262+E262)*(($F$206)+1)</f>
        <v>1164.9661919999999</v>
      </c>
      <c r="G262" s="95"/>
      <c r="H262" s="96"/>
      <c r="I262" s="34"/>
      <c r="L262" s="162"/>
      <c r="M262" s="162"/>
      <c r="N262" s="34"/>
    </row>
    <row r="263" spans="1:14" s="43" customFormat="1" ht="15.75" customHeight="1" x14ac:dyDescent="0.35">
      <c r="A263" s="101">
        <f t="shared" si="14"/>
        <v>3</v>
      </c>
      <c r="B263" s="103"/>
      <c r="C263" s="39" t="s">
        <v>303</v>
      </c>
      <c r="D263" s="53">
        <f>(4.72*1.3+7.5*1.3+17.82*3+1.8*4.3+6.25*4.95+3.35*3.5+2.9*1.8+1.75*1.2+1.2*1.8)*(10.764)</f>
        <v>1391.0155739999998</v>
      </c>
      <c r="E263" s="39">
        <f>(1.85*3.15)*10.764</f>
        <v>62.727209999999992</v>
      </c>
      <c r="F263" s="39">
        <f t="shared" si="15"/>
        <v>2325.9884543999997</v>
      </c>
      <c r="G263" s="95"/>
      <c r="H263" s="96"/>
      <c r="I263" s="34"/>
      <c r="L263" s="162"/>
      <c r="M263" s="162"/>
      <c r="N263" s="34"/>
    </row>
    <row r="264" spans="1:14" s="43" customFormat="1" ht="15.75" customHeight="1" x14ac:dyDescent="0.35">
      <c r="A264" s="101">
        <f t="shared" si="14"/>
        <v>4</v>
      </c>
      <c r="B264" s="103"/>
      <c r="C264" s="39" t="s">
        <v>303</v>
      </c>
      <c r="D264" s="53">
        <f>(6.95*1.3+7.5*1.3+21.85*3+1.8*1.2+1.75*1.2)*(10.764)</f>
        <v>953.63657999999998</v>
      </c>
      <c r="E264" s="39">
        <v>0</v>
      </c>
      <c r="F264" s="39">
        <f t="shared" si="15"/>
        <v>1525.818528</v>
      </c>
      <c r="G264" s="95"/>
      <c r="H264" s="96"/>
      <c r="I264" s="34"/>
      <c r="L264" s="162"/>
      <c r="M264" s="162"/>
      <c r="N264" s="34"/>
    </row>
    <row r="265" spans="1:14" s="43" customFormat="1" ht="15.75" customHeight="1" x14ac:dyDescent="0.35">
      <c r="A265" s="120" t="s">
        <v>55</v>
      </c>
      <c r="B265" s="120"/>
      <c r="C265" s="120"/>
      <c r="D265" s="120"/>
      <c r="E265" s="120"/>
      <c r="F265" s="120"/>
      <c r="G265" s="120"/>
      <c r="H265" s="120"/>
      <c r="I265" s="34"/>
      <c r="N265" s="34"/>
    </row>
    <row r="266" spans="1:14" s="43" customFormat="1" ht="48" customHeight="1" x14ac:dyDescent="0.35">
      <c r="A266" s="140" t="s">
        <v>120</v>
      </c>
      <c r="B266" s="140" t="s">
        <v>231</v>
      </c>
      <c r="C266" s="170" t="s">
        <v>56</v>
      </c>
      <c r="D266" s="170" t="s">
        <v>57</v>
      </c>
      <c r="E266" s="138" t="s">
        <v>58</v>
      </c>
      <c r="F266" s="40" t="s">
        <v>149</v>
      </c>
      <c r="G266" s="140" t="s">
        <v>59</v>
      </c>
      <c r="H266" s="141"/>
      <c r="I266" s="34"/>
      <c r="N266" s="34"/>
    </row>
    <row r="267" spans="1:14" s="43" customFormat="1" x14ac:dyDescent="0.35">
      <c r="A267" s="142"/>
      <c r="B267" s="142"/>
      <c r="C267" s="171"/>
      <c r="D267" s="171"/>
      <c r="E267" s="139"/>
      <c r="F267" s="13">
        <v>0.55000000000000004</v>
      </c>
      <c r="G267" s="142"/>
      <c r="H267" s="143"/>
      <c r="I267" s="34"/>
      <c r="J267" s="43">
        <f>4420000/F274</f>
        <v>8032.78662187585</v>
      </c>
      <c r="N267" s="34"/>
    </row>
    <row r="268" spans="1:14" s="43" customFormat="1" ht="15.75" customHeight="1" x14ac:dyDescent="0.35">
      <c r="A268" s="86" t="s">
        <v>240</v>
      </c>
      <c r="B268" s="87"/>
      <c r="C268" s="87"/>
      <c r="D268" s="87"/>
      <c r="E268" s="87"/>
      <c r="F268" s="87"/>
      <c r="G268" s="87"/>
      <c r="H268" s="88"/>
      <c r="I268" s="34"/>
      <c r="N268" s="34"/>
    </row>
    <row r="269" spans="1:14" s="43" customFormat="1" ht="15.75" customHeight="1" x14ac:dyDescent="0.35">
      <c r="A269" s="86" t="s">
        <v>194</v>
      </c>
      <c r="B269" s="87"/>
      <c r="C269" s="87"/>
      <c r="D269" s="87"/>
      <c r="E269" s="87"/>
      <c r="F269" s="87"/>
      <c r="G269" s="87"/>
      <c r="H269" s="88"/>
      <c r="I269" s="34"/>
      <c r="N269" s="34"/>
    </row>
    <row r="270" spans="1:14" s="43" customFormat="1" ht="15.75" customHeight="1" x14ac:dyDescent="0.35">
      <c r="A270" s="89" t="s">
        <v>205</v>
      </c>
      <c r="B270" s="89"/>
      <c r="C270" s="89"/>
      <c r="D270" s="89"/>
      <c r="E270" s="89"/>
      <c r="F270" s="89"/>
      <c r="G270" s="89"/>
      <c r="H270" s="89"/>
      <c r="I270" s="34"/>
      <c r="N270" s="34"/>
    </row>
    <row r="271" spans="1:14" s="43" customFormat="1" x14ac:dyDescent="0.35">
      <c r="A271" s="89" t="s">
        <v>206</v>
      </c>
      <c r="B271" s="89"/>
      <c r="C271" s="89"/>
      <c r="D271" s="89"/>
      <c r="E271" s="89"/>
      <c r="F271" s="89"/>
      <c r="G271" s="89"/>
      <c r="H271" s="89"/>
      <c r="I271" s="34"/>
      <c r="L271" s="162"/>
      <c r="M271" s="162"/>
    </row>
    <row r="272" spans="1:14" s="43" customFormat="1" ht="15.75" customHeight="1" x14ac:dyDescent="0.35">
      <c r="A272" s="39">
        <v>1</v>
      </c>
      <c r="B272" s="39" t="s">
        <v>232</v>
      </c>
      <c r="C272" s="39" t="s">
        <v>207</v>
      </c>
      <c r="D272" s="53">
        <f>49.85*(10.764)</f>
        <v>536.58539999999994</v>
      </c>
      <c r="E272" s="39">
        <v>0</v>
      </c>
      <c r="F272" s="39">
        <f t="shared" ref="F272:F273" si="16">D272*(($F$267)+1)+(IF(E272&lt;101,E272,IF(E272&lt;201,E272/2,IF(E272&lt;=301,E272/3,E272/4))))</f>
        <v>831.70736999999997</v>
      </c>
      <c r="G272" s="93" t="str">
        <f>A271</f>
        <v>2nd Floor for Residential</v>
      </c>
      <c r="H272" s="94"/>
      <c r="I272" s="34"/>
      <c r="N272" s="34"/>
    </row>
    <row r="273" spans="1:14" s="43" customFormat="1" ht="15.75" customHeight="1" x14ac:dyDescent="0.35">
      <c r="A273" s="39">
        <v>2</v>
      </c>
      <c r="B273" s="39" t="s">
        <v>232</v>
      </c>
      <c r="C273" s="39" t="s">
        <v>207</v>
      </c>
      <c r="D273" s="53">
        <f>42.35*(10.764)</f>
        <v>455.85539999999997</v>
      </c>
      <c r="E273" s="39">
        <v>0</v>
      </c>
      <c r="F273" s="39">
        <f t="shared" si="16"/>
        <v>706.57587000000001</v>
      </c>
      <c r="G273" s="95"/>
      <c r="H273" s="96"/>
      <c r="I273" s="34"/>
      <c r="N273" s="34"/>
    </row>
    <row r="274" spans="1:14" s="43" customFormat="1" ht="15.75" customHeight="1" x14ac:dyDescent="0.35">
      <c r="A274" s="39">
        <f>A273+1</f>
        <v>3</v>
      </c>
      <c r="B274" s="39" t="s">
        <v>232</v>
      </c>
      <c r="C274" s="39" t="s">
        <v>208</v>
      </c>
      <c r="D274" s="53">
        <f>32.98*(10.764)</f>
        <v>354.99671999999993</v>
      </c>
      <c r="E274" s="39">
        <v>0</v>
      </c>
      <c r="F274" s="39">
        <f>D274*(($F$267)+1)+(IF(E274&lt;101,E274,IF(E274&lt;201,E274/2,IF(E274&lt;=301,E274/3,E274/4))))</f>
        <v>550.24491599999988</v>
      </c>
      <c r="G274" s="95"/>
      <c r="H274" s="96"/>
      <c r="I274" s="34"/>
      <c r="N274" s="34"/>
    </row>
    <row r="275" spans="1:14" s="43" customFormat="1" ht="15.75" customHeight="1" x14ac:dyDescent="0.35">
      <c r="A275" s="39">
        <f>A274+1</f>
        <v>4</v>
      </c>
      <c r="B275" s="39" t="s">
        <v>232</v>
      </c>
      <c r="C275" s="39" t="s">
        <v>208</v>
      </c>
      <c r="D275" s="53">
        <f>32.98*(10.764)</f>
        <v>354.99671999999993</v>
      </c>
      <c r="E275" s="39">
        <v>0</v>
      </c>
      <c r="F275" s="39">
        <f>D275*(($F$267)+1)+(IF(E275&lt;101,E275,IF(E275&lt;201,E275/2,IF(E275&lt;=301,E275/3,E275/4))))</f>
        <v>550.24491599999988</v>
      </c>
      <c r="G275" s="95"/>
      <c r="H275" s="96"/>
      <c r="I275" s="34"/>
      <c r="N275" s="34"/>
    </row>
    <row r="276" spans="1:14" s="43" customFormat="1" ht="15.75" customHeight="1" x14ac:dyDescent="0.35">
      <c r="A276" s="39">
        <f>A275+1</f>
        <v>5</v>
      </c>
      <c r="B276" s="39" t="s">
        <v>232</v>
      </c>
      <c r="C276" s="39" t="s">
        <v>208</v>
      </c>
      <c r="D276" s="53">
        <f>32.81*(10.764)</f>
        <v>353.16683999999998</v>
      </c>
      <c r="E276" s="39">
        <v>0</v>
      </c>
      <c r="F276" s="39">
        <f>D276*(($F$267)+1)+(IF(E276&lt;101,E276,IF(E276&lt;201,E276/2,IF(E276&lt;=301,E276/3,E276/4))))</f>
        <v>547.40860199999997</v>
      </c>
      <c r="G276" s="95"/>
      <c r="H276" s="96"/>
      <c r="I276" s="34"/>
      <c r="N276" s="34"/>
    </row>
    <row r="277" spans="1:14" s="43" customFormat="1" ht="15.75" customHeight="1" x14ac:dyDescent="0.35">
      <c r="A277" s="39">
        <f>A276+1</f>
        <v>6</v>
      </c>
      <c r="B277" s="39" t="s">
        <v>232</v>
      </c>
      <c r="C277" s="39" t="s">
        <v>208</v>
      </c>
      <c r="D277" s="53">
        <f>32.85*(10.764)</f>
        <v>353.59739999999999</v>
      </c>
      <c r="E277" s="39">
        <v>0</v>
      </c>
      <c r="F277" s="39">
        <f>D277*(($F$267)+1)+(IF(E277&lt;101,E277,IF(E277&lt;201,E277/2,IF(E277&lt;=301,E277/3,E277/4))))</f>
        <v>548.07596999999998</v>
      </c>
      <c r="G277" s="97"/>
      <c r="H277" s="98"/>
      <c r="I277" s="34"/>
      <c r="N277" s="34"/>
    </row>
    <row r="278" spans="1:14" s="43" customFormat="1" x14ac:dyDescent="0.35">
      <c r="A278" s="89" t="s">
        <v>214</v>
      </c>
      <c r="B278" s="89"/>
      <c r="C278" s="89"/>
      <c r="D278" s="89"/>
      <c r="E278" s="89"/>
      <c r="F278" s="89"/>
      <c r="G278" s="89"/>
      <c r="H278" s="89"/>
      <c r="I278" s="34"/>
      <c r="L278" s="162"/>
      <c r="M278" s="162"/>
    </row>
    <row r="279" spans="1:14" s="43" customFormat="1" x14ac:dyDescent="0.35">
      <c r="A279" s="39">
        <v>1</v>
      </c>
      <c r="B279" s="39" t="s">
        <v>232</v>
      </c>
      <c r="C279" s="39" t="s">
        <v>207</v>
      </c>
      <c r="D279" s="53">
        <f>49.85*(10.764)</f>
        <v>536.58539999999994</v>
      </c>
      <c r="E279" s="39">
        <v>0</v>
      </c>
      <c r="F279" s="39">
        <f t="shared" ref="F279:F280" si="17">D279*(($F$267)+1)+(IF(E279&lt;101,E279,IF(E279&lt;201,E279/2,IF(E279&lt;=301,E279/3,E279/4))))</f>
        <v>831.70736999999997</v>
      </c>
      <c r="G279" s="93" t="str">
        <f>A278</f>
        <v>3rd, 5th, 6th, 7th, 9th, 11th to 14th, 16th to 22nd Floor</v>
      </c>
      <c r="H279" s="94"/>
      <c r="I279" s="34"/>
      <c r="N279" s="34"/>
    </row>
    <row r="280" spans="1:14" s="43" customFormat="1" x14ac:dyDescent="0.35">
      <c r="A280" s="39">
        <v>2</v>
      </c>
      <c r="B280" s="39" t="s">
        <v>232</v>
      </c>
      <c r="C280" s="39" t="s">
        <v>207</v>
      </c>
      <c r="D280" s="53">
        <f>42.35*(10.764)</f>
        <v>455.85539999999997</v>
      </c>
      <c r="E280" s="39">
        <v>0</v>
      </c>
      <c r="F280" s="39">
        <f t="shared" si="17"/>
        <v>706.57587000000001</v>
      </c>
      <c r="G280" s="95"/>
      <c r="H280" s="96"/>
      <c r="I280" s="34"/>
      <c r="N280" s="34"/>
    </row>
    <row r="281" spans="1:14" s="43" customFormat="1" x14ac:dyDescent="0.35">
      <c r="A281" s="39">
        <f>A280+1</f>
        <v>3</v>
      </c>
      <c r="B281" s="39" t="s">
        <v>232</v>
      </c>
      <c r="C281" s="39" t="s">
        <v>208</v>
      </c>
      <c r="D281" s="53">
        <f>32.98*(10.764)</f>
        <v>354.99671999999993</v>
      </c>
      <c r="E281" s="39">
        <v>0</v>
      </c>
      <c r="F281" s="39">
        <f>D281*(($F$267)+1)+(IF(E281&lt;101,E281,IF(E281&lt;201,E281/2,IF(E281&lt;=301,E281/3,E281/4))))</f>
        <v>550.24491599999988</v>
      </c>
      <c r="G281" s="95"/>
      <c r="H281" s="96"/>
      <c r="I281" s="34"/>
      <c r="N281" s="34"/>
    </row>
    <row r="282" spans="1:14" s="43" customFormat="1" x14ac:dyDescent="0.35">
      <c r="A282" s="39">
        <f>A281+1</f>
        <v>4</v>
      </c>
      <c r="B282" s="39" t="s">
        <v>232</v>
      </c>
      <c r="C282" s="39" t="s">
        <v>208</v>
      </c>
      <c r="D282" s="53">
        <f>32.98*(10.764)</f>
        <v>354.99671999999993</v>
      </c>
      <c r="E282" s="39">
        <v>0</v>
      </c>
      <c r="F282" s="39">
        <f>D282*(($F$267)+1)+(IF(E282&lt;101,E282,IF(E282&lt;201,E282/2,IF(E282&lt;=301,E282/3,E282/4))))</f>
        <v>550.24491599999988</v>
      </c>
      <c r="G282" s="95"/>
      <c r="H282" s="96"/>
      <c r="I282" s="34"/>
      <c r="N282" s="34"/>
    </row>
    <row r="283" spans="1:14" s="43" customFormat="1" x14ac:dyDescent="0.35">
      <c r="A283" s="39">
        <f>A282+1</f>
        <v>5</v>
      </c>
      <c r="B283" s="39" t="s">
        <v>232</v>
      </c>
      <c r="C283" s="39" t="s">
        <v>208</v>
      </c>
      <c r="D283" s="53">
        <f>32.81*(10.764)</f>
        <v>353.16683999999998</v>
      </c>
      <c r="E283" s="39">
        <v>0</v>
      </c>
      <c r="F283" s="39">
        <f>D283*(($F$267)+1)+(IF(E283&lt;101,E283,IF(E283&lt;201,E283/2,IF(E283&lt;=301,E283/3,E283/4))))</f>
        <v>547.40860199999997</v>
      </c>
      <c r="G283" s="95"/>
      <c r="H283" s="96"/>
      <c r="I283" s="34"/>
      <c r="N283" s="34"/>
    </row>
    <row r="284" spans="1:14" s="43" customFormat="1" x14ac:dyDescent="0.35">
      <c r="A284" s="39">
        <f>A283+1</f>
        <v>6</v>
      </c>
      <c r="B284" s="39" t="s">
        <v>232</v>
      </c>
      <c r="C284" s="39" t="s">
        <v>208</v>
      </c>
      <c r="D284" s="53">
        <f>32.85*(10.764)</f>
        <v>353.59739999999999</v>
      </c>
      <c r="E284" s="39">
        <v>0</v>
      </c>
      <c r="F284" s="39">
        <f>D284*(($F$267)+1)+(IF(E284&lt;101,E284,IF(E284&lt;201,E284/2,IF(E284&lt;=301,E284/3,E284/4))))</f>
        <v>548.07596999999998</v>
      </c>
      <c r="G284" s="97"/>
      <c r="H284" s="98"/>
      <c r="I284" s="34"/>
      <c r="N284" s="34"/>
    </row>
    <row r="285" spans="1:14" s="43" customFormat="1" x14ac:dyDescent="0.35">
      <c r="A285" s="89" t="s">
        <v>210</v>
      </c>
      <c r="B285" s="89"/>
      <c r="C285" s="89"/>
      <c r="D285" s="89"/>
      <c r="E285" s="89"/>
      <c r="F285" s="89"/>
      <c r="G285" s="89"/>
      <c r="H285" s="89"/>
      <c r="I285" s="34"/>
      <c r="L285" s="162"/>
      <c r="M285" s="162"/>
    </row>
    <row r="286" spans="1:14" s="43" customFormat="1" x14ac:dyDescent="0.35">
      <c r="A286" s="39">
        <v>1</v>
      </c>
      <c r="B286" s="39" t="s">
        <v>232</v>
      </c>
      <c r="C286" s="39" t="s">
        <v>207</v>
      </c>
      <c r="D286" s="53">
        <f>49.85*(10.764)</f>
        <v>536.58539999999994</v>
      </c>
      <c r="E286" s="39">
        <v>0</v>
      </c>
      <c r="F286" s="39">
        <f t="shared" ref="F286:F287" si="18">D286*(($F$267)+1)+(IF(E286&lt;101,E286,IF(E286&lt;201,E286/2,IF(E286&lt;=301,E286/3,E286/4))))</f>
        <v>831.70736999999997</v>
      </c>
      <c r="G286" s="93" t="str">
        <f>A285</f>
        <v>4th Floor</v>
      </c>
      <c r="H286" s="94"/>
      <c r="I286" s="34"/>
      <c r="N286" s="34"/>
    </row>
    <row r="287" spans="1:14" s="43" customFormat="1" x14ac:dyDescent="0.35">
      <c r="A287" s="39">
        <v>2</v>
      </c>
      <c r="B287" s="39" t="s">
        <v>232</v>
      </c>
      <c r="C287" s="39" t="s">
        <v>207</v>
      </c>
      <c r="D287" s="53">
        <f>42.35*(10.764)</f>
        <v>455.85539999999997</v>
      </c>
      <c r="E287" s="39">
        <v>0</v>
      </c>
      <c r="F287" s="39">
        <f t="shared" si="18"/>
        <v>706.57587000000001</v>
      </c>
      <c r="G287" s="95"/>
      <c r="H287" s="96"/>
      <c r="I287" s="34"/>
      <c r="N287" s="34"/>
    </row>
    <row r="288" spans="1:14" s="43" customFormat="1" x14ac:dyDescent="0.35">
      <c r="A288" s="39">
        <f>A287+1</f>
        <v>3</v>
      </c>
      <c r="B288" s="39" t="s">
        <v>232</v>
      </c>
      <c r="C288" s="39" t="s">
        <v>208</v>
      </c>
      <c r="D288" s="53">
        <f>32.98*(10.764)</f>
        <v>354.99671999999993</v>
      </c>
      <c r="E288" s="39">
        <v>0</v>
      </c>
      <c r="F288" s="39">
        <f>D288*(($F$267)+1)+(IF(E288&lt;101,E288,IF(E288&lt;201,E288/2,IF(E288&lt;=301,E288/3,E288/4))))</f>
        <v>550.24491599999988</v>
      </c>
      <c r="G288" s="95"/>
      <c r="H288" s="96"/>
      <c r="I288" s="34"/>
      <c r="N288" s="34"/>
    </row>
    <row r="289" spans="1:14" s="43" customFormat="1" x14ac:dyDescent="0.35">
      <c r="A289" s="39">
        <f>A288+1</f>
        <v>4</v>
      </c>
      <c r="B289" s="39" t="s">
        <v>233</v>
      </c>
      <c r="C289" s="39" t="s">
        <v>208</v>
      </c>
      <c r="D289" s="53">
        <f>32.98*(10.764)</f>
        <v>354.99671999999993</v>
      </c>
      <c r="E289" s="39">
        <v>0</v>
      </c>
      <c r="F289" s="39">
        <f>D289*(($F$267)+1)+(IF(E289&lt;101,E289,IF(E289&lt;201,E289/2,IF(E289&lt;=301,E289/3,E289/4))))</f>
        <v>550.24491599999988</v>
      </c>
      <c r="G289" s="95"/>
      <c r="H289" s="96"/>
      <c r="I289" s="34"/>
      <c r="N289" s="34"/>
    </row>
    <row r="290" spans="1:14" s="43" customFormat="1" x14ac:dyDescent="0.35">
      <c r="A290" s="39">
        <f>A289+1</f>
        <v>5</v>
      </c>
      <c r="B290" s="39" t="s">
        <v>232</v>
      </c>
      <c r="C290" s="39" t="s">
        <v>208</v>
      </c>
      <c r="D290" s="53">
        <f>32.81*(10.764)</f>
        <v>353.16683999999998</v>
      </c>
      <c r="E290" s="39">
        <v>0</v>
      </c>
      <c r="F290" s="39">
        <f>D290*(($F$267)+1)+(IF(E290&lt;101,E290,IF(E290&lt;201,E290/2,IF(E290&lt;=301,E290/3,E290/4))))</f>
        <v>547.40860199999997</v>
      </c>
      <c r="G290" s="95"/>
      <c r="H290" s="96"/>
      <c r="I290" s="34"/>
      <c r="N290" s="34"/>
    </row>
    <row r="291" spans="1:14" s="43" customFormat="1" x14ac:dyDescent="0.35">
      <c r="A291" s="39">
        <f>A290+1</f>
        <v>6</v>
      </c>
      <c r="B291" s="39" t="s">
        <v>232</v>
      </c>
      <c r="C291" s="39" t="s">
        <v>208</v>
      </c>
      <c r="D291" s="53">
        <f>32.85*(10.764)</f>
        <v>353.59739999999999</v>
      </c>
      <c r="E291" s="39">
        <v>0</v>
      </c>
      <c r="F291" s="39">
        <f>D291*(($F$267)+1)+(IF(E291&lt;101,E291,IF(E291&lt;201,E291/2,IF(E291&lt;=301,E291/3,E291/4))))</f>
        <v>548.07596999999998</v>
      </c>
      <c r="G291" s="97"/>
      <c r="H291" s="98"/>
      <c r="I291" s="34"/>
      <c r="N291" s="34"/>
    </row>
    <row r="292" spans="1:14" s="43" customFormat="1" x14ac:dyDescent="0.35">
      <c r="A292" s="89" t="s">
        <v>213</v>
      </c>
      <c r="B292" s="89"/>
      <c r="C292" s="89"/>
      <c r="D292" s="89"/>
      <c r="E292" s="89"/>
      <c r="F292" s="89"/>
      <c r="G292" s="89"/>
      <c r="H292" s="89"/>
      <c r="I292" s="34"/>
      <c r="L292" s="162"/>
      <c r="M292" s="162"/>
    </row>
    <row r="293" spans="1:14" s="43" customFormat="1" ht="15.75" customHeight="1" x14ac:dyDescent="0.35">
      <c r="A293" s="39">
        <v>1</v>
      </c>
      <c r="B293" s="39" t="s">
        <v>232</v>
      </c>
      <c r="C293" s="39" t="s">
        <v>207</v>
      </c>
      <c r="D293" s="53">
        <f>49.85*(10.764)</f>
        <v>536.58539999999994</v>
      </c>
      <c r="E293" s="39">
        <v>0</v>
      </c>
      <c r="F293" s="39">
        <f t="shared" ref="F293:F294" si="19">D293*(($F$267)+1)+(IF(E293&lt;101,E293,IF(E293&lt;201,E293/2,IF(E293&lt;=301,E293/3,E293/4))))</f>
        <v>831.70736999999997</v>
      </c>
      <c r="G293" s="93" t="str">
        <f>A292</f>
        <v>10th Floor</v>
      </c>
      <c r="H293" s="94"/>
      <c r="I293" s="34"/>
      <c r="N293" s="34"/>
    </row>
    <row r="294" spans="1:14" s="43" customFormat="1" ht="15.75" customHeight="1" x14ac:dyDescent="0.35">
      <c r="A294" s="39">
        <v>2</v>
      </c>
      <c r="B294" s="39" t="s">
        <v>232</v>
      </c>
      <c r="C294" s="39" t="s">
        <v>207</v>
      </c>
      <c r="D294" s="53">
        <f>42.35*(10.764)</f>
        <v>455.85539999999997</v>
      </c>
      <c r="E294" s="39">
        <v>0</v>
      </c>
      <c r="F294" s="39">
        <f t="shared" si="19"/>
        <v>706.57587000000001</v>
      </c>
      <c r="G294" s="95"/>
      <c r="H294" s="96"/>
      <c r="I294" s="34"/>
      <c r="N294" s="34"/>
    </row>
    <row r="295" spans="1:14" s="43" customFormat="1" ht="15.75" customHeight="1" x14ac:dyDescent="0.35">
      <c r="A295" s="39">
        <f>A294+1</f>
        <v>3</v>
      </c>
      <c r="B295" s="39" t="s">
        <v>232</v>
      </c>
      <c r="C295" s="39" t="s">
        <v>208</v>
      </c>
      <c r="D295" s="53">
        <f>32.98*(10.764)</f>
        <v>354.99671999999993</v>
      </c>
      <c r="E295" s="39">
        <v>0</v>
      </c>
      <c r="F295" s="39">
        <f>D295*(($F$267)+1)+(IF(E295&lt;101,E295,IF(E295&lt;201,E295/2,IF(E295&lt;=301,E295/3,E295/4))))</f>
        <v>550.24491599999988</v>
      </c>
      <c r="G295" s="95"/>
      <c r="H295" s="96"/>
      <c r="I295" s="34"/>
      <c r="N295" s="34"/>
    </row>
    <row r="296" spans="1:14" s="43" customFormat="1" ht="15.75" customHeight="1" x14ac:dyDescent="0.35">
      <c r="A296" s="39">
        <f>A295+1</f>
        <v>4</v>
      </c>
      <c r="B296" s="39" t="s">
        <v>232</v>
      </c>
      <c r="C296" s="39" t="s">
        <v>208</v>
      </c>
      <c r="D296" s="53">
        <f>32.98*(10.764)</f>
        <v>354.99671999999993</v>
      </c>
      <c r="E296" s="39">
        <v>0</v>
      </c>
      <c r="F296" s="39">
        <f>D296*(($F$267)+1)+(IF(E296&lt;101,E296,IF(E296&lt;201,E296/2,IF(E296&lt;=301,E296/3,E296/4))))</f>
        <v>550.24491599999988</v>
      </c>
      <c r="G296" s="95"/>
      <c r="H296" s="96"/>
      <c r="I296" s="34"/>
      <c r="N296" s="34"/>
    </row>
    <row r="297" spans="1:14" s="43" customFormat="1" ht="15.75" customHeight="1" x14ac:dyDescent="0.35">
      <c r="A297" s="39">
        <f>A296+1</f>
        <v>5</v>
      </c>
      <c r="B297" s="39" t="s">
        <v>232</v>
      </c>
      <c r="C297" s="39" t="s">
        <v>208</v>
      </c>
      <c r="D297" s="53">
        <f>32.81*(10.764)</f>
        <v>353.16683999999998</v>
      </c>
      <c r="E297" s="39">
        <v>0</v>
      </c>
      <c r="F297" s="39">
        <f>D297*(($F$267)+1)+(IF(E297&lt;101,E297,IF(E297&lt;201,E297/2,IF(E297&lt;=301,E297/3,E297/4))))</f>
        <v>547.40860199999997</v>
      </c>
      <c r="G297" s="95"/>
      <c r="H297" s="96"/>
      <c r="I297" s="34"/>
      <c r="N297" s="34"/>
    </row>
    <row r="298" spans="1:14" s="43" customFormat="1" ht="15.75" customHeight="1" x14ac:dyDescent="0.35">
      <c r="A298" s="39">
        <f>A297+1</f>
        <v>6</v>
      </c>
      <c r="B298" s="39" t="s">
        <v>233</v>
      </c>
      <c r="C298" s="39" t="s">
        <v>208</v>
      </c>
      <c r="D298" s="53">
        <f>32.85*(10.764)</f>
        <v>353.59739999999999</v>
      </c>
      <c r="E298" s="39">
        <v>0</v>
      </c>
      <c r="F298" s="39">
        <f>D298*(($F$267)+1)+(IF(E298&lt;101,E298,IF(E298&lt;201,E298/2,IF(E298&lt;=301,E298/3,E298/4))))</f>
        <v>548.07596999999998</v>
      </c>
      <c r="G298" s="97"/>
      <c r="H298" s="98"/>
      <c r="I298" s="34"/>
      <c r="N298" s="34"/>
    </row>
    <row r="299" spans="1:14" s="43" customFormat="1" x14ac:dyDescent="0.35">
      <c r="A299" s="89" t="s">
        <v>218</v>
      </c>
      <c r="B299" s="89"/>
      <c r="C299" s="89"/>
      <c r="D299" s="89"/>
      <c r="E299" s="89"/>
      <c r="F299" s="89"/>
      <c r="G299" s="89"/>
      <c r="H299" s="89"/>
      <c r="I299" s="34"/>
      <c r="L299" s="162"/>
      <c r="M299" s="162"/>
    </row>
    <row r="300" spans="1:14" s="43" customFormat="1" ht="15.75" customHeight="1" x14ac:dyDescent="0.35">
      <c r="A300" s="39">
        <v>1</v>
      </c>
      <c r="B300" s="39" t="s">
        <v>232</v>
      </c>
      <c r="C300" s="39" t="s">
        <v>207</v>
      </c>
      <c r="D300" s="53">
        <f>49.85*(10.764)</f>
        <v>536.58539999999994</v>
      </c>
      <c r="E300" s="39">
        <v>0</v>
      </c>
      <c r="F300" s="39">
        <f t="shared" ref="F300" si="20">D300*(($F$267)+1)+(IF(E300&lt;101,E300,IF(E300&lt;201,E300/2,IF(E300&lt;=301,E300/3,E300/4))))</f>
        <v>831.70736999999997</v>
      </c>
      <c r="G300" s="93" t="str">
        <f>A299</f>
        <v>8th Floor (Part Refuge Area)</v>
      </c>
      <c r="H300" s="94"/>
      <c r="I300" s="34"/>
      <c r="N300" s="34"/>
    </row>
    <row r="301" spans="1:14" s="43" customFormat="1" ht="15.75" customHeight="1" x14ac:dyDescent="0.35">
      <c r="A301" s="39">
        <v>2</v>
      </c>
      <c r="B301" s="39" t="s">
        <v>234</v>
      </c>
      <c r="C301" s="93" t="s">
        <v>216</v>
      </c>
      <c r="D301" s="99"/>
      <c r="E301" s="99"/>
      <c r="F301" s="94"/>
      <c r="G301" s="95"/>
      <c r="H301" s="96"/>
      <c r="I301" s="34"/>
      <c r="N301" s="34"/>
    </row>
    <row r="302" spans="1:14" s="43" customFormat="1" ht="15.75" customHeight="1" x14ac:dyDescent="0.35">
      <c r="A302" s="39">
        <f>A301+1</f>
        <v>3</v>
      </c>
      <c r="B302" s="39" t="s">
        <v>234</v>
      </c>
      <c r="C302" s="97"/>
      <c r="D302" s="100"/>
      <c r="E302" s="100"/>
      <c r="F302" s="98"/>
      <c r="G302" s="95"/>
      <c r="H302" s="96"/>
      <c r="I302" s="34"/>
      <c r="N302" s="34"/>
    </row>
    <row r="303" spans="1:14" s="43" customFormat="1" ht="15.75" customHeight="1" x14ac:dyDescent="0.35">
      <c r="A303" s="39">
        <f>A302+1</f>
        <v>4</v>
      </c>
      <c r="B303" s="39" t="s">
        <v>232</v>
      </c>
      <c r="C303" s="39" t="s">
        <v>207</v>
      </c>
      <c r="D303" s="53">
        <f>46.89*(10.764)</f>
        <v>504.72395999999998</v>
      </c>
      <c r="E303" s="39">
        <v>0</v>
      </c>
      <c r="F303" s="39">
        <f>D303*(($F$267)+1)+(IF(E303&lt;101,E303,IF(E303&lt;201,E303/2,IF(E303&lt;=301,E303/3,E303/4))))</f>
        <v>782.322138</v>
      </c>
      <c r="G303" s="95"/>
      <c r="H303" s="96"/>
      <c r="I303" s="34"/>
      <c r="N303" s="34"/>
    </row>
    <row r="304" spans="1:14" s="43" customFormat="1" ht="15.75" customHeight="1" x14ac:dyDescent="0.35">
      <c r="A304" s="39">
        <f>A303+1</f>
        <v>5</v>
      </c>
      <c r="B304" s="39" t="s">
        <v>232</v>
      </c>
      <c r="C304" s="39" t="s">
        <v>208</v>
      </c>
      <c r="D304" s="53">
        <f>32.81*(10.764)</f>
        <v>353.16683999999998</v>
      </c>
      <c r="E304" s="39">
        <v>0</v>
      </c>
      <c r="F304" s="39">
        <f>D304*(($F$267)+1)+(IF(E304&lt;101,E304,IF(E304&lt;201,E304/2,IF(E304&lt;=301,E304/3,E304/4))))</f>
        <v>547.40860199999997</v>
      </c>
      <c r="G304" s="95"/>
      <c r="H304" s="96"/>
      <c r="I304" s="34"/>
      <c r="N304" s="34"/>
    </row>
    <row r="305" spans="1:14" s="43" customFormat="1" ht="15.75" customHeight="1" x14ac:dyDescent="0.35">
      <c r="A305" s="39">
        <f>A304+1</f>
        <v>6</v>
      </c>
      <c r="B305" s="39" t="s">
        <v>232</v>
      </c>
      <c r="C305" s="39" t="s">
        <v>208</v>
      </c>
      <c r="D305" s="53">
        <f>32.85*(10.764)</f>
        <v>353.59739999999999</v>
      </c>
      <c r="E305" s="39">
        <v>0</v>
      </c>
      <c r="F305" s="39">
        <f>D305*(($F$267)+1)+(IF(E305&lt;101,E305,IF(E305&lt;201,E305/2,IF(E305&lt;=301,E305/3,E305/4))))</f>
        <v>548.07596999999998</v>
      </c>
      <c r="G305" s="97"/>
      <c r="H305" s="98"/>
      <c r="I305" s="34"/>
      <c r="N305" s="34"/>
    </row>
    <row r="306" spans="1:14" s="43" customFormat="1" x14ac:dyDescent="0.35">
      <c r="A306" s="89" t="s">
        <v>217</v>
      </c>
      <c r="B306" s="89"/>
      <c r="C306" s="89"/>
      <c r="D306" s="89"/>
      <c r="E306" s="89"/>
      <c r="F306" s="89"/>
      <c r="G306" s="89"/>
      <c r="H306" s="89"/>
      <c r="J306" s="34"/>
    </row>
    <row r="307" spans="1:14" s="43" customFormat="1" x14ac:dyDescent="0.35">
      <c r="A307" s="39">
        <v>1</v>
      </c>
      <c r="B307" s="39" t="s">
        <v>232</v>
      </c>
      <c r="C307" s="39" t="s">
        <v>207</v>
      </c>
      <c r="D307" s="53">
        <f>49.85*(10.764)</f>
        <v>536.58539999999994</v>
      </c>
      <c r="E307" s="39">
        <v>0</v>
      </c>
      <c r="F307" s="39">
        <f t="shared" ref="F307" si="21">D307*(($F$267)+1)+(IF(E307&lt;101,E307,IF(E307&lt;201,E307/2,IF(E307&lt;=301,E307/3,E307/4))))</f>
        <v>831.70736999999997</v>
      </c>
      <c r="G307" s="93" t="str">
        <f>A306</f>
        <v>15th Floor (Part Refuge Area)</v>
      </c>
      <c r="H307" s="94"/>
      <c r="J307" s="34"/>
    </row>
    <row r="308" spans="1:14" s="43" customFormat="1" ht="15.75" customHeight="1" x14ac:dyDescent="0.35">
      <c r="A308" s="39">
        <v>2</v>
      </c>
      <c r="B308" s="39" t="s">
        <v>234</v>
      </c>
      <c r="C308" s="93" t="s">
        <v>216</v>
      </c>
      <c r="D308" s="99"/>
      <c r="E308" s="99"/>
      <c r="F308" s="94"/>
      <c r="G308" s="95"/>
      <c r="H308" s="96"/>
      <c r="J308" s="34"/>
    </row>
    <row r="309" spans="1:14" s="43" customFormat="1" x14ac:dyDescent="0.35">
      <c r="A309" s="39">
        <f>A308+1</f>
        <v>3</v>
      </c>
      <c r="B309" s="39" t="s">
        <v>234</v>
      </c>
      <c r="C309" s="97"/>
      <c r="D309" s="100"/>
      <c r="E309" s="100"/>
      <c r="F309" s="98"/>
      <c r="G309" s="95"/>
      <c r="H309" s="96"/>
      <c r="I309" s="34"/>
      <c r="L309" s="162"/>
      <c r="M309" s="162"/>
    </row>
    <row r="310" spans="1:14" s="43" customFormat="1" x14ac:dyDescent="0.35">
      <c r="A310" s="39">
        <f>A309+1</f>
        <v>4</v>
      </c>
      <c r="B310" s="39" t="s">
        <v>232</v>
      </c>
      <c r="C310" s="39" t="s">
        <v>208</v>
      </c>
      <c r="D310" s="53">
        <f>37.32*(10.764)</f>
        <v>401.71247999999997</v>
      </c>
      <c r="E310" s="39">
        <v>0</v>
      </c>
      <c r="F310" s="39">
        <f>D310*(($F$267)+1)+(IF(E310&lt;101,E310,IF(E310&lt;201,E310/2,IF(E310&lt;=301,E310/3,E310/4))))</f>
        <v>622.65434399999992</v>
      </c>
      <c r="G310" s="95"/>
      <c r="H310" s="96"/>
      <c r="I310" s="34"/>
      <c r="L310" s="162"/>
      <c r="M310" s="162"/>
    </row>
    <row r="311" spans="1:14" s="43" customFormat="1" ht="15.75" customHeight="1" x14ac:dyDescent="0.35">
      <c r="A311" s="39">
        <f>A310+1</f>
        <v>5</v>
      </c>
      <c r="B311" s="39" t="s">
        <v>232</v>
      </c>
      <c r="C311" s="39" t="s">
        <v>208</v>
      </c>
      <c r="D311" s="53">
        <f>32.81*(10.764)</f>
        <v>353.16683999999998</v>
      </c>
      <c r="E311" s="39">
        <v>0</v>
      </c>
      <c r="F311" s="39">
        <f>D311*(($F$267)+1)+(IF(E311&lt;101,E311,IF(E311&lt;201,E311/2,IF(E311&lt;=301,E311/3,E311/4))))</f>
        <v>547.40860199999997</v>
      </c>
      <c r="G311" s="95"/>
      <c r="H311" s="96"/>
      <c r="I311" s="34"/>
      <c r="N311" s="34"/>
    </row>
    <row r="312" spans="1:14" s="43" customFormat="1" ht="15.75" customHeight="1" x14ac:dyDescent="0.35">
      <c r="A312" s="39">
        <f>A311+1</f>
        <v>6</v>
      </c>
      <c r="B312" s="39" t="s">
        <v>232</v>
      </c>
      <c r="C312" s="39" t="s">
        <v>208</v>
      </c>
      <c r="D312" s="53">
        <f>32.85*(10.764)</f>
        <v>353.59739999999999</v>
      </c>
      <c r="E312" s="39">
        <v>0</v>
      </c>
      <c r="F312" s="39">
        <f>D312*(($F$267)+1)+(IF(E312&lt;101,E312,IF(E312&lt;201,E312/2,IF(E312&lt;=301,E312/3,E312/4))))</f>
        <v>548.07596999999998</v>
      </c>
      <c r="G312" s="97"/>
      <c r="H312" s="98"/>
      <c r="I312" s="34"/>
      <c r="N312" s="34"/>
    </row>
    <row r="313" spans="1:14" s="43" customFormat="1" ht="15.75" customHeight="1" x14ac:dyDescent="0.35">
      <c r="A313" s="86" t="s">
        <v>199</v>
      </c>
      <c r="B313" s="87"/>
      <c r="C313" s="87"/>
      <c r="D313" s="87"/>
      <c r="E313" s="87"/>
      <c r="F313" s="87"/>
      <c r="G313" s="87"/>
      <c r="H313" s="88"/>
      <c r="I313" s="34"/>
      <c r="N313" s="34"/>
    </row>
    <row r="314" spans="1:14" s="43" customFormat="1" ht="15.75" customHeight="1" x14ac:dyDescent="0.35">
      <c r="A314" s="107" t="s">
        <v>193</v>
      </c>
      <c r="B314" s="108"/>
      <c r="C314" s="108"/>
      <c r="D314" s="108"/>
      <c r="E314" s="108"/>
      <c r="F314" s="108"/>
      <c r="G314" s="108"/>
      <c r="H314" s="109"/>
      <c r="I314" s="34"/>
      <c r="N314" s="34"/>
    </row>
    <row r="315" spans="1:14" s="43" customFormat="1" ht="15.75" customHeight="1" x14ac:dyDescent="0.35">
      <c r="A315" s="107" t="s">
        <v>201</v>
      </c>
      <c r="B315" s="108"/>
      <c r="C315" s="108"/>
      <c r="D315" s="108"/>
      <c r="E315" s="108"/>
      <c r="F315" s="108"/>
      <c r="G315" s="108"/>
      <c r="H315" s="109"/>
      <c r="I315" s="34"/>
      <c r="N315" s="34"/>
    </row>
    <row r="316" spans="1:14" s="43" customFormat="1" ht="15.75" customHeight="1" x14ac:dyDescent="0.35">
      <c r="A316" s="89" t="s">
        <v>205</v>
      </c>
      <c r="B316" s="89"/>
      <c r="C316" s="89"/>
      <c r="D316" s="89"/>
      <c r="E316" s="89"/>
      <c r="F316" s="89"/>
      <c r="G316" s="89"/>
      <c r="H316" s="89"/>
      <c r="I316" s="34"/>
      <c r="N316" s="34"/>
    </row>
    <row r="317" spans="1:14" s="43" customFormat="1" ht="15.75" customHeight="1" x14ac:dyDescent="0.35">
      <c r="A317" s="89" t="s">
        <v>206</v>
      </c>
      <c r="B317" s="89"/>
      <c r="C317" s="89"/>
      <c r="D317" s="89"/>
      <c r="E317" s="89"/>
      <c r="F317" s="89"/>
      <c r="G317" s="89"/>
      <c r="H317" s="89"/>
      <c r="I317" s="34"/>
      <c r="L317" s="162"/>
      <c r="M317" s="162"/>
    </row>
    <row r="318" spans="1:14" s="43" customFormat="1" x14ac:dyDescent="0.35">
      <c r="A318" s="39">
        <v>1</v>
      </c>
      <c r="B318" s="39" t="s">
        <v>232</v>
      </c>
      <c r="C318" s="39" t="s">
        <v>208</v>
      </c>
      <c r="D318" s="53">
        <f>32.85*(10.764)</f>
        <v>353.59739999999999</v>
      </c>
      <c r="E318" s="39">
        <v>0</v>
      </c>
      <c r="F318" s="39">
        <f t="shared" ref="F318:F319" si="22">D318*(($F$267)+1)+(IF(E318&lt;101,E318,IF(E318&lt;201,E318/2,IF(E318&lt;=301,E318/3,E318/4))))</f>
        <v>548.07596999999998</v>
      </c>
      <c r="G318" s="93" t="str">
        <f>A317</f>
        <v>2nd Floor for Residential</v>
      </c>
      <c r="H318" s="94"/>
      <c r="I318" s="34"/>
      <c r="N318" s="34"/>
    </row>
    <row r="319" spans="1:14" s="43" customFormat="1" x14ac:dyDescent="0.35">
      <c r="A319" s="39">
        <v>2</v>
      </c>
      <c r="B319" s="39" t="s">
        <v>232</v>
      </c>
      <c r="C319" s="39" t="s">
        <v>208</v>
      </c>
      <c r="D319" s="53">
        <f>32.81*(10.764)</f>
        <v>353.16683999999998</v>
      </c>
      <c r="E319" s="39">
        <v>0</v>
      </c>
      <c r="F319" s="39">
        <f t="shared" si="22"/>
        <v>547.40860199999997</v>
      </c>
      <c r="G319" s="95"/>
      <c r="H319" s="96"/>
      <c r="I319" s="34"/>
      <c r="N319" s="34"/>
    </row>
    <row r="320" spans="1:14" s="43" customFormat="1" x14ac:dyDescent="0.35">
      <c r="A320" s="39">
        <f>A319+1</f>
        <v>3</v>
      </c>
      <c r="B320" s="39" t="s">
        <v>233</v>
      </c>
      <c r="C320" s="39" t="s">
        <v>208</v>
      </c>
      <c r="D320" s="53">
        <f>32.98*(10.764)</f>
        <v>354.99671999999993</v>
      </c>
      <c r="E320" s="39">
        <v>0</v>
      </c>
      <c r="F320" s="39">
        <f>D320*(($F$267)+1)+(IF(E320&lt;101,E320,IF(E320&lt;201,E320/2,IF(E320&lt;=301,E320/3,E320/4))))</f>
        <v>550.24491599999988</v>
      </c>
      <c r="G320" s="95"/>
      <c r="H320" s="96"/>
      <c r="I320" s="34"/>
      <c r="N320" s="34"/>
    </row>
    <row r="321" spans="1:14" s="43" customFormat="1" x14ac:dyDescent="0.35">
      <c r="A321" s="39">
        <f>A320+1</f>
        <v>4</v>
      </c>
      <c r="B321" s="39" t="s">
        <v>232</v>
      </c>
      <c r="C321" s="39" t="s">
        <v>208</v>
      </c>
      <c r="D321" s="53">
        <f>32.98*(10.764)</f>
        <v>354.99671999999993</v>
      </c>
      <c r="E321" s="39">
        <v>0</v>
      </c>
      <c r="F321" s="39">
        <f>D321*(($F$267)+1)+(IF(E321&lt;101,E321,IF(E321&lt;201,E321/2,IF(E321&lt;=301,E321/3,E321/4))))</f>
        <v>550.24491599999988</v>
      </c>
      <c r="G321" s="95"/>
      <c r="H321" s="96"/>
      <c r="I321" s="34"/>
      <c r="N321" s="34"/>
    </row>
    <row r="322" spans="1:14" s="43" customFormat="1" x14ac:dyDescent="0.35">
      <c r="A322" s="39">
        <f>A321+1</f>
        <v>5</v>
      </c>
      <c r="B322" s="39" t="s">
        <v>233</v>
      </c>
      <c r="C322" s="39" t="s">
        <v>208</v>
      </c>
      <c r="D322" s="53">
        <f>36.75*(10.764)</f>
        <v>395.577</v>
      </c>
      <c r="E322" s="39">
        <v>0</v>
      </c>
      <c r="F322" s="39">
        <f>D322*(($F$267)+1)+(IF(E322&lt;101,E322,IF(E322&lt;201,E322/2,IF(E322&lt;=301,E322/3,E322/4))))</f>
        <v>613.14435000000003</v>
      </c>
      <c r="G322" s="95"/>
      <c r="H322" s="96"/>
      <c r="I322" s="34"/>
      <c r="N322" s="34"/>
    </row>
    <row r="323" spans="1:14" s="43" customFormat="1" x14ac:dyDescent="0.35">
      <c r="A323" s="39">
        <f>A322+1</f>
        <v>6</v>
      </c>
      <c r="B323" s="39" t="s">
        <v>232</v>
      </c>
      <c r="C323" s="39" t="s">
        <v>208</v>
      </c>
      <c r="D323" s="53">
        <f>32.85*(10.764)</f>
        <v>353.59739999999999</v>
      </c>
      <c r="E323" s="39">
        <v>0</v>
      </c>
      <c r="F323" s="39">
        <f>D323*(($F$267)+1)+(IF(E323&lt;101,E323,IF(E323&lt;201,E323/2,IF(E323&lt;=301,E323/3,E323/4))))</f>
        <v>548.07596999999998</v>
      </c>
      <c r="G323" s="97"/>
      <c r="H323" s="98"/>
      <c r="I323" s="34"/>
      <c r="N323" s="34"/>
    </row>
    <row r="324" spans="1:14" s="43" customFormat="1" ht="15.75" customHeight="1" x14ac:dyDescent="0.35">
      <c r="A324" s="89" t="s">
        <v>209</v>
      </c>
      <c r="B324" s="89"/>
      <c r="C324" s="89"/>
      <c r="D324" s="89"/>
      <c r="E324" s="89"/>
      <c r="F324" s="89"/>
      <c r="G324" s="89"/>
      <c r="H324" s="89"/>
      <c r="I324" s="34"/>
      <c r="L324" s="162"/>
      <c r="M324" s="162"/>
    </row>
    <row r="325" spans="1:14" s="43" customFormat="1" x14ac:dyDescent="0.35">
      <c r="A325" s="39">
        <v>1</v>
      </c>
      <c r="B325" s="39" t="s">
        <v>232</v>
      </c>
      <c r="C325" s="39" t="s">
        <v>208</v>
      </c>
      <c r="D325" s="53">
        <f>32.85*(10.764)</f>
        <v>353.59739999999999</v>
      </c>
      <c r="E325" s="39">
        <v>0</v>
      </c>
      <c r="F325" s="39">
        <f t="shared" ref="F325:F326" si="23">D325*(($F$267)+1)+(IF(E325&lt;101,E325,IF(E325&lt;201,E325/2,IF(E325&lt;=301,E325/3,E325/4))))</f>
        <v>548.07596999999998</v>
      </c>
      <c r="G325" s="93" t="str">
        <f>A324</f>
        <v>3rd Floor</v>
      </c>
      <c r="H325" s="94"/>
      <c r="I325" s="34"/>
      <c r="N325" s="34"/>
    </row>
    <row r="326" spans="1:14" s="43" customFormat="1" x14ac:dyDescent="0.35">
      <c r="A326" s="39">
        <v>2</v>
      </c>
      <c r="B326" s="39" t="s">
        <v>232</v>
      </c>
      <c r="C326" s="39" t="s">
        <v>208</v>
      </c>
      <c r="D326" s="53">
        <f>32.81*(10.764)</f>
        <v>353.16683999999998</v>
      </c>
      <c r="E326" s="39">
        <v>0</v>
      </c>
      <c r="F326" s="39">
        <f t="shared" si="23"/>
        <v>547.40860199999997</v>
      </c>
      <c r="G326" s="95"/>
      <c r="H326" s="96"/>
      <c r="I326" s="34"/>
      <c r="N326" s="34"/>
    </row>
    <row r="327" spans="1:14" s="43" customFormat="1" x14ac:dyDescent="0.35">
      <c r="A327" s="39">
        <f>A326+1</f>
        <v>3</v>
      </c>
      <c r="B327" s="39" t="s">
        <v>233</v>
      </c>
      <c r="C327" s="39" t="s">
        <v>208</v>
      </c>
      <c r="D327" s="53">
        <f>32.98*(10.764)</f>
        <v>354.99671999999993</v>
      </c>
      <c r="E327" s="39">
        <v>0</v>
      </c>
      <c r="F327" s="39">
        <f>D327*(($F$267)+1)+(IF(E327&lt;101,E327,IF(E327&lt;201,E327/2,IF(E327&lt;=301,E327/3,E327/4))))</f>
        <v>550.24491599999988</v>
      </c>
      <c r="G327" s="95"/>
      <c r="H327" s="96"/>
      <c r="I327" s="34"/>
      <c r="N327" s="34"/>
    </row>
    <row r="328" spans="1:14" s="43" customFormat="1" x14ac:dyDescent="0.35">
      <c r="A328" s="39">
        <f>A327+1</f>
        <v>4</v>
      </c>
      <c r="B328" s="39" t="s">
        <v>233</v>
      </c>
      <c r="C328" s="39" t="s">
        <v>208</v>
      </c>
      <c r="D328" s="53">
        <f>32.98*(10.764)</f>
        <v>354.99671999999993</v>
      </c>
      <c r="E328" s="39">
        <v>0</v>
      </c>
      <c r="F328" s="39">
        <f>D328*(($F$267)+1)+(IF(E328&lt;101,E328,IF(E328&lt;201,E328/2,IF(E328&lt;=301,E328/3,E328/4))))</f>
        <v>550.24491599999988</v>
      </c>
      <c r="G328" s="95"/>
      <c r="H328" s="96"/>
      <c r="I328" s="34"/>
      <c r="N328" s="34"/>
    </row>
    <row r="329" spans="1:14" s="43" customFormat="1" x14ac:dyDescent="0.35">
      <c r="A329" s="39">
        <f>A328+1</f>
        <v>5</v>
      </c>
      <c r="B329" s="39" t="s">
        <v>233</v>
      </c>
      <c r="C329" s="39" t="s">
        <v>208</v>
      </c>
      <c r="D329" s="53">
        <f>36.75*(10.764)</f>
        <v>395.577</v>
      </c>
      <c r="E329" s="39">
        <v>0</v>
      </c>
      <c r="F329" s="39">
        <f>D329*(($F$267)+1)+(IF(E329&lt;101,E329,IF(E329&lt;201,E329/2,IF(E329&lt;=301,E329/3,E329/4))))</f>
        <v>613.14435000000003</v>
      </c>
      <c r="G329" s="95"/>
      <c r="H329" s="96"/>
      <c r="I329" s="34"/>
      <c r="N329" s="34"/>
    </row>
    <row r="330" spans="1:14" s="43" customFormat="1" x14ac:dyDescent="0.35">
      <c r="A330" s="39">
        <f>A329+1</f>
        <v>6</v>
      </c>
      <c r="B330" s="39" t="s">
        <v>232</v>
      </c>
      <c r="C330" s="39" t="s">
        <v>208</v>
      </c>
      <c r="D330" s="53">
        <f>32.85*(10.764)</f>
        <v>353.59739999999999</v>
      </c>
      <c r="E330" s="39">
        <v>0</v>
      </c>
      <c r="F330" s="39">
        <f>D330*(($F$267)+1)+(IF(E330&lt;101,E330,IF(E330&lt;201,E330/2,IF(E330&lt;=301,E330/3,E330/4))))</f>
        <v>548.07596999999998</v>
      </c>
      <c r="G330" s="97"/>
      <c r="H330" s="98"/>
      <c r="I330" s="34"/>
      <c r="N330" s="34"/>
    </row>
    <row r="331" spans="1:14" s="43" customFormat="1" x14ac:dyDescent="0.35">
      <c r="A331" s="89" t="s">
        <v>210</v>
      </c>
      <c r="B331" s="89"/>
      <c r="C331" s="89"/>
      <c r="D331" s="89"/>
      <c r="E331" s="89"/>
      <c r="F331" s="89"/>
      <c r="G331" s="89"/>
      <c r="H331" s="89"/>
      <c r="I331" s="34"/>
      <c r="L331" s="162"/>
      <c r="M331" s="162"/>
    </row>
    <row r="332" spans="1:14" s="43" customFormat="1" x14ac:dyDescent="0.35">
      <c r="A332" s="39">
        <v>1</v>
      </c>
      <c r="B332" s="39" t="s">
        <v>232</v>
      </c>
      <c r="C332" s="39" t="s">
        <v>208</v>
      </c>
      <c r="D332" s="53">
        <f>32.85*(10.764)</f>
        <v>353.59739999999999</v>
      </c>
      <c r="E332" s="39">
        <v>0</v>
      </c>
      <c r="F332" s="39">
        <f t="shared" ref="F332:F333" si="24">D332*(($F$267)+1)+(IF(E332&lt;101,E332,IF(E332&lt;201,E332/2,IF(E332&lt;=301,E332/3,E332/4))))</f>
        <v>548.07596999999998</v>
      </c>
      <c r="G332" s="93" t="str">
        <f>A331</f>
        <v>4th Floor</v>
      </c>
      <c r="H332" s="94"/>
      <c r="I332" s="34"/>
      <c r="N332" s="34"/>
    </row>
    <row r="333" spans="1:14" s="43" customFormat="1" x14ac:dyDescent="0.35">
      <c r="A333" s="39">
        <v>2</v>
      </c>
      <c r="B333" s="39" t="s">
        <v>232</v>
      </c>
      <c r="C333" s="39" t="s">
        <v>208</v>
      </c>
      <c r="D333" s="53">
        <f>32.81*(10.764)</f>
        <v>353.16683999999998</v>
      </c>
      <c r="E333" s="39">
        <v>0</v>
      </c>
      <c r="F333" s="39">
        <f t="shared" si="24"/>
        <v>547.40860199999997</v>
      </c>
      <c r="G333" s="95"/>
      <c r="H333" s="96"/>
      <c r="I333" s="34"/>
      <c r="N333" s="34"/>
    </row>
    <row r="334" spans="1:14" s="43" customFormat="1" x14ac:dyDescent="0.35">
      <c r="A334" s="39">
        <f>A333+1</f>
        <v>3</v>
      </c>
      <c r="B334" s="39" t="s">
        <v>233</v>
      </c>
      <c r="C334" s="39" t="s">
        <v>208</v>
      </c>
      <c r="D334" s="53">
        <f>32.98*(10.764)</f>
        <v>354.99671999999993</v>
      </c>
      <c r="E334" s="39">
        <v>0</v>
      </c>
      <c r="F334" s="39">
        <f>D334*(($F$267)+1)+(IF(E334&lt;101,E334,IF(E334&lt;201,E334/2,IF(E334&lt;=301,E334/3,E334/4))))</f>
        <v>550.24491599999988</v>
      </c>
      <c r="G334" s="95"/>
      <c r="H334" s="96"/>
      <c r="I334" s="34"/>
      <c r="N334" s="34"/>
    </row>
    <row r="335" spans="1:14" s="43" customFormat="1" x14ac:dyDescent="0.35">
      <c r="A335" s="39">
        <f>A334+1</f>
        <v>4</v>
      </c>
      <c r="B335" s="39" t="s">
        <v>233</v>
      </c>
      <c r="C335" s="39" t="s">
        <v>208</v>
      </c>
      <c r="D335" s="53">
        <f>32.98*(10.764)</f>
        <v>354.99671999999993</v>
      </c>
      <c r="E335" s="39">
        <v>0</v>
      </c>
      <c r="F335" s="39">
        <f>D335*(($F$267)+1)+(IF(E335&lt;101,E335,IF(E335&lt;201,E335/2,IF(E335&lt;=301,E335/3,E335/4))))</f>
        <v>550.24491599999988</v>
      </c>
      <c r="G335" s="95"/>
      <c r="H335" s="96"/>
      <c r="I335" s="34"/>
      <c r="N335" s="34"/>
    </row>
    <row r="336" spans="1:14" s="43" customFormat="1" x14ac:dyDescent="0.35">
      <c r="A336" s="39">
        <f>A335+1</f>
        <v>5</v>
      </c>
      <c r="B336" s="39" t="s">
        <v>233</v>
      </c>
      <c r="C336" s="39" t="s">
        <v>208</v>
      </c>
      <c r="D336" s="53">
        <f>36.75*(10.764)</f>
        <v>395.577</v>
      </c>
      <c r="E336" s="39">
        <v>0</v>
      </c>
      <c r="F336" s="39">
        <f>D336*(($F$267)+1)+(IF(E336&lt;101,E336,IF(E336&lt;201,E336/2,IF(E336&lt;=301,E336/3,E336/4))))</f>
        <v>613.14435000000003</v>
      </c>
      <c r="G336" s="95"/>
      <c r="H336" s="96"/>
      <c r="I336" s="34"/>
      <c r="N336" s="34"/>
    </row>
    <row r="337" spans="1:14" s="43" customFormat="1" x14ac:dyDescent="0.35">
      <c r="A337" s="39">
        <f>A336+1</f>
        <v>6</v>
      </c>
      <c r="B337" s="39" t="s">
        <v>232</v>
      </c>
      <c r="C337" s="39" t="s">
        <v>208</v>
      </c>
      <c r="D337" s="53">
        <f>32.85*(10.764)</f>
        <v>353.59739999999999</v>
      </c>
      <c r="E337" s="39">
        <v>0</v>
      </c>
      <c r="F337" s="39">
        <f>D337*(($F$267)+1)+(IF(E337&lt;101,E337,IF(E337&lt;201,E337/2,IF(E337&lt;=301,E337/3,E337/4))))</f>
        <v>548.07596999999998</v>
      </c>
      <c r="G337" s="97"/>
      <c r="H337" s="98"/>
      <c r="I337" s="34"/>
      <c r="N337" s="34"/>
    </row>
    <row r="338" spans="1:14" s="43" customFormat="1" ht="15.75" customHeight="1" x14ac:dyDescent="0.35">
      <c r="A338" s="89" t="s">
        <v>212</v>
      </c>
      <c r="B338" s="89"/>
      <c r="C338" s="89"/>
      <c r="D338" s="89"/>
      <c r="E338" s="89"/>
      <c r="F338" s="89"/>
      <c r="G338" s="89"/>
      <c r="H338" s="89"/>
      <c r="I338" s="34"/>
      <c r="L338" s="162"/>
      <c r="M338" s="162"/>
    </row>
    <row r="339" spans="1:14" s="43" customFormat="1" x14ac:dyDescent="0.35">
      <c r="A339" s="39">
        <v>1</v>
      </c>
      <c r="B339" s="39" t="s">
        <v>232</v>
      </c>
      <c r="C339" s="39" t="s">
        <v>208</v>
      </c>
      <c r="D339" s="53">
        <f>32.85*(10.764)</f>
        <v>353.59739999999999</v>
      </c>
      <c r="E339" s="39">
        <v>0</v>
      </c>
      <c r="F339" s="39">
        <f t="shared" ref="F339:F340" si="25">D339*(($F$267)+1)+(IF(E339&lt;101,E339,IF(E339&lt;201,E339/2,IF(E339&lt;=301,E339/3,E339/4))))</f>
        <v>548.07596999999998</v>
      </c>
      <c r="G339" s="93" t="str">
        <f>A338</f>
        <v>5th Floor</v>
      </c>
      <c r="H339" s="94"/>
      <c r="I339" s="34"/>
      <c r="N339" s="34"/>
    </row>
    <row r="340" spans="1:14" s="43" customFormat="1" x14ac:dyDescent="0.35">
      <c r="A340" s="39">
        <v>2</v>
      </c>
      <c r="B340" s="39" t="s">
        <v>233</v>
      </c>
      <c r="C340" s="39" t="s">
        <v>208</v>
      </c>
      <c r="D340" s="53">
        <f>32.81*(10.764)</f>
        <v>353.16683999999998</v>
      </c>
      <c r="E340" s="39">
        <v>0</v>
      </c>
      <c r="F340" s="39">
        <f t="shared" si="25"/>
        <v>547.40860199999997</v>
      </c>
      <c r="G340" s="95"/>
      <c r="H340" s="96"/>
      <c r="I340" s="34"/>
      <c r="N340" s="34"/>
    </row>
    <row r="341" spans="1:14" s="43" customFormat="1" x14ac:dyDescent="0.35">
      <c r="A341" s="39">
        <f>A340+1</f>
        <v>3</v>
      </c>
      <c r="B341" s="39" t="s">
        <v>232</v>
      </c>
      <c r="C341" s="39" t="s">
        <v>208</v>
      </c>
      <c r="D341" s="53">
        <f>32.98*(10.764)</f>
        <v>354.99671999999993</v>
      </c>
      <c r="E341" s="39">
        <v>0</v>
      </c>
      <c r="F341" s="39">
        <f>D341*(($F$267)+1)+(IF(E341&lt;101,E341,IF(E341&lt;201,E341/2,IF(E341&lt;=301,E341/3,E341/4))))</f>
        <v>550.24491599999988</v>
      </c>
      <c r="G341" s="95"/>
      <c r="H341" s="96"/>
      <c r="I341" s="34"/>
      <c r="N341" s="34"/>
    </row>
    <row r="342" spans="1:14" s="43" customFormat="1" x14ac:dyDescent="0.35">
      <c r="A342" s="39">
        <f>A341+1</f>
        <v>4</v>
      </c>
      <c r="B342" s="39" t="s">
        <v>232</v>
      </c>
      <c r="C342" s="39" t="s">
        <v>208</v>
      </c>
      <c r="D342" s="53">
        <f>32.98*(10.764)</f>
        <v>354.99671999999993</v>
      </c>
      <c r="E342" s="39">
        <v>0</v>
      </c>
      <c r="F342" s="39">
        <f>D342*(($F$267)+1)+(IF(E342&lt;101,E342,IF(E342&lt;201,E342/2,IF(E342&lt;=301,E342/3,E342/4))))</f>
        <v>550.24491599999988</v>
      </c>
      <c r="G342" s="95"/>
      <c r="H342" s="96"/>
      <c r="I342" s="34"/>
      <c r="N342" s="34"/>
    </row>
    <row r="343" spans="1:14" s="43" customFormat="1" x14ac:dyDescent="0.35">
      <c r="A343" s="39">
        <f>A342+1</f>
        <v>5</v>
      </c>
      <c r="B343" s="39" t="s">
        <v>233</v>
      </c>
      <c r="C343" s="39" t="s">
        <v>208</v>
      </c>
      <c r="D343" s="53">
        <f>36.75*(10.764)</f>
        <v>395.577</v>
      </c>
      <c r="E343" s="39">
        <v>0</v>
      </c>
      <c r="F343" s="39">
        <f>D343*(($F$267)+1)+(IF(E343&lt;101,E343,IF(E343&lt;201,E343/2,IF(E343&lt;=301,E343/3,E343/4))))</f>
        <v>613.14435000000003</v>
      </c>
      <c r="G343" s="95"/>
      <c r="H343" s="96"/>
      <c r="I343" s="34"/>
      <c r="N343" s="34"/>
    </row>
    <row r="344" spans="1:14" s="43" customFormat="1" x14ac:dyDescent="0.35">
      <c r="A344" s="39">
        <f>A343+1</f>
        <v>6</v>
      </c>
      <c r="B344" s="39" t="s">
        <v>232</v>
      </c>
      <c r="C344" s="39" t="s">
        <v>208</v>
      </c>
      <c r="D344" s="53">
        <f>32.85*(10.764)</f>
        <v>353.59739999999999</v>
      </c>
      <c r="E344" s="39">
        <v>0</v>
      </c>
      <c r="F344" s="39">
        <f>D344*(($F$267)+1)+(IF(E344&lt;101,E344,IF(E344&lt;201,E344/2,IF(E344&lt;=301,E344/3,E344/4))))</f>
        <v>548.07596999999998</v>
      </c>
      <c r="G344" s="97"/>
      <c r="H344" s="98"/>
      <c r="I344" s="34"/>
      <c r="N344" s="34"/>
    </row>
    <row r="345" spans="1:14" s="43" customFormat="1" ht="15.75" customHeight="1" x14ac:dyDescent="0.35">
      <c r="A345" s="89" t="s">
        <v>219</v>
      </c>
      <c r="B345" s="89"/>
      <c r="C345" s="89"/>
      <c r="D345" s="89"/>
      <c r="E345" s="89"/>
      <c r="F345" s="89"/>
      <c r="G345" s="89"/>
      <c r="H345" s="89"/>
      <c r="I345" s="34"/>
      <c r="L345" s="162"/>
      <c r="M345" s="162"/>
    </row>
    <row r="346" spans="1:14" s="43" customFormat="1" x14ac:dyDescent="0.35">
      <c r="A346" s="39">
        <v>1</v>
      </c>
      <c r="B346" s="39" t="s">
        <v>232</v>
      </c>
      <c r="C346" s="39" t="s">
        <v>208</v>
      </c>
      <c r="D346" s="53">
        <f>32.85*(10.764)</f>
        <v>353.59739999999999</v>
      </c>
      <c r="E346" s="39">
        <v>0</v>
      </c>
      <c r="F346" s="39">
        <f t="shared" ref="F346:F347" si="26">D346*(($F$267)+1)+(IF(E346&lt;101,E346,IF(E346&lt;201,E346/2,IF(E346&lt;=301,E346/3,E346/4))))</f>
        <v>548.07596999999998</v>
      </c>
      <c r="G346" s="93" t="str">
        <f>A345</f>
        <v>6th Floor</v>
      </c>
      <c r="H346" s="94"/>
      <c r="I346" s="34"/>
      <c r="N346" s="34"/>
    </row>
    <row r="347" spans="1:14" s="43" customFormat="1" x14ac:dyDescent="0.35">
      <c r="A347" s="39">
        <v>2</v>
      </c>
      <c r="B347" s="39" t="s">
        <v>232</v>
      </c>
      <c r="C347" s="39" t="s">
        <v>208</v>
      </c>
      <c r="D347" s="53">
        <f>32.81*(10.764)</f>
        <v>353.16683999999998</v>
      </c>
      <c r="E347" s="39">
        <v>0</v>
      </c>
      <c r="F347" s="39">
        <f t="shared" si="26"/>
        <v>547.40860199999997</v>
      </c>
      <c r="G347" s="95"/>
      <c r="H347" s="96"/>
      <c r="I347" s="34"/>
      <c r="N347" s="34"/>
    </row>
    <row r="348" spans="1:14" s="43" customFormat="1" x14ac:dyDescent="0.35">
      <c r="A348" s="39">
        <f>A347+1</f>
        <v>3</v>
      </c>
      <c r="B348" s="39" t="s">
        <v>232</v>
      </c>
      <c r="C348" s="39" t="s">
        <v>208</v>
      </c>
      <c r="D348" s="53">
        <f>32.98*(10.764)</f>
        <v>354.99671999999993</v>
      </c>
      <c r="E348" s="39">
        <v>0</v>
      </c>
      <c r="F348" s="39">
        <f>D348*(($F$267)+1)+(IF(E348&lt;101,E348,IF(E348&lt;201,E348/2,IF(E348&lt;=301,E348/3,E348/4))))</f>
        <v>550.24491599999988</v>
      </c>
      <c r="G348" s="95"/>
      <c r="H348" s="96"/>
      <c r="I348" s="34"/>
      <c r="N348" s="34"/>
    </row>
    <row r="349" spans="1:14" s="43" customFormat="1" x14ac:dyDescent="0.35">
      <c r="A349" s="39">
        <f>A348+1</f>
        <v>4</v>
      </c>
      <c r="B349" s="39" t="s">
        <v>232</v>
      </c>
      <c r="C349" s="39" t="s">
        <v>208</v>
      </c>
      <c r="D349" s="53">
        <f>32.98*(10.764)</f>
        <v>354.99671999999993</v>
      </c>
      <c r="E349" s="39">
        <v>0</v>
      </c>
      <c r="F349" s="39">
        <f>D349*(($F$267)+1)+(IF(E349&lt;101,E349,IF(E349&lt;201,E349/2,IF(E349&lt;=301,E349/3,E349/4))))</f>
        <v>550.24491599999988</v>
      </c>
      <c r="G349" s="95"/>
      <c r="H349" s="96"/>
      <c r="I349" s="34"/>
      <c r="N349" s="34"/>
    </row>
    <row r="350" spans="1:14" s="43" customFormat="1" x14ac:dyDescent="0.35">
      <c r="A350" s="39">
        <f>A349+1</f>
        <v>5</v>
      </c>
      <c r="B350" s="39" t="s">
        <v>233</v>
      </c>
      <c r="C350" s="39" t="s">
        <v>208</v>
      </c>
      <c r="D350" s="53">
        <f>36.75*(10.764)</f>
        <v>395.577</v>
      </c>
      <c r="E350" s="39">
        <v>0</v>
      </c>
      <c r="F350" s="39">
        <f>D350*(($F$267)+1)+(IF(E350&lt;101,E350,IF(E350&lt;201,E350/2,IF(E350&lt;=301,E350/3,E350/4))))</f>
        <v>613.14435000000003</v>
      </c>
      <c r="G350" s="95"/>
      <c r="H350" s="96"/>
      <c r="I350" s="34"/>
      <c r="N350" s="34"/>
    </row>
    <row r="351" spans="1:14" s="43" customFormat="1" x14ac:dyDescent="0.35">
      <c r="A351" s="39">
        <f>A350+1</f>
        <v>6</v>
      </c>
      <c r="B351" s="39" t="s">
        <v>232</v>
      </c>
      <c r="C351" s="39" t="s">
        <v>208</v>
      </c>
      <c r="D351" s="53">
        <f>32.85*(10.764)</f>
        <v>353.59739999999999</v>
      </c>
      <c r="E351" s="39">
        <v>0</v>
      </c>
      <c r="F351" s="39">
        <f>D351*(($F$267)+1)+(IF(E351&lt;101,E351,IF(E351&lt;201,E351/2,IF(E351&lt;=301,E351/3,E351/4))))</f>
        <v>548.07596999999998</v>
      </c>
      <c r="G351" s="97"/>
      <c r="H351" s="98"/>
      <c r="I351" s="34"/>
      <c r="N351" s="34"/>
    </row>
    <row r="352" spans="1:14" s="43" customFormat="1" ht="15.75" customHeight="1" x14ac:dyDescent="0.35">
      <c r="A352" s="89" t="s">
        <v>220</v>
      </c>
      <c r="B352" s="89"/>
      <c r="C352" s="89"/>
      <c r="D352" s="89"/>
      <c r="E352" s="89"/>
      <c r="F352" s="89"/>
      <c r="G352" s="89"/>
      <c r="H352" s="89"/>
      <c r="I352" s="34"/>
      <c r="L352" s="162"/>
      <c r="M352" s="162"/>
    </row>
    <row r="353" spans="1:14" s="43" customFormat="1" ht="15.75" customHeight="1" x14ac:dyDescent="0.35">
      <c r="A353" s="39">
        <v>1</v>
      </c>
      <c r="B353" s="39" t="s">
        <v>233</v>
      </c>
      <c r="C353" s="39" t="s">
        <v>208</v>
      </c>
      <c r="D353" s="53">
        <f>32.85*(10.764)</f>
        <v>353.59739999999999</v>
      </c>
      <c r="E353" s="39">
        <v>0</v>
      </c>
      <c r="F353" s="39">
        <f t="shared" ref="F353:F354" si="27">D353*(($F$267)+1)+(IF(E353&lt;101,E353,IF(E353&lt;201,E353/2,IF(E353&lt;=301,E353/3,E353/4))))</f>
        <v>548.07596999999998</v>
      </c>
      <c r="G353" s="93" t="str">
        <f>A352</f>
        <v>7th Floor</v>
      </c>
      <c r="H353" s="94"/>
      <c r="I353" s="34"/>
      <c r="N353" s="34"/>
    </row>
    <row r="354" spans="1:14" s="43" customFormat="1" ht="15.75" customHeight="1" x14ac:dyDescent="0.35">
      <c r="A354" s="39">
        <v>2</v>
      </c>
      <c r="B354" s="39" t="s">
        <v>232</v>
      </c>
      <c r="C354" s="39" t="s">
        <v>208</v>
      </c>
      <c r="D354" s="53">
        <f>32.81*(10.764)</f>
        <v>353.16683999999998</v>
      </c>
      <c r="E354" s="39">
        <v>0</v>
      </c>
      <c r="F354" s="39">
        <f t="shared" si="27"/>
        <v>547.40860199999997</v>
      </c>
      <c r="G354" s="95"/>
      <c r="H354" s="96"/>
      <c r="I354" s="34"/>
      <c r="N354" s="34"/>
    </row>
    <row r="355" spans="1:14" s="43" customFormat="1" ht="15.75" customHeight="1" x14ac:dyDescent="0.35">
      <c r="A355" s="39">
        <f>A354+1</f>
        <v>3</v>
      </c>
      <c r="B355" s="39" t="s">
        <v>232</v>
      </c>
      <c r="C355" s="39" t="s">
        <v>208</v>
      </c>
      <c r="D355" s="53">
        <f>32.98*(10.764)</f>
        <v>354.99671999999993</v>
      </c>
      <c r="E355" s="39">
        <v>0</v>
      </c>
      <c r="F355" s="39">
        <f>D355*(($F$267)+1)+(IF(E355&lt;101,E355,IF(E355&lt;201,E355/2,IF(E355&lt;=301,E355/3,E355/4))))</f>
        <v>550.24491599999988</v>
      </c>
      <c r="G355" s="95"/>
      <c r="H355" s="96"/>
      <c r="I355" s="34"/>
      <c r="N355" s="34"/>
    </row>
    <row r="356" spans="1:14" s="43" customFormat="1" ht="15.75" customHeight="1" x14ac:dyDescent="0.35">
      <c r="A356" s="39">
        <f>A355+1</f>
        <v>4</v>
      </c>
      <c r="B356" s="39" t="s">
        <v>232</v>
      </c>
      <c r="C356" s="39" t="s">
        <v>208</v>
      </c>
      <c r="D356" s="53">
        <f>32.98*(10.764)</f>
        <v>354.99671999999993</v>
      </c>
      <c r="E356" s="39">
        <v>0</v>
      </c>
      <c r="F356" s="39">
        <f>D356*(($F$267)+1)+(IF(E356&lt;101,E356,IF(E356&lt;201,E356/2,IF(E356&lt;=301,E356/3,E356/4))))</f>
        <v>550.24491599999988</v>
      </c>
      <c r="G356" s="95"/>
      <c r="H356" s="96"/>
      <c r="I356" s="34"/>
      <c r="N356" s="34"/>
    </row>
    <row r="357" spans="1:14" s="43" customFormat="1" ht="15.75" customHeight="1" x14ac:dyDescent="0.35">
      <c r="A357" s="39">
        <f>A356+1</f>
        <v>5</v>
      </c>
      <c r="B357" s="39" t="s">
        <v>233</v>
      </c>
      <c r="C357" s="39" t="s">
        <v>208</v>
      </c>
      <c r="D357" s="53">
        <f>36.75*(10.764)</f>
        <v>395.577</v>
      </c>
      <c r="E357" s="39">
        <v>0</v>
      </c>
      <c r="F357" s="39">
        <f>D357*(($F$267)+1)+(IF(E357&lt;101,E357,IF(E357&lt;201,E357/2,IF(E357&lt;=301,E357/3,E357/4))))</f>
        <v>613.14435000000003</v>
      </c>
      <c r="G357" s="95"/>
      <c r="H357" s="96"/>
      <c r="I357" s="34"/>
      <c r="N357" s="34"/>
    </row>
    <row r="358" spans="1:14" s="43" customFormat="1" ht="15.75" customHeight="1" x14ac:dyDescent="0.35">
      <c r="A358" s="39">
        <f>A357+1</f>
        <v>6</v>
      </c>
      <c r="B358" s="39" t="s">
        <v>232</v>
      </c>
      <c r="C358" s="39" t="s">
        <v>208</v>
      </c>
      <c r="D358" s="53">
        <f>32.85*(10.764)</f>
        <v>353.59739999999999</v>
      </c>
      <c r="E358" s="39">
        <v>0</v>
      </c>
      <c r="F358" s="39">
        <f>D358*(($F$267)+1)+(IF(E358&lt;101,E358,IF(E358&lt;201,E358/2,IF(E358&lt;=301,E358/3,E358/4))))</f>
        <v>548.07596999999998</v>
      </c>
      <c r="G358" s="97"/>
      <c r="H358" s="98"/>
      <c r="I358" s="34"/>
      <c r="N358" s="34"/>
    </row>
    <row r="359" spans="1:14" s="43" customFormat="1" ht="15.75" customHeight="1" x14ac:dyDescent="0.35">
      <c r="A359" s="89" t="s">
        <v>218</v>
      </c>
      <c r="B359" s="89"/>
      <c r="C359" s="89"/>
      <c r="D359" s="89"/>
      <c r="E359" s="89"/>
      <c r="F359" s="89"/>
      <c r="G359" s="89"/>
      <c r="H359" s="89"/>
      <c r="I359" s="34"/>
      <c r="L359" s="162"/>
      <c r="M359" s="162"/>
    </row>
    <row r="360" spans="1:14" s="43" customFormat="1" x14ac:dyDescent="0.35">
      <c r="A360" s="39">
        <v>1</v>
      </c>
      <c r="B360" s="39" t="s">
        <v>232</v>
      </c>
      <c r="C360" s="39" t="s">
        <v>208</v>
      </c>
      <c r="D360" s="53">
        <f>32.85*(10.764)</f>
        <v>353.59739999999999</v>
      </c>
      <c r="E360" s="39">
        <v>0</v>
      </c>
      <c r="F360" s="39">
        <f t="shared" ref="F360:F361" si="28">D360*(($F$267)+1)+(IF(E360&lt;101,E360,IF(E360&lt;201,E360/2,IF(E360&lt;=301,E360/3,E360/4))))</f>
        <v>548.07596999999998</v>
      </c>
      <c r="G360" s="93" t="str">
        <f>A359</f>
        <v>8th Floor (Part Refuge Area)</v>
      </c>
      <c r="H360" s="94"/>
      <c r="I360" s="34"/>
      <c r="N360" s="34"/>
    </row>
    <row r="361" spans="1:14" s="43" customFormat="1" x14ac:dyDescent="0.35">
      <c r="A361" s="39">
        <v>2</v>
      </c>
      <c r="B361" s="39" t="s">
        <v>233</v>
      </c>
      <c r="C361" s="39" t="s">
        <v>208</v>
      </c>
      <c r="D361" s="53">
        <f>32.81*(10.764)</f>
        <v>353.16683999999998</v>
      </c>
      <c r="E361" s="39">
        <v>0</v>
      </c>
      <c r="F361" s="39">
        <f t="shared" si="28"/>
        <v>547.40860199999997</v>
      </c>
      <c r="G361" s="95"/>
      <c r="H361" s="96"/>
      <c r="I361" s="34"/>
      <c r="N361" s="34"/>
    </row>
    <row r="362" spans="1:14" s="43" customFormat="1" x14ac:dyDescent="0.35">
      <c r="A362" s="39">
        <f>A361+1</f>
        <v>3</v>
      </c>
      <c r="B362" s="39" t="s">
        <v>232</v>
      </c>
      <c r="C362" s="39" t="s">
        <v>208</v>
      </c>
      <c r="D362" s="53">
        <f>32.98*(10.764)</f>
        <v>354.99671999999993</v>
      </c>
      <c r="E362" s="39">
        <v>0</v>
      </c>
      <c r="F362" s="39">
        <f>D362*(($F$267)+1)+(IF(E362&lt;101,E362,IF(E362&lt;201,E362/2,IF(E362&lt;=301,E362/3,E362/4))))</f>
        <v>550.24491599999988</v>
      </c>
      <c r="G362" s="95"/>
      <c r="H362" s="96"/>
      <c r="I362" s="34"/>
      <c r="N362" s="34"/>
    </row>
    <row r="363" spans="1:14" s="43" customFormat="1" x14ac:dyDescent="0.35">
      <c r="A363" s="39">
        <f>A362+1</f>
        <v>4</v>
      </c>
      <c r="B363" s="39" t="s">
        <v>232</v>
      </c>
      <c r="C363" s="39" t="s">
        <v>208</v>
      </c>
      <c r="D363" s="53">
        <f>47.41*(10.764)</f>
        <v>510.32123999999993</v>
      </c>
      <c r="E363" s="39">
        <v>0</v>
      </c>
      <c r="F363" s="39">
        <f>D363*(($F$267)+1)+(IF(E363&lt;101,E363,IF(E363&lt;201,E363/2,IF(E363&lt;=301,E363/3,E363/4))))</f>
        <v>790.9979219999999</v>
      </c>
      <c r="G363" s="95"/>
      <c r="H363" s="96"/>
      <c r="I363" s="34"/>
      <c r="N363" s="34"/>
    </row>
    <row r="364" spans="1:14" s="43" customFormat="1" x14ac:dyDescent="0.35">
      <c r="A364" s="39">
        <f>A363+1</f>
        <v>5</v>
      </c>
      <c r="B364" s="39" t="s">
        <v>234</v>
      </c>
      <c r="C364" s="93" t="s">
        <v>216</v>
      </c>
      <c r="D364" s="99"/>
      <c r="E364" s="99"/>
      <c r="F364" s="94"/>
      <c r="G364" s="95"/>
      <c r="H364" s="96"/>
      <c r="I364" s="34"/>
      <c r="N364" s="34"/>
    </row>
    <row r="365" spans="1:14" s="43" customFormat="1" x14ac:dyDescent="0.35">
      <c r="A365" s="39">
        <f>A364+1</f>
        <v>6</v>
      </c>
      <c r="B365" s="39" t="s">
        <v>234</v>
      </c>
      <c r="C365" s="97"/>
      <c r="D365" s="100"/>
      <c r="E365" s="100"/>
      <c r="F365" s="98"/>
      <c r="G365" s="97"/>
      <c r="H365" s="98"/>
      <c r="I365" s="34"/>
      <c r="N365" s="34"/>
    </row>
    <row r="366" spans="1:14" s="43" customFormat="1" x14ac:dyDescent="0.35">
      <c r="A366" s="89" t="s">
        <v>221</v>
      </c>
      <c r="B366" s="89"/>
      <c r="C366" s="89"/>
      <c r="D366" s="89"/>
      <c r="E366" s="89"/>
      <c r="F366" s="89"/>
      <c r="G366" s="89"/>
      <c r="H366" s="89"/>
      <c r="I366" s="34"/>
      <c r="L366" s="162"/>
      <c r="M366" s="162"/>
    </row>
    <row r="367" spans="1:14" s="43" customFormat="1" x14ac:dyDescent="0.35">
      <c r="A367" s="39">
        <v>1</v>
      </c>
      <c r="B367" s="39" t="s">
        <v>232</v>
      </c>
      <c r="C367" s="39" t="s">
        <v>208</v>
      </c>
      <c r="D367" s="53">
        <f>32.85*(10.764)</f>
        <v>353.59739999999999</v>
      </c>
      <c r="E367" s="39">
        <v>0</v>
      </c>
      <c r="F367" s="39">
        <f t="shared" ref="F367:F368" si="29">D367*(($F$267)+1)+(IF(E367&lt;101,E367,IF(E367&lt;201,E367/2,IF(E367&lt;=301,E367/3,E367/4))))</f>
        <v>548.07596999999998</v>
      </c>
      <c r="G367" s="93" t="str">
        <f>A366</f>
        <v>9th Floor</v>
      </c>
      <c r="H367" s="94"/>
      <c r="I367" s="34"/>
      <c r="N367" s="34"/>
    </row>
    <row r="368" spans="1:14" s="43" customFormat="1" x14ac:dyDescent="0.35">
      <c r="A368" s="39">
        <v>2</v>
      </c>
      <c r="B368" s="39" t="s">
        <v>232</v>
      </c>
      <c r="C368" s="39" t="s">
        <v>208</v>
      </c>
      <c r="D368" s="53">
        <f>32.81*(10.764)</f>
        <v>353.16683999999998</v>
      </c>
      <c r="E368" s="39">
        <v>0</v>
      </c>
      <c r="F368" s="39">
        <f t="shared" si="29"/>
        <v>547.40860199999997</v>
      </c>
      <c r="G368" s="95"/>
      <c r="H368" s="96"/>
      <c r="I368" s="34"/>
      <c r="N368" s="34"/>
    </row>
    <row r="369" spans="1:14" s="43" customFormat="1" x14ac:dyDescent="0.35">
      <c r="A369" s="39">
        <f>A368+1</f>
        <v>3</v>
      </c>
      <c r="B369" s="39" t="s">
        <v>232</v>
      </c>
      <c r="C369" s="39" t="s">
        <v>208</v>
      </c>
      <c r="D369" s="53">
        <f>32.98*(10.764)</f>
        <v>354.99671999999993</v>
      </c>
      <c r="E369" s="39">
        <v>0</v>
      </c>
      <c r="F369" s="39">
        <f>D369*(($F$267)+1)+(IF(E369&lt;101,E369,IF(E369&lt;201,E369/2,IF(E369&lt;=301,E369/3,E369/4))))</f>
        <v>550.24491599999988</v>
      </c>
      <c r="G369" s="95"/>
      <c r="H369" s="96"/>
      <c r="I369" s="34"/>
      <c r="N369" s="34"/>
    </row>
    <row r="370" spans="1:14" s="43" customFormat="1" x14ac:dyDescent="0.35">
      <c r="A370" s="39">
        <f>A369+1</f>
        <v>4</v>
      </c>
      <c r="B370" s="39" t="s">
        <v>232</v>
      </c>
      <c r="C370" s="39" t="s">
        <v>208</v>
      </c>
      <c r="D370" s="53">
        <f>32.98*(10.764)</f>
        <v>354.99671999999993</v>
      </c>
      <c r="E370" s="39">
        <v>0</v>
      </c>
      <c r="F370" s="39">
        <f>D370*(($F$267)+1)+(IF(E370&lt;101,E370,IF(E370&lt;201,E370/2,IF(E370&lt;=301,E370/3,E370/4))))</f>
        <v>550.24491599999988</v>
      </c>
      <c r="G370" s="95"/>
      <c r="H370" s="96"/>
      <c r="I370" s="34"/>
      <c r="N370" s="34"/>
    </row>
    <row r="371" spans="1:14" s="43" customFormat="1" x14ac:dyDescent="0.35">
      <c r="A371" s="39">
        <f>A370+1</f>
        <v>5</v>
      </c>
      <c r="B371" s="39" t="s">
        <v>233</v>
      </c>
      <c r="C371" s="39" t="s">
        <v>208</v>
      </c>
      <c r="D371" s="53">
        <f>36.75*(10.764)</f>
        <v>395.577</v>
      </c>
      <c r="E371" s="39">
        <v>0</v>
      </c>
      <c r="F371" s="39">
        <f>D371*(($F$267)+1)+(IF(E371&lt;101,E371,IF(E371&lt;201,E371/2,IF(E371&lt;=301,E371/3,E371/4))))</f>
        <v>613.14435000000003</v>
      </c>
      <c r="G371" s="95"/>
      <c r="H371" s="96"/>
      <c r="I371" s="34"/>
      <c r="N371" s="34"/>
    </row>
    <row r="372" spans="1:14" s="43" customFormat="1" x14ac:dyDescent="0.35">
      <c r="A372" s="39">
        <f>A371+1</f>
        <v>6</v>
      </c>
      <c r="B372" s="39" t="s">
        <v>232</v>
      </c>
      <c r="C372" s="39" t="s">
        <v>208</v>
      </c>
      <c r="D372" s="53">
        <f>32.85*(10.764)</f>
        <v>353.59739999999999</v>
      </c>
      <c r="E372" s="39">
        <v>0</v>
      </c>
      <c r="F372" s="39">
        <f>D372*(($F$267)+1)+(IF(E372&lt;101,E372,IF(E372&lt;201,E372/2,IF(E372&lt;=301,E372/3,E372/4))))</f>
        <v>548.07596999999998</v>
      </c>
      <c r="G372" s="97"/>
      <c r="H372" s="98"/>
      <c r="I372" s="34"/>
      <c r="N372" s="34"/>
    </row>
    <row r="373" spans="1:14" s="43" customFormat="1" ht="15.75" customHeight="1" x14ac:dyDescent="0.35">
      <c r="A373" s="89" t="s">
        <v>213</v>
      </c>
      <c r="B373" s="89"/>
      <c r="C373" s="89"/>
      <c r="D373" s="89"/>
      <c r="E373" s="89"/>
      <c r="F373" s="89"/>
      <c r="G373" s="89"/>
      <c r="H373" s="89"/>
      <c r="I373" s="34"/>
      <c r="L373" s="162"/>
      <c r="M373" s="162"/>
    </row>
    <row r="374" spans="1:14" s="43" customFormat="1" x14ac:dyDescent="0.35">
      <c r="A374" s="39">
        <v>1</v>
      </c>
      <c r="B374" s="39" t="s">
        <v>232</v>
      </c>
      <c r="C374" s="39" t="s">
        <v>208</v>
      </c>
      <c r="D374" s="53">
        <f>32.85*(10.764)</f>
        <v>353.59739999999999</v>
      </c>
      <c r="E374" s="39">
        <v>0</v>
      </c>
      <c r="F374" s="39">
        <f t="shared" ref="F374:F375" si="30">D374*(($F$267)+1)+(IF(E374&lt;101,E374,IF(E374&lt;201,E374/2,IF(E374&lt;=301,E374/3,E374/4))))</f>
        <v>548.07596999999998</v>
      </c>
      <c r="G374" s="93" t="str">
        <f>A373</f>
        <v>10th Floor</v>
      </c>
      <c r="H374" s="94"/>
      <c r="I374" s="34"/>
      <c r="N374" s="34"/>
    </row>
    <row r="375" spans="1:14" s="43" customFormat="1" x14ac:dyDescent="0.35">
      <c r="A375" s="39">
        <v>2</v>
      </c>
      <c r="B375" s="39" t="s">
        <v>232</v>
      </c>
      <c r="C375" s="39" t="s">
        <v>208</v>
      </c>
      <c r="D375" s="53">
        <f>32.81*(10.764)</f>
        <v>353.16683999999998</v>
      </c>
      <c r="E375" s="39">
        <v>0</v>
      </c>
      <c r="F375" s="39">
        <f t="shared" si="30"/>
        <v>547.40860199999997</v>
      </c>
      <c r="G375" s="95"/>
      <c r="H375" s="96"/>
      <c r="I375" s="34"/>
      <c r="N375" s="34"/>
    </row>
    <row r="376" spans="1:14" s="43" customFormat="1" x14ac:dyDescent="0.35">
      <c r="A376" s="39">
        <f>A375+1</f>
        <v>3</v>
      </c>
      <c r="B376" s="39" t="s">
        <v>232</v>
      </c>
      <c r="C376" s="39" t="s">
        <v>208</v>
      </c>
      <c r="D376" s="53">
        <f>32.98*(10.764)</f>
        <v>354.99671999999993</v>
      </c>
      <c r="E376" s="39">
        <v>0</v>
      </c>
      <c r="F376" s="39">
        <f>D376*(($F$267)+1)+(IF(E376&lt;101,E376,IF(E376&lt;201,E376/2,IF(E376&lt;=301,E376/3,E376/4))))</f>
        <v>550.24491599999988</v>
      </c>
      <c r="G376" s="95"/>
      <c r="H376" s="96"/>
      <c r="I376" s="34"/>
      <c r="N376" s="34"/>
    </row>
    <row r="377" spans="1:14" s="43" customFormat="1" x14ac:dyDescent="0.35">
      <c r="A377" s="39">
        <f>A376+1</f>
        <v>4</v>
      </c>
      <c r="B377" s="39" t="s">
        <v>232</v>
      </c>
      <c r="C377" s="39" t="s">
        <v>208</v>
      </c>
      <c r="D377" s="53">
        <f>32.98*(10.764)</f>
        <v>354.99671999999993</v>
      </c>
      <c r="E377" s="39">
        <v>0</v>
      </c>
      <c r="F377" s="39">
        <f>D377*(($F$267)+1)+(IF(E377&lt;101,E377,IF(E377&lt;201,E377/2,IF(E377&lt;=301,E377/3,E377/4))))</f>
        <v>550.24491599999988</v>
      </c>
      <c r="G377" s="95"/>
      <c r="H377" s="96"/>
      <c r="I377" s="34"/>
      <c r="N377" s="34"/>
    </row>
    <row r="378" spans="1:14" s="43" customFormat="1" x14ac:dyDescent="0.35">
      <c r="A378" s="39">
        <f>A377+1</f>
        <v>5</v>
      </c>
      <c r="B378" s="39" t="s">
        <v>233</v>
      </c>
      <c r="C378" s="39" t="s">
        <v>208</v>
      </c>
      <c r="D378" s="53">
        <f>36.75*(10.764)</f>
        <v>395.577</v>
      </c>
      <c r="E378" s="39">
        <v>0</v>
      </c>
      <c r="F378" s="39">
        <f>D378*(($F$267)+1)+(IF(E378&lt;101,E378,IF(E378&lt;201,E378/2,IF(E378&lt;=301,E378/3,E378/4))))</f>
        <v>613.14435000000003</v>
      </c>
      <c r="G378" s="95"/>
      <c r="H378" s="96"/>
      <c r="I378" s="34"/>
      <c r="N378" s="34"/>
    </row>
    <row r="379" spans="1:14" s="43" customFormat="1" x14ac:dyDescent="0.35">
      <c r="A379" s="39">
        <f>A378+1</f>
        <v>6</v>
      </c>
      <c r="B379" s="39" t="s">
        <v>232</v>
      </c>
      <c r="C379" s="39" t="s">
        <v>208</v>
      </c>
      <c r="D379" s="53">
        <f>32.85*(10.764)</f>
        <v>353.59739999999999</v>
      </c>
      <c r="E379" s="39">
        <v>0</v>
      </c>
      <c r="F379" s="39">
        <f>D379*(($F$267)+1)+(IF(E379&lt;101,E379,IF(E379&lt;201,E379/2,IF(E379&lt;=301,E379/3,E379/4))))</f>
        <v>548.07596999999998</v>
      </c>
      <c r="G379" s="97"/>
      <c r="H379" s="98"/>
      <c r="I379" s="34"/>
      <c r="N379" s="34"/>
    </row>
    <row r="380" spans="1:14" s="43" customFormat="1" ht="15.75" customHeight="1" x14ac:dyDescent="0.35">
      <c r="A380" s="89" t="s">
        <v>222</v>
      </c>
      <c r="B380" s="89"/>
      <c r="C380" s="89"/>
      <c r="D380" s="89"/>
      <c r="E380" s="89"/>
      <c r="F380" s="89"/>
      <c r="G380" s="89"/>
      <c r="H380" s="89"/>
      <c r="I380" s="34"/>
      <c r="L380" s="162"/>
      <c r="M380" s="162"/>
    </row>
    <row r="381" spans="1:14" s="43" customFormat="1" x14ac:dyDescent="0.35">
      <c r="A381" s="39">
        <v>1</v>
      </c>
      <c r="B381" s="39" t="s">
        <v>232</v>
      </c>
      <c r="C381" s="39" t="s">
        <v>208</v>
      </c>
      <c r="D381" s="53">
        <f>32.85*(10.764)</f>
        <v>353.59739999999999</v>
      </c>
      <c r="E381" s="39">
        <v>0</v>
      </c>
      <c r="F381" s="39">
        <f t="shared" ref="F381:F382" si="31">D381*(($F$267)+1)+(IF(E381&lt;101,E381,IF(E381&lt;201,E381/2,IF(E381&lt;=301,E381/3,E381/4))))</f>
        <v>548.07596999999998</v>
      </c>
      <c r="G381" s="93" t="str">
        <f>A380</f>
        <v>11th Floor</v>
      </c>
      <c r="H381" s="94"/>
      <c r="I381" s="34"/>
      <c r="N381" s="34"/>
    </row>
    <row r="382" spans="1:14" s="43" customFormat="1" x14ac:dyDescent="0.35">
      <c r="A382" s="39">
        <v>2</v>
      </c>
      <c r="B382" s="39" t="s">
        <v>232</v>
      </c>
      <c r="C382" s="39" t="s">
        <v>208</v>
      </c>
      <c r="D382" s="53">
        <f>32.81*(10.764)</f>
        <v>353.16683999999998</v>
      </c>
      <c r="E382" s="39">
        <v>0</v>
      </c>
      <c r="F382" s="39">
        <f t="shared" si="31"/>
        <v>547.40860199999997</v>
      </c>
      <c r="G382" s="95"/>
      <c r="H382" s="96"/>
      <c r="I382" s="34"/>
      <c r="N382" s="34"/>
    </row>
    <row r="383" spans="1:14" s="43" customFormat="1" x14ac:dyDescent="0.35">
      <c r="A383" s="39">
        <f>A382+1</f>
        <v>3</v>
      </c>
      <c r="B383" s="39" t="s">
        <v>232</v>
      </c>
      <c r="C383" s="39" t="s">
        <v>208</v>
      </c>
      <c r="D383" s="53">
        <f>32.98*(10.764)</f>
        <v>354.99671999999993</v>
      </c>
      <c r="E383" s="39">
        <v>0</v>
      </c>
      <c r="F383" s="39">
        <f>D383*(($F$267)+1)+(IF(E383&lt;101,E383,IF(E383&lt;201,E383/2,IF(E383&lt;=301,E383/3,E383/4))))</f>
        <v>550.24491599999988</v>
      </c>
      <c r="G383" s="95"/>
      <c r="H383" s="96"/>
      <c r="I383" s="34"/>
      <c r="N383" s="34"/>
    </row>
    <row r="384" spans="1:14" s="43" customFormat="1" x14ac:dyDescent="0.35">
      <c r="A384" s="39">
        <f>A383+1</f>
        <v>4</v>
      </c>
      <c r="B384" s="39" t="s">
        <v>232</v>
      </c>
      <c r="C384" s="39" t="s">
        <v>208</v>
      </c>
      <c r="D384" s="53">
        <f>32.98*(10.764)</f>
        <v>354.99671999999993</v>
      </c>
      <c r="E384" s="39">
        <v>0</v>
      </c>
      <c r="F384" s="39">
        <f>D384*(($F$267)+1)+(IF(E384&lt;101,E384,IF(E384&lt;201,E384/2,IF(E384&lt;=301,E384/3,E384/4))))</f>
        <v>550.24491599999988</v>
      </c>
      <c r="G384" s="95"/>
      <c r="H384" s="96"/>
      <c r="I384" s="34"/>
      <c r="N384" s="34"/>
    </row>
    <row r="385" spans="1:14" s="43" customFormat="1" x14ac:dyDescent="0.35">
      <c r="A385" s="39">
        <f>A384+1</f>
        <v>5</v>
      </c>
      <c r="B385" s="39" t="s">
        <v>233</v>
      </c>
      <c r="C385" s="39" t="s">
        <v>208</v>
      </c>
      <c r="D385" s="53">
        <f>36.75*(10.764)</f>
        <v>395.577</v>
      </c>
      <c r="E385" s="39">
        <v>0</v>
      </c>
      <c r="F385" s="39">
        <f>D385*(($F$267)+1)+(IF(E385&lt;101,E385,IF(E385&lt;201,E385/2,IF(E385&lt;=301,E385/3,E385/4))))</f>
        <v>613.14435000000003</v>
      </c>
      <c r="G385" s="95"/>
      <c r="H385" s="96"/>
      <c r="I385" s="34"/>
      <c r="N385" s="34"/>
    </row>
    <row r="386" spans="1:14" s="43" customFormat="1" x14ac:dyDescent="0.35">
      <c r="A386" s="39">
        <f>A385+1</f>
        <v>6</v>
      </c>
      <c r="B386" s="39" t="s">
        <v>232</v>
      </c>
      <c r="C386" s="39" t="s">
        <v>208</v>
      </c>
      <c r="D386" s="53">
        <f>32.85*(10.764)</f>
        <v>353.59739999999999</v>
      </c>
      <c r="E386" s="39">
        <v>0</v>
      </c>
      <c r="F386" s="39">
        <f>D386*(($F$267)+1)+(IF(E386&lt;101,E386,IF(E386&lt;201,E386/2,IF(E386&lt;=301,E386/3,E386/4))))</f>
        <v>548.07596999999998</v>
      </c>
      <c r="G386" s="97"/>
      <c r="H386" s="98"/>
      <c r="I386" s="34"/>
      <c r="N386" s="34"/>
    </row>
    <row r="387" spans="1:14" s="43" customFormat="1" x14ac:dyDescent="0.35">
      <c r="A387" s="89" t="s">
        <v>223</v>
      </c>
      <c r="B387" s="89"/>
      <c r="C387" s="89"/>
      <c r="D387" s="89"/>
      <c r="E387" s="89"/>
      <c r="F387" s="89"/>
      <c r="G387" s="89"/>
      <c r="H387" s="89"/>
      <c r="I387" s="34"/>
      <c r="L387" s="162"/>
      <c r="M387" s="162"/>
    </row>
    <row r="388" spans="1:14" s="43" customFormat="1" x14ac:dyDescent="0.35">
      <c r="A388" s="39">
        <v>1</v>
      </c>
      <c r="B388" s="39" t="s">
        <v>233</v>
      </c>
      <c r="C388" s="39" t="s">
        <v>208</v>
      </c>
      <c r="D388" s="53">
        <f>32.85*(10.764)</f>
        <v>353.59739999999999</v>
      </c>
      <c r="E388" s="39">
        <v>0</v>
      </c>
      <c r="F388" s="39">
        <f t="shared" ref="F388:F389" si="32">D388*(($F$267)+1)+(IF(E388&lt;101,E388,IF(E388&lt;201,E388/2,IF(E388&lt;=301,E388/3,E388/4))))</f>
        <v>548.07596999999998</v>
      </c>
      <c r="G388" s="93" t="str">
        <f>A387</f>
        <v>12th Floor</v>
      </c>
      <c r="H388" s="94"/>
      <c r="I388" s="34"/>
      <c r="N388" s="34"/>
    </row>
    <row r="389" spans="1:14" s="43" customFormat="1" x14ac:dyDescent="0.35">
      <c r="A389" s="39">
        <v>2</v>
      </c>
      <c r="B389" s="39" t="s">
        <v>232</v>
      </c>
      <c r="C389" s="39" t="s">
        <v>208</v>
      </c>
      <c r="D389" s="53">
        <f>32.81*(10.764)</f>
        <v>353.16683999999998</v>
      </c>
      <c r="E389" s="39">
        <v>0</v>
      </c>
      <c r="F389" s="39">
        <f t="shared" si="32"/>
        <v>547.40860199999997</v>
      </c>
      <c r="G389" s="95"/>
      <c r="H389" s="96"/>
      <c r="I389" s="34"/>
      <c r="N389" s="34"/>
    </row>
    <row r="390" spans="1:14" s="43" customFormat="1" x14ac:dyDescent="0.35">
      <c r="A390" s="39">
        <f>A389+1</f>
        <v>3</v>
      </c>
      <c r="B390" s="39" t="s">
        <v>232</v>
      </c>
      <c r="C390" s="39" t="s">
        <v>208</v>
      </c>
      <c r="D390" s="53">
        <f>32.98*(10.764)</f>
        <v>354.99671999999993</v>
      </c>
      <c r="E390" s="39">
        <v>0</v>
      </c>
      <c r="F390" s="39">
        <f>D390*(($F$267)+1)+(IF(E390&lt;101,E390,IF(E390&lt;201,E390/2,IF(E390&lt;=301,E390/3,E390/4))))</f>
        <v>550.24491599999988</v>
      </c>
      <c r="G390" s="95"/>
      <c r="H390" s="96"/>
      <c r="I390" s="34"/>
      <c r="N390" s="34"/>
    </row>
    <row r="391" spans="1:14" s="43" customFormat="1" x14ac:dyDescent="0.35">
      <c r="A391" s="39">
        <f>A390+1</f>
        <v>4</v>
      </c>
      <c r="B391" s="39" t="s">
        <v>232</v>
      </c>
      <c r="C391" s="39" t="s">
        <v>208</v>
      </c>
      <c r="D391" s="53">
        <f>32.98*(10.764)</f>
        <v>354.99671999999993</v>
      </c>
      <c r="E391" s="39">
        <v>0</v>
      </c>
      <c r="F391" s="39">
        <f>D391*(($F$267)+1)+(IF(E391&lt;101,E391,IF(E391&lt;201,E391/2,IF(E391&lt;=301,E391/3,E391/4))))</f>
        <v>550.24491599999988</v>
      </c>
      <c r="G391" s="95"/>
      <c r="H391" s="96"/>
      <c r="I391" s="34"/>
      <c r="N391" s="34"/>
    </row>
    <row r="392" spans="1:14" s="43" customFormat="1" x14ac:dyDescent="0.35">
      <c r="A392" s="39">
        <f>A391+1</f>
        <v>5</v>
      </c>
      <c r="B392" s="39" t="s">
        <v>233</v>
      </c>
      <c r="C392" s="39" t="s">
        <v>208</v>
      </c>
      <c r="D392" s="53">
        <f>36.75*(10.764)</f>
        <v>395.577</v>
      </c>
      <c r="E392" s="39">
        <v>0</v>
      </c>
      <c r="F392" s="39">
        <f>D392*(($F$267)+1)+(IF(E392&lt;101,E392,IF(E392&lt;201,E392/2,IF(E392&lt;=301,E392/3,E392/4))))</f>
        <v>613.14435000000003</v>
      </c>
      <c r="G392" s="95"/>
      <c r="H392" s="96"/>
      <c r="I392" s="34"/>
      <c r="N392" s="34"/>
    </row>
    <row r="393" spans="1:14" s="43" customFormat="1" x14ac:dyDescent="0.35">
      <c r="A393" s="39">
        <f>A392+1</f>
        <v>6</v>
      </c>
      <c r="B393" s="39" t="s">
        <v>232</v>
      </c>
      <c r="C393" s="39" t="s">
        <v>208</v>
      </c>
      <c r="D393" s="53">
        <f>32.85*(10.764)</f>
        <v>353.59739999999999</v>
      </c>
      <c r="E393" s="39">
        <v>0</v>
      </c>
      <c r="F393" s="39">
        <f>D393*(($F$267)+1)+(IF(E393&lt;101,E393,IF(E393&lt;201,E393/2,IF(E393&lt;=301,E393/3,E393/4))))</f>
        <v>548.07596999999998</v>
      </c>
      <c r="G393" s="97"/>
      <c r="H393" s="98"/>
      <c r="I393" s="34"/>
      <c r="N393" s="34"/>
    </row>
    <row r="394" spans="1:14" s="43" customFormat="1" ht="15.75" customHeight="1" x14ac:dyDescent="0.35">
      <c r="A394" s="89" t="s">
        <v>224</v>
      </c>
      <c r="B394" s="89"/>
      <c r="C394" s="89"/>
      <c r="D394" s="89"/>
      <c r="E394" s="89"/>
      <c r="F394" s="89"/>
      <c r="G394" s="89"/>
      <c r="H394" s="89"/>
      <c r="I394" s="34"/>
      <c r="L394" s="162"/>
      <c r="M394" s="162"/>
    </row>
    <row r="395" spans="1:14" s="43" customFormat="1" ht="15.75" customHeight="1" x14ac:dyDescent="0.35">
      <c r="A395" s="39">
        <v>1</v>
      </c>
      <c r="B395" s="39" t="s">
        <v>233</v>
      </c>
      <c r="C395" s="39" t="s">
        <v>208</v>
      </c>
      <c r="D395" s="53">
        <f>32.85*(10.764)</f>
        <v>353.59739999999999</v>
      </c>
      <c r="E395" s="39">
        <v>0</v>
      </c>
      <c r="F395" s="39">
        <f t="shared" ref="F395:F396" si="33">D395*(($F$267)+1)+(IF(E395&lt;101,E395,IF(E395&lt;201,E395/2,IF(E395&lt;=301,E395/3,E395/4))))</f>
        <v>548.07596999999998</v>
      </c>
      <c r="G395" s="93" t="str">
        <f>A394</f>
        <v>13th Floor</v>
      </c>
      <c r="H395" s="94"/>
      <c r="I395" s="34"/>
      <c r="N395" s="34"/>
    </row>
    <row r="396" spans="1:14" s="43" customFormat="1" ht="15.75" customHeight="1" x14ac:dyDescent="0.35">
      <c r="A396" s="39">
        <v>2</v>
      </c>
      <c r="B396" s="39" t="s">
        <v>232</v>
      </c>
      <c r="C396" s="39" t="s">
        <v>208</v>
      </c>
      <c r="D396" s="53">
        <f>32.81*(10.764)</f>
        <v>353.16683999999998</v>
      </c>
      <c r="E396" s="39">
        <v>0</v>
      </c>
      <c r="F396" s="39">
        <f t="shared" si="33"/>
        <v>547.40860199999997</v>
      </c>
      <c r="G396" s="95"/>
      <c r="H396" s="96"/>
      <c r="I396" s="34"/>
      <c r="N396" s="34"/>
    </row>
    <row r="397" spans="1:14" s="43" customFormat="1" ht="15.75" customHeight="1" x14ac:dyDescent="0.35">
      <c r="A397" s="39">
        <f>A396+1</f>
        <v>3</v>
      </c>
      <c r="B397" s="39" t="s">
        <v>232</v>
      </c>
      <c r="C397" s="39" t="s">
        <v>208</v>
      </c>
      <c r="D397" s="53">
        <f>32.98*(10.764)</f>
        <v>354.99671999999993</v>
      </c>
      <c r="E397" s="39">
        <v>0</v>
      </c>
      <c r="F397" s="39">
        <f>D397*(($F$267)+1)+(IF(E397&lt;101,E397,IF(E397&lt;201,E397/2,IF(E397&lt;=301,E397/3,E397/4))))</f>
        <v>550.24491599999988</v>
      </c>
      <c r="G397" s="95"/>
      <c r="H397" s="96"/>
      <c r="I397" s="34"/>
      <c r="N397" s="34"/>
    </row>
    <row r="398" spans="1:14" s="43" customFormat="1" ht="15.75" customHeight="1" x14ac:dyDescent="0.35">
      <c r="A398" s="39">
        <f>A397+1</f>
        <v>4</v>
      </c>
      <c r="B398" s="39" t="s">
        <v>232</v>
      </c>
      <c r="C398" s="39" t="s">
        <v>208</v>
      </c>
      <c r="D398" s="53">
        <f>32.98*(10.764)</f>
        <v>354.99671999999993</v>
      </c>
      <c r="E398" s="39">
        <v>0</v>
      </c>
      <c r="F398" s="39">
        <f>D398*(($F$267)+1)+(IF(E398&lt;101,E398,IF(E398&lt;201,E398/2,IF(E398&lt;=301,E398/3,E398/4))))</f>
        <v>550.24491599999988</v>
      </c>
      <c r="G398" s="95"/>
      <c r="H398" s="96"/>
      <c r="I398" s="34"/>
      <c r="N398" s="34"/>
    </row>
    <row r="399" spans="1:14" s="43" customFormat="1" ht="15.75" customHeight="1" x14ac:dyDescent="0.35">
      <c r="A399" s="39">
        <f>A398+1</f>
        <v>5</v>
      </c>
      <c r="B399" s="39" t="s">
        <v>233</v>
      </c>
      <c r="C399" s="39" t="s">
        <v>208</v>
      </c>
      <c r="D399" s="53">
        <f>36.75*(10.764)</f>
        <v>395.577</v>
      </c>
      <c r="E399" s="39">
        <v>0</v>
      </c>
      <c r="F399" s="39">
        <f>D399*(($F$267)+1)+(IF(E399&lt;101,E399,IF(E399&lt;201,E399/2,IF(E399&lt;=301,E399/3,E399/4))))</f>
        <v>613.14435000000003</v>
      </c>
      <c r="G399" s="95"/>
      <c r="H399" s="96"/>
      <c r="I399" s="34"/>
      <c r="N399" s="34"/>
    </row>
    <row r="400" spans="1:14" s="43" customFormat="1" ht="15.75" customHeight="1" x14ac:dyDescent="0.35">
      <c r="A400" s="39">
        <f>A399+1</f>
        <v>6</v>
      </c>
      <c r="B400" s="39" t="s">
        <v>233</v>
      </c>
      <c r="C400" s="39" t="s">
        <v>208</v>
      </c>
      <c r="D400" s="53">
        <f>32.85*(10.764)</f>
        <v>353.59739999999999</v>
      </c>
      <c r="E400" s="39">
        <v>0</v>
      </c>
      <c r="F400" s="39">
        <f>D400*(($F$267)+1)+(IF(E400&lt;101,E400,IF(E400&lt;201,E400/2,IF(E400&lt;=301,E400/3,E400/4))))</f>
        <v>548.07596999999998</v>
      </c>
      <c r="G400" s="97"/>
      <c r="H400" s="98"/>
      <c r="I400" s="34"/>
      <c r="N400" s="34"/>
    </row>
    <row r="401" spans="1:14" s="43" customFormat="1" ht="15.75" customHeight="1" x14ac:dyDescent="0.35">
      <c r="A401" s="89" t="s">
        <v>225</v>
      </c>
      <c r="B401" s="89"/>
      <c r="C401" s="89"/>
      <c r="D401" s="89"/>
      <c r="E401" s="89"/>
      <c r="F401" s="89"/>
      <c r="G401" s="89"/>
      <c r="H401" s="89"/>
      <c r="I401" s="34"/>
      <c r="L401" s="162"/>
      <c r="M401" s="162"/>
    </row>
    <row r="402" spans="1:14" s="43" customFormat="1" ht="15.75" customHeight="1" x14ac:dyDescent="0.35">
      <c r="A402" s="39">
        <v>1</v>
      </c>
      <c r="B402" s="39" t="s">
        <v>232</v>
      </c>
      <c r="C402" s="39" t="s">
        <v>208</v>
      </c>
      <c r="D402" s="53">
        <f>32.85*(10.764)</f>
        <v>353.59739999999999</v>
      </c>
      <c r="E402" s="39">
        <v>0</v>
      </c>
      <c r="F402" s="39">
        <f t="shared" ref="F402:F403" si="34">D402*(($F$267)+1)+(IF(E402&lt;101,E402,IF(E402&lt;201,E402/2,IF(E402&lt;=301,E402/3,E402/4))))</f>
        <v>548.07596999999998</v>
      </c>
      <c r="G402" s="93" t="str">
        <f>A401</f>
        <v>14th, 17th to 22nd Floor</v>
      </c>
      <c r="H402" s="94"/>
      <c r="I402" s="34"/>
      <c r="N402" s="34"/>
    </row>
    <row r="403" spans="1:14" s="43" customFormat="1" ht="15.75" customHeight="1" x14ac:dyDescent="0.35">
      <c r="A403" s="39">
        <v>2</v>
      </c>
      <c r="B403" s="39" t="s">
        <v>232</v>
      </c>
      <c r="C403" s="39" t="s">
        <v>208</v>
      </c>
      <c r="D403" s="53">
        <f>32.81*(10.764)</f>
        <v>353.16683999999998</v>
      </c>
      <c r="E403" s="39">
        <v>0</v>
      </c>
      <c r="F403" s="39">
        <f t="shared" si="34"/>
        <v>547.40860199999997</v>
      </c>
      <c r="G403" s="95"/>
      <c r="H403" s="96"/>
      <c r="I403" s="34"/>
      <c r="N403" s="34"/>
    </row>
    <row r="404" spans="1:14" s="43" customFormat="1" ht="15.75" customHeight="1" x14ac:dyDescent="0.35">
      <c r="A404" s="39">
        <f>A403+1</f>
        <v>3</v>
      </c>
      <c r="B404" s="39" t="s">
        <v>232</v>
      </c>
      <c r="C404" s="39" t="s">
        <v>208</v>
      </c>
      <c r="D404" s="53">
        <f>32.98*(10.764)</f>
        <v>354.99671999999993</v>
      </c>
      <c r="E404" s="39">
        <v>0</v>
      </c>
      <c r="F404" s="39">
        <f>D404*(($F$267)+1)+(IF(E404&lt;101,E404,IF(E404&lt;201,E404/2,IF(E404&lt;=301,E404/3,E404/4))))</f>
        <v>550.24491599999988</v>
      </c>
      <c r="G404" s="95"/>
      <c r="H404" s="96"/>
      <c r="I404" s="34"/>
      <c r="N404" s="34"/>
    </row>
    <row r="405" spans="1:14" s="43" customFormat="1" ht="15.75" customHeight="1" x14ac:dyDescent="0.35">
      <c r="A405" s="39">
        <f>A404+1</f>
        <v>4</v>
      </c>
      <c r="B405" s="39" t="s">
        <v>232</v>
      </c>
      <c r="C405" s="39" t="s">
        <v>208</v>
      </c>
      <c r="D405" s="53">
        <f>32.98*(10.764)</f>
        <v>354.99671999999993</v>
      </c>
      <c r="E405" s="39">
        <v>0</v>
      </c>
      <c r="F405" s="39">
        <f>D405*(($F$267)+1)+(IF(E405&lt;101,E405,IF(E405&lt;201,E405/2,IF(E405&lt;=301,E405/3,E405/4))))</f>
        <v>550.24491599999988</v>
      </c>
      <c r="G405" s="95"/>
      <c r="H405" s="96"/>
      <c r="I405" s="34"/>
      <c r="N405" s="34"/>
    </row>
    <row r="406" spans="1:14" s="43" customFormat="1" ht="15.75" customHeight="1" x14ac:dyDescent="0.35">
      <c r="A406" s="39">
        <f>A405+1</f>
        <v>5</v>
      </c>
      <c r="B406" s="39" t="s">
        <v>233</v>
      </c>
      <c r="C406" s="39" t="s">
        <v>208</v>
      </c>
      <c r="D406" s="53">
        <f>36.75*(10.764)</f>
        <v>395.577</v>
      </c>
      <c r="E406" s="39">
        <v>0</v>
      </c>
      <c r="F406" s="39">
        <f>D406*(($F$267)+1)+(IF(E406&lt;101,E406,IF(E406&lt;201,E406/2,IF(E406&lt;=301,E406/3,E406/4))))</f>
        <v>613.14435000000003</v>
      </c>
      <c r="G406" s="95"/>
      <c r="H406" s="96"/>
      <c r="I406" s="34"/>
      <c r="N406" s="34"/>
    </row>
    <row r="407" spans="1:14" s="43" customFormat="1" ht="15.75" customHeight="1" x14ac:dyDescent="0.35">
      <c r="A407" s="39">
        <f>A406+1</f>
        <v>6</v>
      </c>
      <c r="B407" s="39" t="s">
        <v>232</v>
      </c>
      <c r="C407" s="39" t="s">
        <v>208</v>
      </c>
      <c r="D407" s="53">
        <f>32.85*(10.764)</f>
        <v>353.59739999999999</v>
      </c>
      <c r="E407" s="39">
        <v>0</v>
      </c>
      <c r="F407" s="39">
        <f>D407*(($F$267)+1)+(IF(E407&lt;101,E407,IF(E407&lt;201,E407/2,IF(E407&lt;=301,E407/3,E407/4))))</f>
        <v>548.07596999999998</v>
      </c>
      <c r="G407" s="97"/>
      <c r="H407" s="98"/>
      <c r="I407" s="34"/>
      <c r="N407" s="34"/>
    </row>
    <row r="408" spans="1:14" s="43" customFormat="1" ht="15.75" customHeight="1" x14ac:dyDescent="0.35">
      <c r="A408" s="89" t="s">
        <v>217</v>
      </c>
      <c r="B408" s="89"/>
      <c r="C408" s="89"/>
      <c r="D408" s="89"/>
      <c r="E408" s="89"/>
      <c r="F408" s="89"/>
      <c r="G408" s="89"/>
      <c r="H408" s="89"/>
      <c r="I408" s="34"/>
      <c r="L408" s="162"/>
      <c r="M408" s="162"/>
    </row>
    <row r="409" spans="1:14" s="43" customFormat="1" x14ac:dyDescent="0.35">
      <c r="A409" s="39">
        <v>1</v>
      </c>
      <c r="B409" s="39" t="s">
        <v>232</v>
      </c>
      <c r="C409" s="39" t="s">
        <v>208</v>
      </c>
      <c r="D409" s="53">
        <f>32.85*(10.764)</f>
        <v>353.59739999999999</v>
      </c>
      <c r="E409" s="39">
        <v>0</v>
      </c>
      <c r="F409" s="39">
        <f t="shared" ref="F409:F410" si="35">D409*(($F$267)+1)+(IF(E409&lt;101,E409,IF(E409&lt;201,E409/2,IF(E409&lt;=301,E409/3,E409/4))))</f>
        <v>548.07596999999998</v>
      </c>
      <c r="G409" s="93" t="str">
        <f>A408</f>
        <v>15th Floor (Part Refuge Area)</v>
      </c>
      <c r="H409" s="94"/>
      <c r="I409" s="34"/>
      <c r="N409" s="34"/>
    </row>
    <row r="410" spans="1:14" s="43" customFormat="1" x14ac:dyDescent="0.35">
      <c r="A410" s="39">
        <v>2</v>
      </c>
      <c r="B410" s="39" t="s">
        <v>232</v>
      </c>
      <c r="C410" s="39" t="s">
        <v>208</v>
      </c>
      <c r="D410" s="53">
        <f>32.81*(10.764)</f>
        <v>353.16683999999998</v>
      </c>
      <c r="E410" s="39">
        <v>0</v>
      </c>
      <c r="F410" s="39">
        <f t="shared" si="35"/>
        <v>547.40860199999997</v>
      </c>
      <c r="G410" s="95"/>
      <c r="H410" s="96"/>
      <c r="I410" s="34"/>
      <c r="N410" s="34"/>
    </row>
    <row r="411" spans="1:14" s="43" customFormat="1" x14ac:dyDescent="0.35">
      <c r="A411" s="39">
        <f>A410+1</f>
        <v>3</v>
      </c>
      <c r="B411" s="39" t="s">
        <v>232</v>
      </c>
      <c r="C411" s="39" t="s">
        <v>208</v>
      </c>
      <c r="D411" s="53">
        <f>32.98*(10.764)</f>
        <v>354.99671999999993</v>
      </c>
      <c r="E411" s="39">
        <v>0</v>
      </c>
      <c r="F411" s="39">
        <f>D411*(($F$267)+1)+(IF(E411&lt;101,E411,IF(E411&lt;201,E411/2,IF(E411&lt;=301,E411/3,E411/4))))</f>
        <v>550.24491599999988</v>
      </c>
      <c r="G411" s="95"/>
      <c r="H411" s="96"/>
      <c r="I411" s="34"/>
      <c r="N411" s="34"/>
    </row>
    <row r="412" spans="1:14" s="43" customFormat="1" x14ac:dyDescent="0.35">
      <c r="A412" s="39">
        <f>A411+1</f>
        <v>4</v>
      </c>
      <c r="B412" s="39" t="s">
        <v>232</v>
      </c>
      <c r="C412" s="39" t="s">
        <v>208</v>
      </c>
      <c r="D412" s="53">
        <f>40.53*(10.764)</f>
        <v>436.26491999999996</v>
      </c>
      <c r="E412" s="39">
        <v>0</v>
      </c>
      <c r="F412" s="39">
        <f>D412*(($F$267)+1)+(IF(E412&lt;101,E412,IF(E412&lt;201,E412/2,IF(E412&lt;=301,E412/3,E412/4))))</f>
        <v>676.21062599999993</v>
      </c>
      <c r="G412" s="95"/>
      <c r="H412" s="96"/>
      <c r="I412" s="34"/>
      <c r="N412" s="34"/>
    </row>
    <row r="413" spans="1:14" s="43" customFormat="1" x14ac:dyDescent="0.35">
      <c r="A413" s="39">
        <f>A412+1</f>
        <v>5</v>
      </c>
      <c r="B413" s="39" t="s">
        <v>234</v>
      </c>
      <c r="C413" s="93" t="s">
        <v>216</v>
      </c>
      <c r="D413" s="99"/>
      <c r="E413" s="99"/>
      <c r="F413" s="94"/>
      <c r="G413" s="95"/>
      <c r="H413" s="96"/>
      <c r="I413" s="34"/>
      <c r="N413" s="34"/>
    </row>
    <row r="414" spans="1:14" s="43" customFormat="1" x14ac:dyDescent="0.35">
      <c r="A414" s="39">
        <f>A413+1</f>
        <v>6</v>
      </c>
      <c r="B414" s="39" t="s">
        <v>234</v>
      </c>
      <c r="C414" s="97"/>
      <c r="D414" s="100"/>
      <c r="E414" s="100"/>
      <c r="F414" s="98"/>
      <c r="G414" s="97"/>
      <c r="H414" s="98"/>
      <c r="I414" s="34"/>
      <c r="N414" s="34"/>
    </row>
    <row r="415" spans="1:14" s="43" customFormat="1" x14ac:dyDescent="0.35">
      <c r="A415" s="89" t="s">
        <v>228</v>
      </c>
      <c r="B415" s="89"/>
      <c r="C415" s="89"/>
      <c r="D415" s="89"/>
      <c r="E415" s="89"/>
      <c r="F415" s="89"/>
      <c r="G415" s="89"/>
      <c r="H415" s="89"/>
      <c r="J415" s="34"/>
    </row>
    <row r="416" spans="1:14" s="43" customFormat="1" ht="15.75" customHeight="1" x14ac:dyDescent="0.35">
      <c r="A416" s="39">
        <v>1</v>
      </c>
      <c r="B416" s="39" t="s">
        <v>232</v>
      </c>
      <c r="C416" s="39" t="s">
        <v>208</v>
      </c>
      <c r="D416" s="53">
        <f>32.85*(10.764)</f>
        <v>353.59739999999999</v>
      </c>
      <c r="E416" s="39">
        <v>0</v>
      </c>
      <c r="F416" s="39">
        <f t="shared" ref="F416:F417" si="36">D416*(($F$267)+1)+(IF(E416&lt;101,E416,IF(E416&lt;201,E416/2,IF(E416&lt;=301,E416/3,E416/4))))</f>
        <v>548.07596999999998</v>
      </c>
      <c r="G416" s="93" t="str">
        <f>A415</f>
        <v>16th Floor</v>
      </c>
      <c r="H416" s="94"/>
      <c r="J416" s="34"/>
    </row>
    <row r="417" spans="1:14" s="43" customFormat="1" ht="15.75" customHeight="1" x14ac:dyDescent="0.35">
      <c r="A417" s="39">
        <v>2</v>
      </c>
      <c r="B417" s="39" t="s">
        <v>232</v>
      </c>
      <c r="C417" s="39" t="s">
        <v>208</v>
      </c>
      <c r="D417" s="53">
        <f>32.81*(10.764)</f>
        <v>353.16683999999998</v>
      </c>
      <c r="E417" s="39">
        <v>0</v>
      </c>
      <c r="F417" s="39">
        <f t="shared" si="36"/>
        <v>547.40860199999997</v>
      </c>
      <c r="G417" s="95"/>
      <c r="H417" s="96"/>
      <c r="J417" s="34"/>
    </row>
    <row r="418" spans="1:14" s="43" customFormat="1" ht="15.75" customHeight="1" x14ac:dyDescent="0.35">
      <c r="A418" s="39">
        <f>A417+1</f>
        <v>3</v>
      </c>
      <c r="B418" s="39" t="s">
        <v>232</v>
      </c>
      <c r="C418" s="39" t="s">
        <v>208</v>
      </c>
      <c r="D418" s="53">
        <f>32.98*(10.764)</f>
        <v>354.99671999999993</v>
      </c>
      <c r="E418" s="39">
        <v>0</v>
      </c>
      <c r="F418" s="39">
        <f>D418*(($F$267)+1)+(IF(E418&lt;101,E418,IF(E418&lt;201,E418/2,IF(E418&lt;=301,E418/3,E418/4))))</f>
        <v>550.24491599999988</v>
      </c>
      <c r="G418" s="95"/>
      <c r="H418" s="96"/>
      <c r="I418" s="34"/>
      <c r="L418" s="162"/>
      <c r="M418" s="162"/>
    </row>
    <row r="419" spans="1:14" s="43" customFormat="1" ht="15.75" customHeight="1" x14ac:dyDescent="0.35">
      <c r="A419" s="39">
        <f>A418+1</f>
        <v>4</v>
      </c>
      <c r="B419" s="39" t="s">
        <v>232</v>
      </c>
      <c r="C419" s="39" t="s">
        <v>208</v>
      </c>
      <c r="D419" s="53">
        <f>32.98*(10.764)</f>
        <v>354.99671999999993</v>
      </c>
      <c r="E419" s="39">
        <v>0</v>
      </c>
      <c r="F419" s="39">
        <f>D419*(($F$267)+1)+(IF(E419&lt;101,E419,IF(E419&lt;201,E419/2,IF(E419&lt;=301,E419/3,E419/4))))</f>
        <v>550.24491599999988</v>
      </c>
      <c r="G419" s="95"/>
      <c r="H419" s="96"/>
      <c r="I419" s="34"/>
      <c r="N419" s="34"/>
    </row>
    <row r="420" spans="1:14" s="43" customFormat="1" ht="15.75" customHeight="1" x14ac:dyDescent="0.35">
      <c r="A420" s="39">
        <f>A419+1</f>
        <v>5</v>
      </c>
      <c r="B420" s="39" t="s">
        <v>233</v>
      </c>
      <c r="C420" s="39" t="s">
        <v>208</v>
      </c>
      <c r="D420" s="53">
        <f>36.75*(10.764)</f>
        <v>395.577</v>
      </c>
      <c r="E420" s="39">
        <v>0</v>
      </c>
      <c r="F420" s="39">
        <f>D420*(($F$267)+1)+(IF(E420&lt;101,E420,IF(E420&lt;201,E420/2,IF(E420&lt;=301,E420/3,E420/4))))</f>
        <v>613.14435000000003</v>
      </c>
      <c r="G420" s="95"/>
      <c r="H420" s="96"/>
      <c r="I420" s="34"/>
      <c r="N420" s="34"/>
    </row>
    <row r="421" spans="1:14" s="43" customFormat="1" ht="15.75" customHeight="1" x14ac:dyDescent="0.35">
      <c r="A421" s="39">
        <f>A420+1</f>
        <v>6</v>
      </c>
      <c r="B421" s="39" t="s">
        <v>233</v>
      </c>
      <c r="C421" s="39" t="s">
        <v>208</v>
      </c>
      <c r="D421" s="53">
        <f>32.85*(10.764)</f>
        <v>353.59739999999999</v>
      </c>
      <c r="E421" s="39">
        <v>0</v>
      </c>
      <c r="F421" s="39">
        <f>D421*(($F$267)+1)+(IF(E421&lt;101,E421,IF(E421&lt;201,E421/2,IF(E421&lt;=301,E421/3,E421/4))))</f>
        <v>548.07596999999998</v>
      </c>
      <c r="G421" s="97"/>
      <c r="H421" s="98"/>
      <c r="I421" s="34"/>
      <c r="N421" s="34"/>
    </row>
    <row r="422" spans="1:14" s="43" customFormat="1" x14ac:dyDescent="0.35">
      <c r="A422" s="86" t="s">
        <v>202</v>
      </c>
      <c r="B422" s="87"/>
      <c r="C422" s="87"/>
      <c r="D422" s="87"/>
      <c r="E422" s="87"/>
      <c r="F422" s="87"/>
      <c r="G422" s="87"/>
      <c r="H422" s="88"/>
      <c r="I422" s="34"/>
      <c r="N422" s="34"/>
    </row>
    <row r="423" spans="1:14" s="43" customFormat="1" x14ac:dyDescent="0.35">
      <c r="A423" s="107" t="s">
        <v>193</v>
      </c>
      <c r="B423" s="108"/>
      <c r="C423" s="108"/>
      <c r="D423" s="108"/>
      <c r="E423" s="108"/>
      <c r="F423" s="108"/>
      <c r="G423" s="108"/>
      <c r="H423" s="109"/>
      <c r="I423" s="34"/>
      <c r="L423" s="162"/>
      <c r="M423" s="162"/>
    </row>
    <row r="424" spans="1:14" s="43" customFormat="1" x14ac:dyDescent="0.35">
      <c r="A424" s="107" t="s">
        <v>201</v>
      </c>
      <c r="B424" s="108"/>
      <c r="C424" s="108"/>
      <c r="D424" s="108"/>
      <c r="E424" s="108"/>
      <c r="F424" s="108"/>
      <c r="G424" s="108"/>
      <c r="H424" s="109"/>
      <c r="I424" s="34"/>
      <c r="N424" s="34"/>
    </row>
    <row r="425" spans="1:14" s="43" customFormat="1" x14ac:dyDescent="0.35">
      <c r="A425" s="107" t="s">
        <v>211</v>
      </c>
      <c r="B425" s="108"/>
      <c r="C425" s="108"/>
      <c r="D425" s="108"/>
      <c r="E425" s="108"/>
      <c r="F425" s="108"/>
      <c r="G425" s="108"/>
      <c r="H425" s="109"/>
      <c r="I425" s="34"/>
      <c r="N425" s="34"/>
    </row>
    <row r="426" spans="1:14" s="43" customFormat="1" ht="15.75" customHeight="1" x14ac:dyDescent="0.35">
      <c r="A426" s="39">
        <v>1</v>
      </c>
      <c r="B426" s="39" t="s">
        <v>232</v>
      </c>
      <c r="C426" s="39" t="s">
        <v>208</v>
      </c>
      <c r="D426" s="53">
        <f>32.98*(10.764)</f>
        <v>354.99671999999993</v>
      </c>
      <c r="E426" s="39">
        <v>0</v>
      </c>
      <c r="F426" s="39">
        <f t="shared" ref="F426:F427" si="37">D426*(($F$267)+1)+(IF(E426&lt;101,E426,IF(E426&lt;201,E426/2,IF(E426&lt;=301,E426/3,E426/4))))</f>
        <v>550.24491599999988</v>
      </c>
      <c r="G426" s="93" t="str">
        <f>A425</f>
        <v>1st Floor for Residential</v>
      </c>
      <c r="H426" s="94"/>
      <c r="I426" s="34"/>
      <c r="N426" s="34"/>
    </row>
    <row r="427" spans="1:14" s="43" customFormat="1" ht="15.75" customHeight="1" x14ac:dyDescent="0.35">
      <c r="A427" s="39">
        <v>2</v>
      </c>
      <c r="B427" s="39" t="s">
        <v>232</v>
      </c>
      <c r="C427" s="39" t="s">
        <v>208</v>
      </c>
      <c r="D427" s="53">
        <f>32.98*(10.764)</f>
        <v>354.99671999999993</v>
      </c>
      <c r="E427" s="39">
        <v>0</v>
      </c>
      <c r="F427" s="39">
        <f t="shared" si="37"/>
        <v>550.24491599999988</v>
      </c>
      <c r="G427" s="95"/>
      <c r="H427" s="96"/>
      <c r="I427" s="34"/>
      <c r="N427" s="34"/>
    </row>
    <row r="428" spans="1:14" s="43" customFormat="1" ht="15.75" customHeight="1" x14ac:dyDescent="0.35">
      <c r="A428" s="39">
        <f>A427+1</f>
        <v>3</v>
      </c>
      <c r="B428" s="39" t="s">
        <v>233</v>
      </c>
      <c r="C428" s="39" t="s">
        <v>208</v>
      </c>
      <c r="D428" s="53">
        <f>36.59*(10.764)</f>
        <v>393.85476</v>
      </c>
      <c r="E428" s="39">
        <v>0</v>
      </c>
      <c r="F428" s="39">
        <f>D428*(($F$267)+1)+(IF(E428&lt;101,E428,IF(E428&lt;201,E428/2,IF(E428&lt;=301,E428/3,E428/4))))</f>
        <v>610.47487799999999</v>
      </c>
      <c r="G428" s="95"/>
      <c r="H428" s="96"/>
      <c r="I428" s="34"/>
      <c r="L428" s="162"/>
      <c r="M428" s="162"/>
    </row>
    <row r="429" spans="1:14" s="43" customFormat="1" ht="15.75" customHeight="1" x14ac:dyDescent="0.35">
      <c r="A429" s="39">
        <f>A428+1</f>
        <v>4</v>
      </c>
      <c r="B429" s="39" t="s">
        <v>232</v>
      </c>
      <c r="C429" s="39" t="s">
        <v>208</v>
      </c>
      <c r="D429" s="53">
        <f>36.62*(10.764)</f>
        <v>394.17767999999995</v>
      </c>
      <c r="E429" s="39">
        <v>0</v>
      </c>
      <c r="F429" s="39">
        <f>D429*(($F$267)+1)+(IF(E429&lt;101,E429,IF(E429&lt;201,E429/2,IF(E429&lt;=301,E429/3,E429/4))))</f>
        <v>610.97540399999991</v>
      </c>
      <c r="G429" s="97"/>
      <c r="H429" s="98"/>
      <c r="I429" s="34"/>
      <c r="N429" s="34"/>
    </row>
    <row r="430" spans="1:14" s="43" customFormat="1" ht="15.75" customHeight="1" x14ac:dyDescent="0.35">
      <c r="A430" s="89" t="s">
        <v>117</v>
      </c>
      <c r="B430" s="89"/>
      <c r="C430" s="89"/>
      <c r="D430" s="89"/>
      <c r="E430" s="89"/>
      <c r="F430" s="89"/>
      <c r="G430" s="89"/>
      <c r="H430" s="89"/>
      <c r="I430" s="34"/>
      <c r="N430" s="34"/>
    </row>
    <row r="431" spans="1:14" s="43" customFormat="1" ht="15.75" customHeight="1" x14ac:dyDescent="0.35">
      <c r="A431" s="39">
        <v>1</v>
      </c>
      <c r="B431" s="39" t="s">
        <v>232</v>
      </c>
      <c r="C431" s="39" t="s">
        <v>208</v>
      </c>
      <c r="D431" s="53">
        <f>32.98*(10.764)</f>
        <v>354.99671999999993</v>
      </c>
      <c r="E431" s="39">
        <v>0</v>
      </c>
      <c r="F431" s="39">
        <f t="shared" ref="F431:F432" si="38">D431*(($F$267)+1)+(IF(E431&lt;101,E431,IF(E431&lt;201,E431/2,IF(E431&lt;=301,E431/3,E431/4))))</f>
        <v>550.24491599999988</v>
      </c>
      <c r="G431" s="93" t="str">
        <f>A430</f>
        <v>2nd Floor</v>
      </c>
      <c r="H431" s="94"/>
      <c r="I431" s="34"/>
      <c r="N431" s="34"/>
    </row>
    <row r="432" spans="1:14" s="43" customFormat="1" x14ac:dyDescent="0.35">
      <c r="A432" s="39">
        <v>2</v>
      </c>
      <c r="B432" s="39" t="s">
        <v>233</v>
      </c>
      <c r="C432" s="39" t="s">
        <v>208</v>
      </c>
      <c r="D432" s="53">
        <f>32.98*(10.764)</f>
        <v>354.99671999999993</v>
      </c>
      <c r="E432" s="39">
        <v>0</v>
      </c>
      <c r="F432" s="39">
        <f t="shared" si="38"/>
        <v>550.24491599999988</v>
      </c>
      <c r="G432" s="95"/>
      <c r="H432" s="96"/>
      <c r="I432" s="34"/>
      <c r="N432" s="34"/>
    </row>
    <row r="433" spans="1:14" s="43" customFormat="1" x14ac:dyDescent="0.35">
      <c r="A433" s="39">
        <f>A432+1</f>
        <v>3</v>
      </c>
      <c r="B433" s="39" t="s">
        <v>233</v>
      </c>
      <c r="C433" s="39" t="s">
        <v>208</v>
      </c>
      <c r="D433" s="53">
        <f>36.59*(10.764)</f>
        <v>393.85476</v>
      </c>
      <c r="E433" s="39">
        <v>0</v>
      </c>
      <c r="F433" s="39">
        <f>D433*(($F$267)+1)+(IF(E433&lt;101,E433,IF(E433&lt;201,E433/2,IF(E433&lt;=301,E433/3,E433/4))))</f>
        <v>610.47487799999999</v>
      </c>
      <c r="G433" s="95"/>
      <c r="H433" s="96"/>
      <c r="I433" s="34"/>
      <c r="L433" s="162"/>
      <c r="M433" s="162"/>
    </row>
    <row r="434" spans="1:14" s="43" customFormat="1" x14ac:dyDescent="0.35">
      <c r="A434" s="39">
        <f>A433+1</f>
        <v>4</v>
      </c>
      <c r="B434" s="39" t="s">
        <v>233</v>
      </c>
      <c r="C434" s="39" t="s">
        <v>208</v>
      </c>
      <c r="D434" s="53">
        <f>36.62*(10.764)</f>
        <v>394.17767999999995</v>
      </c>
      <c r="E434" s="39">
        <v>0</v>
      </c>
      <c r="F434" s="39">
        <f>D434*(($F$267)+1)+(IF(E434&lt;101,E434,IF(E434&lt;201,E434/2,IF(E434&lt;=301,E434/3,E434/4))))</f>
        <v>610.97540399999991</v>
      </c>
      <c r="G434" s="97"/>
      <c r="H434" s="98"/>
      <c r="I434" s="34"/>
      <c r="N434" s="34"/>
    </row>
    <row r="435" spans="1:14" s="43" customFormat="1" x14ac:dyDescent="0.35">
      <c r="A435" s="107" t="s">
        <v>226</v>
      </c>
      <c r="B435" s="108"/>
      <c r="C435" s="108"/>
      <c r="D435" s="108"/>
      <c r="E435" s="108"/>
      <c r="F435" s="108"/>
      <c r="G435" s="108"/>
      <c r="H435" s="109"/>
      <c r="I435" s="34"/>
      <c r="N435" s="34"/>
    </row>
    <row r="436" spans="1:14" s="43" customFormat="1" ht="15.75" customHeight="1" x14ac:dyDescent="0.35">
      <c r="A436" s="39">
        <v>1</v>
      </c>
      <c r="B436" s="39" t="s">
        <v>232</v>
      </c>
      <c r="C436" s="39" t="s">
        <v>208</v>
      </c>
      <c r="D436" s="53">
        <f>32.98*(10.764)</f>
        <v>354.99671999999993</v>
      </c>
      <c r="E436" s="39">
        <v>0</v>
      </c>
      <c r="F436" s="39">
        <f t="shared" ref="F436:F437" si="39">D436*(($F$267)+1)+(IF(E436&lt;101,E436,IF(E436&lt;201,E436/2,IF(E436&lt;=301,E436/3,E436/4))))</f>
        <v>550.24491599999988</v>
      </c>
      <c r="G436" s="93" t="str">
        <f>A435</f>
        <v>3rd to 7th, 9th to 14th, 16th to 22nd Floor</v>
      </c>
      <c r="H436" s="94"/>
      <c r="I436" s="34"/>
      <c r="N436" s="34"/>
    </row>
    <row r="437" spans="1:14" s="43" customFormat="1" ht="15.75" customHeight="1" x14ac:dyDescent="0.35">
      <c r="A437" s="39">
        <v>2</v>
      </c>
      <c r="B437" s="39" t="s">
        <v>235</v>
      </c>
      <c r="C437" s="39" t="s">
        <v>208</v>
      </c>
      <c r="D437" s="53">
        <f>32.98*(10.764)</f>
        <v>354.99671999999993</v>
      </c>
      <c r="E437" s="39">
        <v>0</v>
      </c>
      <c r="F437" s="39">
        <f t="shared" si="39"/>
        <v>550.24491599999988</v>
      </c>
      <c r="G437" s="95"/>
      <c r="H437" s="96"/>
      <c r="I437" s="34"/>
      <c r="N437" s="34"/>
    </row>
    <row r="438" spans="1:14" s="43" customFormat="1" ht="15.75" customHeight="1" x14ac:dyDescent="0.35">
      <c r="A438" s="39">
        <f>A437+1</f>
        <v>3</v>
      </c>
      <c r="B438" s="39" t="s">
        <v>233</v>
      </c>
      <c r="C438" s="39" t="s">
        <v>208</v>
      </c>
      <c r="D438" s="53">
        <f>36.59*(10.764)</f>
        <v>393.85476</v>
      </c>
      <c r="E438" s="39">
        <v>0</v>
      </c>
      <c r="F438" s="39">
        <f>D438*(($F$267)+1)+(IF(E438&lt;101,E438,IF(E438&lt;201,E438/2,IF(E438&lt;=301,E438/3,E438/4))))</f>
        <v>610.47487799999999</v>
      </c>
      <c r="G438" s="95"/>
      <c r="H438" s="96"/>
      <c r="J438" s="34"/>
    </row>
    <row r="439" spans="1:14" s="43" customFormat="1" ht="15.75" customHeight="1" x14ac:dyDescent="0.35">
      <c r="A439" s="39">
        <f>A438+1</f>
        <v>4</v>
      </c>
      <c r="B439" s="39" t="s">
        <v>233</v>
      </c>
      <c r="C439" s="39" t="s">
        <v>208</v>
      </c>
      <c r="D439" s="53">
        <f>36.62*(10.764)</f>
        <v>394.17767999999995</v>
      </c>
      <c r="E439" s="39">
        <v>0</v>
      </c>
      <c r="F439" s="39">
        <f>D439*(($F$267)+1)+(IF(E439&lt;101,E439,IF(E439&lt;201,E439/2,IF(E439&lt;=301,E439/3,E439/4))))</f>
        <v>610.97540399999991</v>
      </c>
      <c r="G439" s="97"/>
      <c r="H439" s="98"/>
      <c r="I439" s="34"/>
      <c r="L439" s="162"/>
      <c r="M439" s="162"/>
    </row>
    <row r="440" spans="1:14" s="43" customFormat="1" ht="15.75" customHeight="1" x14ac:dyDescent="0.35">
      <c r="A440" s="89" t="s">
        <v>215</v>
      </c>
      <c r="B440" s="89"/>
      <c r="C440" s="89"/>
      <c r="D440" s="89"/>
      <c r="E440" s="89"/>
      <c r="F440" s="89"/>
      <c r="G440" s="89"/>
      <c r="H440" s="89"/>
      <c r="I440" s="34"/>
      <c r="N440" s="34"/>
    </row>
    <row r="441" spans="1:14" s="43" customFormat="1" ht="15.75" customHeight="1" x14ac:dyDescent="0.35">
      <c r="A441" s="39">
        <v>1</v>
      </c>
      <c r="B441" s="39" t="s">
        <v>232</v>
      </c>
      <c r="C441" s="39" t="s">
        <v>208</v>
      </c>
      <c r="D441" s="53">
        <f>32.98*(10.764)</f>
        <v>354.99671999999993</v>
      </c>
      <c r="E441" s="39">
        <v>0</v>
      </c>
      <c r="F441" s="39">
        <f t="shared" ref="F441:F442" si="40">D441*(($F$267)+1)+(IF(E441&lt;101,E441,IF(E441&lt;201,E441/2,IF(E441&lt;=301,E441/3,E441/4))))</f>
        <v>550.24491599999988</v>
      </c>
      <c r="G441" s="93" t="str">
        <f>A440</f>
        <v>8th &amp; 15th Floor (Part Refuge Area)</v>
      </c>
      <c r="H441" s="94"/>
      <c r="I441" s="34"/>
      <c r="N441" s="34"/>
    </row>
    <row r="442" spans="1:14" s="43" customFormat="1" ht="15.75" customHeight="1" x14ac:dyDescent="0.35">
      <c r="A442" s="39">
        <v>2</v>
      </c>
      <c r="B442" s="39" t="s">
        <v>235</v>
      </c>
      <c r="C442" s="39" t="s">
        <v>208</v>
      </c>
      <c r="D442" s="53">
        <f>32.98*(10.764)</f>
        <v>354.99671999999993</v>
      </c>
      <c r="E442" s="39">
        <v>0</v>
      </c>
      <c r="F442" s="39">
        <f t="shared" si="40"/>
        <v>550.24491599999988</v>
      </c>
      <c r="G442" s="95"/>
      <c r="H442" s="96"/>
      <c r="I442" s="34"/>
      <c r="N442" s="34"/>
    </row>
    <row r="443" spans="1:14" s="43" customFormat="1" ht="15.75" customHeight="1" x14ac:dyDescent="0.35">
      <c r="A443" s="39">
        <f>A442+1</f>
        <v>3</v>
      </c>
      <c r="B443" s="39" t="s">
        <v>234</v>
      </c>
      <c r="C443" s="101" t="s">
        <v>216</v>
      </c>
      <c r="D443" s="102"/>
      <c r="E443" s="102"/>
      <c r="F443" s="103"/>
      <c r="G443" s="95"/>
      <c r="H443" s="96"/>
      <c r="I443" s="34"/>
      <c r="N443" s="34"/>
    </row>
    <row r="444" spans="1:14" s="43" customFormat="1" ht="15.75" customHeight="1" x14ac:dyDescent="0.35">
      <c r="A444" s="39">
        <f>A443+1</f>
        <v>4</v>
      </c>
      <c r="B444" s="39" t="s">
        <v>233</v>
      </c>
      <c r="C444" s="39" t="s">
        <v>208</v>
      </c>
      <c r="D444" s="53">
        <f>36.62*(10.764)</f>
        <v>394.17767999999995</v>
      </c>
      <c r="E444" s="39">
        <v>0</v>
      </c>
      <c r="F444" s="39">
        <f>D444*(($F$267)+1)+(IF(E444&lt;101,E444,IF(E444&lt;201,E444/2,IF(E444&lt;=301,E444/3,E444/4))))</f>
        <v>610.97540399999991</v>
      </c>
      <c r="G444" s="97"/>
      <c r="H444" s="98"/>
      <c r="I444" s="34"/>
      <c r="N444" s="34"/>
    </row>
    <row r="445" spans="1:14" s="43" customFormat="1" ht="15.75" customHeight="1" x14ac:dyDescent="0.35">
      <c r="A445" s="86" t="s">
        <v>195</v>
      </c>
      <c r="B445" s="87"/>
      <c r="C445" s="87"/>
      <c r="D445" s="87"/>
      <c r="E445" s="87"/>
      <c r="F445" s="87"/>
      <c r="G445" s="87"/>
      <c r="H445" s="88"/>
      <c r="I445" s="34"/>
      <c r="N445" s="34"/>
    </row>
    <row r="446" spans="1:14" s="43" customFormat="1" ht="15.75" customHeight="1" x14ac:dyDescent="0.35">
      <c r="A446" s="89" t="s">
        <v>211</v>
      </c>
      <c r="B446" s="89"/>
      <c r="C446" s="89"/>
      <c r="D446" s="89"/>
      <c r="E446" s="89"/>
      <c r="F446" s="89"/>
      <c r="G446" s="89"/>
      <c r="H446" s="89"/>
      <c r="I446" s="34"/>
      <c r="L446" s="162"/>
      <c r="M446" s="162"/>
    </row>
    <row r="447" spans="1:14" s="43" customFormat="1" ht="15.75" customHeight="1" x14ac:dyDescent="0.35">
      <c r="A447" s="39">
        <v>1</v>
      </c>
      <c r="B447" s="39" t="s">
        <v>233</v>
      </c>
      <c r="C447" s="39" t="s">
        <v>208</v>
      </c>
      <c r="D447" s="53">
        <f>36.6*(10.764)</f>
        <v>393.9624</v>
      </c>
      <c r="E447" s="39">
        <v>0</v>
      </c>
      <c r="F447" s="39">
        <f t="shared" ref="F447:F448" si="41">D447*(($F$267)+1)+(IF(E447&lt;101,E447,IF(E447&lt;201,E447/2,IF(E447&lt;=301,E447/3,E447/4))))</f>
        <v>610.64172000000008</v>
      </c>
      <c r="G447" s="93" t="str">
        <f>A446</f>
        <v>1st Floor for Residential</v>
      </c>
      <c r="H447" s="94"/>
      <c r="I447" s="34"/>
      <c r="N447" s="34"/>
    </row>
    <row r="448" spans="1:14" s="43" customFormat="1" ht="15.75" customHeight="1" x14ac:dyDescent="0.35">
      <c r="A448" s="39">
        <v>2</v>
      </c>
      <c r="B448" s="39" t="s">
        <v>233</v>
      </c>
      <c r="C448" s="39" t="s">
        <v>208</v>
      </c>
      <c r="D448" s="53">
        <f>36.6*(10.764)</f>
        <v>393.9624</v>
      </c>
      <c r="E448" s="39">
        <v>0</v>
      </c>
      <c r="F448" s="39">
        <f t="shared" si="41"/>
        <v>610.64172000000008</v>
      </c>
      <c r="G448" s="95"/>
      <c r="H448" s="96"/>
      <c r="I448" s="34"/>
      <c r="N448" s="34"/>
    </row>
    <row r="449" spans="1:14" s="43" customFormat="1" ht="15.75" customHeight="1" x14ac:dyDescent="0.35">
      <c r="A449" s="39">
        <f>A448+1</f>
        <v>3</v>
      </c>
      <c r="B449" s="39" t="s">
        <v>232</v>
      </c>
      <c r="C449" s="39" t="s">
        <v>208</v>
      </c>
      <c r="D449" s="53">
        <f>32.98*(10.764)</f>
        <v>354.99671999999993</v>
      </c>
      <c r="E449" s="39">
        <v>0</v>
      </c>
      <c r="F449" s="39">
        <f>D449*(($F$267)+1)+(IF(E449&lt;101,E449,IF(E449&lt;201,E449/2,IF(E449&lt;=301,E449/3,E449/4))))</f>
        <v>550.24491599999988</v>
      </c>
      <c r="G449" s="95"/>
      <c r="H449" s="96"/>
      <c r="I449" s="34"/>
      <c r="N449" s="34"/>
    </row>
    <row r="450" spans="1:14" s="43" customFormat="1" ht="15.75" customHeight="1" x14ac:dyDescent="0.35">
      <c r="A450" s="39">
        <f>A449+1</f>
        <v>4</v>
      </c>
      <c r="B450" s="39" t="s">
        <v>232</v>
      </c>
      <c r="C450" s="39" t="s">
        <v>208</v>
      </c>
      <c r="D450" s="53">
        <f>32.98*(10.764)</f>
        <v>354.99671999999993</v>
      </c>
      <c r="E450" s="39">
        <v>0</v>
      </c>
      <c r="F450" s="39">
        <f>D450*(($F$267)+1)+(IF(E450&lt;101,E450,IF(E450&lt;201,E450/2,IF(E450&lt;=301,E450/3,E450/4))))</f>
        <v>550.24491599999988</v>
      </c>
      <c r="G450" s="95"/>
      <c r="H450" s="96"/>
      <c r="I450" s="34"/>
      <c r="N450" s="34"/>
    </row>
    <row r="451" spans="1:14" s="43" customFormat="1" ht="15.75" customHeight="1" x14ac:dyDescent="0.35">
      <c r="A451" s="39">
        <f>A450+1</f>
        <v>5</v>
      </c>
      <c r="B451" s="39" t="s">
        <v>232</v>
      </c>
      <c r="C451" s="39" t="s">
        <v>208</v>
      </c>
      <c r="D451" s="53">
        <f>32.81*(10.764)</f>
        <v>353.16683999999998</v>
      </c>
      <c r="E451" s="39">
        <v>0</v>
      </c>
      <c r="F451" s="39">
        <f>D451*(($F$267)+1)+(IF(E451&lt;101,E451,IF(E451&lt;201,E451/2,IF(E451&lt;=301,E451/3,E451/4))))</f>
        <v>547.40860199999997</v>
      </c>
      <c r="G451" s="95"/>
      <c r="H451" s="96"/>
      <c r="I451" s="34"/>
      <c r="N451" s="34"/>
    </row>
    <row r="452" spans="1:14" s="43" customFormat="1" ht="15.75" customHeight="1" x14ac:dyDescent="0.35">
      <c r="A452" s="39">
        <f>A451+1</f>
        <v>6</v>
      </c>
      <c r="B452" s="39" t="s">
        <v>232</v>
      </c>
      <c r="C452" s="39" t="s">
        <v>208</v>
      </c>
      <c r="D452" s="53">
        <f>32.83*(10.764)</f>
        <v>353.38211999999999</v>
      </c>
      <c r="E452" s="39">
        <v>0</v>
      </c>
      <c r="F452" s="39">
        <f>D452*(($F$267)+1)+(IF(E452&lt;101,E452,IF(E452&lt;201,E452/2,IF(E452&lt;=301,E452/3,E452/4))))</f>
        <v>547.74228600000004</v>
      </c>
      <c r="G452" s="97"/>
      <c r="H452" s="98"/>
      <c r="I452" s="34"/>
      <c r="N452" s="34"/>
    </row>
    <row r="453" spans="1:14" s="43" customFormat="1" ht="15.75" customHeight="1" x14ac:dyDescent="0.35">
      <c r="A453" s="89" t="s">
        <v>227</v>
      </c>
      <c r="B453" s="89"/>
      <c r="C453" s="89"/>
      <c r="D453" s="89"/>
      <c r="E453" s="89"/>
      <c r="F453" s="89"/>
      <c r="G453" s="89"/>
      <c r="H453" s="89"/>
      <c r="I453" s="34"/>
      <c r="L453" s="162"/>
      <c r="M453" s="162"/>
    </row>
    <row r="454" spans="1:14" s="43" customFormat="1" x14ac:dyDescent="0.35">
      <c r="A454" s="39">
        <v>1</v>
      </c>
      <c r="B454" s="39" t="s">
        <v>233</v>
      </c>
      <c r="C454" s="39" t="s">
        <v>208</v>
      </c>
      <c r="D454" s="53">
        <f>36.6*(10.764)</f>
        <v>393.9624</v>
      </c>
      <c r="E454" s="39">
        <v>0</v>
      </c>
      <c r="F454" s="39">
        <f t="shared" ref="F454:F455" si="42">D454*(($F$267)+1)+(IF(E454&lt;101,E454,IF(E454&lt;201,E454/2,IF(E454&lt;=301,E454/3,E454/4))))</f>
        <v>610.64172000000008</v>
      </c>
      <c r="G454" s="93" t="str">
        <f>A453</f>
        <v>2nd, 4th to 7th, 10th to 14th, 16th to 22nd Floor</v>
      </c>
      <c r="H454" s="94"/>
      <c r="I454" s="34"/>
      <c r="N454" s="34"/>
    </row>
    <row r="455" spans="1:14" s="43" customFormat="1" x14ac:dyDescent="0.35">
      <c r="A455" s="39">
        <v>2</v>
      </c>
      <c r="B455" s="39" t="s">
        <v>233</v>
      </c>
      <c r="C455" s="39" t="s">
        <v>208</v>
      </c>
      <c r="D455" s="53">
        <f>36.6*(10.764)</f>
        <v>393.9624</v>
      </c>
      <c r="E455" s="39">
        <v>0</v>
      </c>
      <c r="F455" s="39">
        <f t="shared" si="42"/>
        <v>610.64172000000008</v>
      </c>
      <c r="G455" s="95"/>
      <c r="H455" s="96"/>
      <c r="I455" s="34"/>
      <c r="N455" s="34"/>
    </row>
    <row r="456" spans="1:14" s="43" customFormat="1" x14ac:dyDescent="0.35">
      <c r="A456" s="39">
        <f>A455+1</f>
        <v>3</v>
      </c>
      <c r="B456" s="39" t="s">
        <v>232</v>
      </c>
      <c r="C456" s="39" t="s">
        <v>208</v>
      </c>
      <c r="D456" s="53">
        <f>32.98*(10.764)</f>
        <v>354.99671999999993</v>
      </c>
      <c r="E456" s="39">
        <v>0</v>
      </c>
      <c r="F456" s="39">
        <f>D456*(($F$267)+1)+(IF(E456&lt;101,E456,IF(E456&lt;201,E456/2,IF(E456&lt;=301,E456/3,E456/4))))</f>
        <v>550.24491599999988</v>
      </c>
      <c r="G456" s="95"/>
      <c r="H456" s="96"/>
      <c r="I456" s="34"/>
      <c r="N456" s="34"/>
    </row>
    <row r="457" spans="1:14" s="43" customFormat="1" x14ac:dyDescent="0.35">
      <c r="A457" s="39">
        <f>A456+1</f>
        <v>4</v>
      </c>
      <c r="B457" s="39" t="s">
        <v>232</v>
      </c>
      <c r="C457" s="39" t="s">
        <v>208</v>
      </c>
      <c r="D457" s="53">
        <f>32.98*(10.764)</f>
        <v>354.99671999999993</v>
      </c>
      <c r="E457" s="39">
        <v>0</v>
      </c>
      <c r="F457" s="39">
        <f>D457*(($F$267)+1)+(IF(E457&lt;101,E457,IF(E457&lt;201,E457/2,IF(E457&lt;=301,E457/3,E457/4))))</f>
        <v>550.24491599999988</v>
      </c>
      <c r="G457" s="95"/>
      <c r="H457" s="96"/>
      <c r="I457" s="34"/>
      <c r="N457" s="34"/>
    </row>
    <row r="458" spans="1:14" s="43" customFormat="1" x14ac:dyDescent="0.35">
      <c r="A458" s="39">
        <f>A457+1</f>
        <v>5</v>
      </c>
      <c r="B458" s="39" t="s">
        <v>232</v>
      </c>
      <c r="C458" s="39" t="s">
        <v>208</v>
      </c>
      <c r="D458" s="53">
        <f>32.81*(10.764)</f>
        <v>353.16683999999998</v>
      </c>
      <c r="E458" s="39">
        <v>0</v>
      </c>
      <c r="F458" s="39">
        <f>D458*(($F$267)+1)+(IF(E458&lt;101,E458,IF(E458&lt;201,E458/2,IF(E458&lt;=301,E458/3,E458/4))))</f>
        <v>547.40860199999997</v>
      </c>
      <c r="G458" s="95"/>
      <c r="H458" s="96"/>
      <c r="I458" s="58"/>
      <c r="J458" s="59"/>
      <c r="N458" s="34"/>
    </row>
    <row r="459" spans="1:14" s="43" customFormat="1" x14ac:dyDescent="0.35">
      <c r="A459" s="39">
        <f>A458+1</f>
        <v>6</v>
      </c>
      <c r="B459" s="39" t="s">
        <v>232</v>
      </c>
      <c r="C459" s="39" t="s">
        <v>208</v>
      </c>
      <c r="D459" s="53">
        <f>32.83*(10.764)</f>
        <v>353.38211999999999</v>
      </c>
      <c r="E459" s="39">
        <v>0</v>
      </c>
      <c r="F459" s="39">
        <f>D459*(($F$267)+1)+(IF(E459&lt;101,E459,IF(E459&lt;201,E459/2,IF(E459&lt;=301,E459/3,E459/4))))</f>
        <v>547.74228600000004</v>
      </c>
      <c r="G459" s="97"/>
      <c r="H459" s="98"/>
      <c r="I459" s="60"/>
      <c r="J459" s="61"/>
      <c r="N459" s="34"/>
    </row>
    <row r="460" spans="1:14" s="43" customFormat="1" ht="15.75" customHeight="1" x14ac:dyDescent="0.35">
      <c r="A460" s="89" t="s">
        <v>209</v>
      </c>
      <c r="B460" s="89"/>
      <c r="C460" s="89"/>
      <c r="D460" s="89"/>
      <c r="E460" s="89"/>
      <c r="F460" s="89"/>
      <c r="G460" s="89"/>
      <c r="H460" s="89"/>
      <c r="I460" s="60"/>
      <c r="J460" s="61"/>
      <c r="L460" s="162"/>
      <c r="M460" s="162"/>
    </row>
    <row r="461" spans="1:14" s="43" customFormat="1" x14ac:dyDescent="0.35">
      <c r="A461" s="39">
        <v>1</v>
      </c>
      <c r="B461" s="39" t="s">
        <v>233</v>
      </c>
      <c r="C461" s="39" t="s">
        <v>208</v>
      </c>
      <c r="D461" s="53">
        <f>36.6*(10.764)</f>
        <v>393.9624</v>
      </c>
      <c r="E461" s="39">
        <v>0</v>
      </c>
      <c r="F461" s="39">
        <f t="shared" ref="F461:F462" si="43">D461*(($F$267)+1)+(IF(E461&lt;101,E461,IF(E461&lt;201,E461/2,IF(E461&lt;=301,E461/3,E461/4))))</f>
        <v>610.64172000000008</v>
      </c>
      <c r="G461" s="93" t="str">
        <f>A460</f>
        <v>3rd Floor</v>
      </c>
      <c r="H461" s="94"/>
      <c r="I461" s="60"/>
      <c r="J461" s="61"/>
      <c r="N461" s="34"/>
    </row>
    <row r="462" spans="1:14" s="43" customFormat="1" x14ac:dyDescent="0.35">
      <c r="A462" s="39">
        <v>2</v>
      </c>
      <c r="B462" s="39" t="s">
        <v>233</v>
      </c>
      <c r="C462" s="39" t="s">
        <v>208</v>
      </c>
      <c r="D462" s="53">
        <f>36.6*(10.764)</f>
        <v>393.9624</v>
      </c>
      <c r="E462" s="39">
        <v>0</v>
      </c>
      <c r="F462" s="39">
        <f t="shared" si="43"/>
        <v>610.64172000000008</v>
      </c>
      <c r="G462" s="95"/>
      <c r="H462" s="96"/>
      <c r="I462" s="60"/>
      <c r="J462" s="61"/>
      <c r="N462" s="34"/>
    </row>
    <row r="463" spans="1:14" s="43" customFormat="1" x14ac:dyDescent="0.35">
      <c r="A463" s="39">
        <f>A462+1</f>
        <v>3</v>
      </c>
      <c r="B463" s="39" t="s">
        <v>235</v>
      </c>
      <c r="C463" s="39" t="s">
        <v>208</v>
      </c>
      <c r="D463" s="53">
        <f>32.98*(10.764)</f>
        <v>354.99671999999993</v>
      </c>
      <c r="E463" s="39">
        <v>0</v>
      </c>
      <c r="F463" s="39">
        <f>D463*(($F$267)+1)+(IF(E463&lt;101,E463,IF(E463&lt;201,E463/2,IF(E463&lt;=301,E463/3,E463/4))))</f>
        <v>550.24491599999988</v>
      </c>
      <c r="G463" s="95"/>
      <c r="H463" s="96"/>
      <c r="I463" s="62"/>
      <c r="J463" s="63"/>
      <c r="N463" s="34"/>
    </row>
    <row r="464" spans="1:14" s="43" customFormat="1" x14ac:dyDescent="0.35">
      <c r="A464" s="39">
        <f>A463+1</f>
        <v>4</v>
      </c>
      <c r="B464" s="39" t="s">
        <v>232</v>
      </c>
      <c r="C464" s="39" t="s">
        <v>208</v>
      </c>
      <c r="D464" s="53">
        <f>32.98*(10.764)</f>
        <v>354.99671999999993</v>
      </c>
      <c r="E464" s="39">
        <v>0</v>
      </c>
      <c r="F464" s="39">
        <f>D464*(($F$267)+1)+(IF(E464&lt;101,E464,IF(E464&lt;201,E464/2,IF(E464&lt;=301,E464/3,E464/4))))</f>
        <v>550.24491599999988</v>
      </c>
      <c r="G464" s="95"/>
      <c r="H464" s="96"/>
      <c r="I464" s="34"/>
      <c r="N464" s="34"/>
    </row>
    <row r="465" spans="1:14" s="43" customFormat="1" x14ac:dyDescent="0.35">
      <c r="A465" s="39">
        <f>A464+1</f>
        <v>5</v>
      </c>
      <c r="B465" s="39" t="s">
        <v>233</v>
      </c>
      <c r="C465" s="39" t="s">
        <v>208</v>
      </c>
      <c r="D465" s="53">
        <f>32.81*(10.764)</f>
        <v>353.16683999999998</v>
      </c>
      <c r="E465" s="39">
        <v>0</v>
      </c>
      <c r="F465" s="39">
        <f>D465*(($F$267)+1)+(IF(E465&lt;101,E465,IF(E465&lt;201,E465/2,IF(E465&lt;=301,E465/3,E465/4))))</f>
        <v>547.40860199999997</v>
      </c>
      <c r="G465" s="95"/>
      <c r="H465" s="96"/>
      <c r="I465" s="34"/>
      <c r="N465" s="34"/>
    </row>
    <row r="466" spans="1:14" s="43" customFormat="1" x14ac:dyDescent="0.35">
      <c r="A466" s="39">
        <f>A465+1</f>
        <v>6</v>
      </c>
      <c r="B466" s="39" t="s">
        <v>232</v>
      </c>
      <c r="C466" s="39" t="s">
        <v>208</v>
      </c>
      <c r="D466" s="53">
        <f>32.83*(10.764)</f>
        <v>353.38211999999999</v>
      </c>
      <c r="E466" s="39">
        <v>0</v>
      </c>
      <c r="F466" s="39">
        <f>D466*(($F$267)+1)+(IF(E466&lt;101,E466,IF(E466&lt;201,E466/2,IF(E466&lt;=301,E466/3,E466/4))))</f>
        <v>547.74228600000004</v>
      </c>
      <c r="G466" s="97"/>
      <c r="H466" s="98"/>
      <c r="I466" s="34"/>
      <c r="N466" s="34"/>
    </row>
    <row r="467" spans="1:14" s="43" customFormat="1" ht="15.75" customHeight="1" x14ac:dyDescent="0.35">
      <c r="A467" s="89" t="s">
        <v>221</v>
      </c>
      <c r="B467" s="89"/>
      <c r="C467" s="89"/>
      <c r="D467" s="89"/>
      <c r="E467" s="89"/>
      <c r="F467" s="89"/>
      <c r="G467" s="89"/>
      <c r="H467" s="89"/>
      <c r="I467" s="34"/>
      <c r="L467" s="162"/>
      <c r="M467" s="162"/>
    </row>
    <row r="468" spans="1:14" s="43" customFormat="1" ht="15.75" customHeight="1" x14ac:dyDescent="0.35">
      <c r="A468" s="39">
        <v>1</v>
      </c>
      <c r="B468" s="39" t="s">
        <v>233</v>
      </c>
      <c r="C468" s="39" t="s">
        <v>208</v>
      </c>
      <c r="D468" s="53">
        <f>36.6*(10.764)</f>
        <v>393.9624</v>
      </c>
      <c r="E468" s="39">
        <v>0</v>
      </c>
      <c r="F468" s="39">
        <f t="shared" ref="F468:F469" si="44">D468*(($F$267)+1)+(IF(E468&lt;101,E468,IF(E468&lt;201,E468/2,IF(E468&lt;=301,E468/3,E468/4))))</f>
        <v>610.64172000000008</v>
      </c>
      <c r="G468" s="93" t="str">
        <f>A467</f>
        <v>9th Floor</v>
      </c>
      <c r="H468" s="94"/>
      <c r="I468" s="34"/>
      <c r="N468" s="34"/>
    </row>
    <row r="469" spans="1:14" s="43" customFormat="1" ht="15.75" customHeight="1" x14ac:dyDescent="0.35">
      <c r="A469" s="39">
        <v>2</v>
      </c>
      <c r="B469" s="39" t="s">
        <v>233</v>
      </c>
      <c r="C469" s="39" t="s">
        <v>208</v>
      </c>
      <c r="D469" s="53">
        <f>36.6*(10.764)</f>
        <v>393.9624</v>
      </c>
      <c r="E469" s="39">
        <v>0</v>
      </c>
      <c r="F469" s="39">
        <f t="shared" si="44"/>
        <v>610.64172000000008</v>
      </c>
      <c r="G469" s="95"/>
      <c r="H469" s="96"/>
      <c r="I469" s="34"/>
      <c r="N469" s="34"/>
    </row>
    <row r="470" spans="1:14" s="43" customFormat="1" ht="15.75" customHeight="1" x14ac:dyDescent="0.35">
      <c r="A470" s="39">
        <f>A469+1</f>
        <v>3</v>
      </c>
      <c r="B470" s="39" t="s">
        <v>232</v>
      </c>
      <c r="C470" s="39" t="s">
        <v>208</v>
      </c>
      <c r="D470" s="53">
        <f>32.98*(10.764)</f>
        <v>354.99671999999993</v>
      </c>
      <c r="E470" s="39">
        <v>0</v>
      </c>
      <c r="F470" s="39">
        <f>D470*(($F$267)+1)+(IF(E470&lt;101,E470,IF(E470&lt;201,E470/2,IF(E470&lt;=301,E470/3,E470/4))))</f>
        <v>550.24491599999988</v>
      </c>
      <c r="G470" s="95"/>
      <c r="H470" s="96"/>
      <c r="I470" s="34"/>
      <c r="N470" s="34"/>
    </row>
    <row r="471" spans="1:14" s="43" customFormat="1" ht="15.75" customHeight="1" x14ac:dyDescent="0.35">
      <c r="A471" s="39">
        <f>A470+1</f>
        <v>4</v>
      </c>
      <c r="B471" s="39" t="s">
        <v>232</v>
      </c>
      <c r="C471" s="39" t="s">
        <v>208</v>
      </c>
      <c r="D471" s="53">
        <f>32.98*(10.764)</f>
        <v>354.99671999999993</v>
      </c>
      <c r="E471" s="39">
        <v>0</v>
      </c>
      <c r="F471" s="39">
        <f>D471*(($F$267)+1)+(IF(E471&lt;101,E471,IF(E471&lt;201,E471/2,IF(E471&lt;=301,E471/3,E471/4))))</f>
        <v>550.24491599999988</v>
      </c>
      <c r="G471" s="95"/>
      <c r="H471" s="96"/>
      <c r="I471" s="34"/>
      <c r="N471" s="34"/>
    </row>
    <row r="472" spans="1:14" s="43" customFormat="1" ht="15.75" customHeight="1" x14ac:dyDescent="0.35">
      <c r="A472" s="39">
        <f>A471+1</f>
        <v>5</v>
      </c>
      <c r="B472" s="39" t="s">
        <v>232</v>
      </c>
      <c r="C472" s="39" t="s">
        <v>208</v>
      </c>
      <c r="D472" s="53">
        <f>32.81*(10.764)</f>
        <v>353.16683999999998</v>
      </c>
      <c r="E472" s="39">
        <v>0</v>
      </c>
      <c r="F472" s="39">
        <f>D472*(($F$267)+1)+(IF(E472&lt;101,E472,IF(E472&lt;201,E472/2,IF(E472&lt;=301,E472/3,E472/4))))</f>
        <v>547.40860199999997</v>
      </c>
      <c r="G472" s="95"/>
      <c r="H472" s="96"/>
      <c r="I472" s="34"/>
      <c r="N472" s="34"/>
    </row>
    <row r="473" spans="1:14" s="43" customFormat="1" ht="15.75" customHeight="1" x14ac:dyDescent="0.35">
      <c r="A473" s="39">
        <f>A472+1</f>
        <v>6</v>
      </c>
      <c r="B473" s="39" t="s">
        <v>233</v>
      </c>
      <c r="C473" s="39" t="s">
        <v>208</v>
      </c>
      <c r="D473" s="53">
        <f>32.83*(10.764)</f>
        <v>353.38211999999999</v>
      </c>
      <c r="E473" s="39">
        <v>0</v>
      </c>
      <c r="F473" s="39">
        <f>D473*(($F$267)+1)+(IF(E473&lt;101,E473,IF(E473&lt;201,E473/2,IF(E473&lt;=301,E473/3,E473/4))))</f>
        <v>547.74228600000004</v>
      </c>
      <c r="G473" s="97"/>
      <c r="H473" s="98"/>
      <c r="I473" s="34"/>
      <c r="N473" s="34"/>
    </row>
    <row r="474" spans="1:14" s="43" customFormat="1" ht="15.75" customHeight="1" x14ac:dyDescent="0.35">
      <c r="A474" s="89" t="s">
        <v>218</v>
      </c>
      <c r="B474" s="89"/>
      <c r="C474" s="89"/>
      <c r="D474" s="89"/>
      <c r="E474" s="89"/>
      <c r="F474" s="89"/>
      <c r="G474" s="89"/>
      <c r="H474" s="89"/>
      <c r="I474" s="34"/>
      <c r="L474" s="162"/>
      <c r="M474" s="162"/>
    </row>
    <row r="475" spans="1:14" s="43" customFormat="1" ht="15.75" customHeight="1" x14ac:dyDescent="0.35">
      <c r="A475" s="39">
        <v>1</v>
      </c>
      <c r="B475" s="39" t="s">
        <v>233</v>
      </c>
      <c r="C475" s="39" t="s">
        <v>208</v>
      </c>
      <c r="D475" s="53">
        <f>36.6*(10.764)</f>
        <v>393.9624</v>
      </c>
      <c r="E475" s="39">
        <v>0</v>
      </c>
      <c r="F475" s="39">
        <f t="shared" ref="F475" si="45">D475*(($F$267)+1)+(IF(E475&lt;101,E475,IF(E475&lt;201,E475/2,IF(E475&lt;=301,E475/3,E475/4))))</f>
        <v>610.64172000000008</v>
      </c>
      <c r="G475" s="93" t="str">
        <f>A474</f>
        <v>8th Floor (Part Refuge Area)</v>
      </c>
      <c r="H475" s="94"/>
      <c r="I475" s="34"/>
      <c r="N475" s="34"/>
    </row>
    <row r="476" spans="1:14" s="43" customFormat="1" ht="15.75" customHeight="1" x14ac:dyDescent="0.35">
      <c r="A476" s="39">
        <v>2</v>
      </c>
      <c r="B476" s="39" t="s">
        <v>234</v>
      </c>
      <c r="C476" s="93" t="s">
        <v>216</v>
      </c>
      <c r="D476" s="99"/>
      <c r="E476" s="99"/>
      <c r="F476" s="94"/>
      <c r="G476" s="95"/>
      <c r="H476" s="96"/>
      <c r="I476" s="34"/>
      <c r="N476" s="34"/>
    </row>
    <row r="477" spans="1:14" s="43" customFormat="1" ht="15.75" customHeight="1" x14ac:dyDescent="0.35">
      <c r="A477" s="39">
        <f>A476+1</f>
        <v>3</v>
      </c>
      <c r="B477" s="39" t="s">
        <v>234</v>
      </c>
      <c r="C477" s="97"/>
      <c r="D477" s="100"/>
      <c r="E477" s="100"/>
      <c r="F477" s="98"/>
      <c r="G477" s="95"/>
      <c r="H477" s="96"/>
      <c r="I477" s="34"/>
      <c r="N477" s="34"/>
    </row>
    <row r="478" spans="1:14" s="43" customFormat="1" ht="15.75" customHeight="1" x14ac:dyDescent="0.35">
      <c r="A478" s="39">
        <f>A477+1</f>
        <v>4</v>
      </c>
      <c r="B478" s="39" t="s">
        <v>232</v>
      </c>
      <c r="C478" s="39" t="s">
        <v>207</v>
      </c>
      <c r="D478" s="53">
        <f>46.89*(10.764)</f>
        <v>504.72395999999998</v>
      </c>
      <c r="E478" s="39">
        <v>0</v>
      </c>
      <c r="F478" s="39">
        <f>D478*(($F$267)+1)+(IF(E478&lt;101,E478,IF(E478&lt;201,E478/2,IF(E478&lt;=301,E478/3,E478/4))))</f>
        <v>782.322138</v>
      </c>
      <c r="G478" s="95"/>
      <c r="H478" s="96"/>
      <c r="I478" s="34"/>
      <c r="N478" s="34"/>
    </row>
    <row r="479" spans="1:14" s="43" customFormat="1" ht="15.75" customHeight="1" x14ac:dyDescent="0.35">
      <c r="A479" s="39">
        <f>A478+1</f>
        <v>5</v>
      </c>
      <c r="B479" s="39" t="s">
        <v>232</v>
      </c>
      <c r="C479" s="39" t="s">
        <v>208</v>
      </c>
      <c r="D479" s="53">
        <f>32.81*(10.764)</f>
        <v>353.16683999999998</v>
      </c>
      <c r="E479" s="39">
        <v>0</v>
      </c>
      <c r="F479" s="39">
        <f>D479*(($F$267)+1)+(IF(E479&lt;101,E479,IF(E479&lt;201,E479/2,IF(E479&lt;=301,E479/3,E479/4))))</f>
        <v>547.40860199999997</v>
      </c>
      <c r="G479" s="95"/>
      <c r="H479" s="96"/>
      <c r="I479" s="34"/>
      <c r="N479" s="34"/>
    </row>
    <row r="480" spans="1:14" s="43" customFormat="1" ht="15.75" customHeight="1" x14ac:dyDescent="0.35">
      <c r="A480" s="39">
        <f>A479+1</f>
        <v>6</v>
      </c>
      <c r="B480" s="39" t="s">
        <v>232</v>
      </c>
      <c r="C480" s="39" t="s">
        <v>208</v>
      </c>
      <c r="D480" s="53">
        <f>32.83*(10.764)</f>
        <v>353.38211999999999</v>
      </c>
      <c r="E480" s="39">
        <v>0</v>
      </c>
      <c r="F480" s="39">
        <f>D480*(($F$267)+1)+(IF(E480&lt;101,E480,IF(E480&lt;201,E480/2,IF(E480&lt;=301,E480/3,E480/4))))</f>
        <v>547.74228600000004</v>
      </c>
      <c r="G480" s="97"/>
      <c r="H480" s="98"/>
      <c r="I480" s="34"/>
      <c r="N480" s="34"/>
    </row>
    <row r="481" spans="1:14" s="43" customFormat="1" x14ac:dyDescent="0.35">
      <c r="A481" s="89" t="s">
        <v>217</v>
      </c>
      <c r="B481" s="89"/>
      <c r="C481" s="89"/>
      <c r="D481" s="89"/>
      <c r="E481" s="89"/>
      <c r="F481" s="89"/>
      <c r="G481" s="89"/>
      <c r="H481" s="89"/>
      <c r="J481" s="34"/>
    </row>
    <row r="482" spans="1:14" s="43" customFormat="1" ht="15.75" customHeight="1" x14ac:dyDescent="0.35">
      <c r="A482" s="39">
        <v>1</v>
      </c>
      <c r="B482" s="39" t="s">
        <v>233</v>
      </c>
      <c r="C482" s="39" t="s">
        <v>208</v>
      </c>
      <c r="D482" s="53">
        <f>36.6*(10.764)</f>
        <v>393.9624</v>
      </c>
      <c r="E482" s="39">
        <v>0</v>
      </c>
      <c r="F482" s="39">
        <f t="shared" ref="F482" si="46">D482*(($F$267)+1)+(IF(E482&lt;101,E482,IF(E482&lt;201,E482/2,IF(E482&lt;=301,E482/3,E482/4))))</f>
        <v>610.64172000000008</v>
      </c>
      <c r="G482" s="93" t="str">
        <f>A481</f>
        <v>15th Floor (Part Refuge Area)</v>
      </c>
      <c r="H482" s="94"/>
      <c r="I482" s="34"/>
      <c r="L482" s="162"/>
      <c r="M482" s="162"/>
    </row>
    <row r="483" spans="1:14" s="43" customFormat="1" ht="15.75" customHeight="1" x14ac:dyDescent="0.35">
      <c r="A483" s="39">
        <v>2</v>
      </c>
      <c r="B483" s="39" t="s">
        <v>234</v>
      </c>
      <c r="C483" s="93" t="s">
        <v>216</v>
      </c>
      <c r="D483" s="99"/>
      <c r="E483" s="99"/>
      <c r="F483" s="94"/>
      <c r="G483" s="95"/>
      <c r="H483" s="96"/>
      <c r="I483" s="34"/>
      <c r="N483" s="34"/>
    </row>
    <row r="484" spans="1:14" s="43" customFormat="1" ht="15.75" customHeight="1" x14ac:dyDescent="0.35">
      <c r="A484" s="39">
        <f>A483+1</f>
        <v>3</v>
      </c>
      <c r="B484" s="39" t="s">
        <v>234</v>
      </c>
      <c r="C484" s="97"/>
      <c r="D484" s="100"/>
      <c r="E484" s="100"/>
      <c r="F484" s="98"/>
      <c r="G484" s="95"/>
      <c r="H484" s="96"/>
      <c r="I484" s="34"/>
      <c r="N484" s="34"/>
    </row>
    <row r="485" spans="1:14" s="43" customFormat="1" ht="15.75" customHeight="1" x14ac:dyDescent="0.35">
      <c r="A485" s="39">
        <f>A484+1</f>
        <v>4</v>
      </c>
      <c r="B485" s="39" t="s">
        <v>232</v>
      </c>
      <c r="C485" s="39" t="s">
        <v>208</v>
      </c>
      <c r="D485" s="53">
        <f>32.98*(10.764)</f>
        <v>354.99671999999993</v>
      </c>
      <c r="E485" s="39">
        <v>0</v>
      </c>
      <c r="F485" s="39">
        <f>D485*(($F$267)+1)+(IF(E485&lt;101,E485,IF(E485&lt;201,E485/2,IF(E485&lt;=301,E485/3,E485/4))))</f>
        <v>550.24491599999988</v>
      </c>
      <c r="G485" s="95"/>
      <c r="H485" s="96"/>
      <c r="I485" s="34"/>
      <c r="N485" s="34"/>
    </row>
    <row r="486" spans="1:14" s="43" customFormat="1" ht="15.75" customHeight="1" x14ac:dyDescent="0.35">
      <c r="A486" s="39">
        <f>A485+1</f>
        <v>5</v>
      </c>
      <c r="B486" s="39" t="s">
        <v>232</v>
      </c>
      <c r="C486" s="39" t="s">
        <v>208</v>
      </c>
      <c r="D486" s="53">
        <f>32.81*(10.764)</f>
        <v>353.16683999999998</v>
      </c>
      <c r="E486" s="39">
        <v>0</v>
      </c>
      <c r="F486" s="39">
        <f>D486*(($F$267)+1)+(IF(E486&lt;101,E486,IF(E486&lt;201,E486/2,IF(E486&lt;=301,E486/3,E486/4))))</f>
        <v>547.40860199999997</v>
      </c>
      <c r="G486" s="95"/>
      <c r="H486" s="96"/>
      <c r="I486" s="34"/>
      <c r="N486" s="34"/>
    </row>
    <row r="487" spans="1:14" s="43" customFormat="1" ht="15.75" customHeight="1" x14ac:dyDescent="0.35">
      <c r="A487" s="39">
        <f>A486+1</f>
        <v>6</v>
      </c>
      <c r="B487" s="39" t="s">
        <v>232</v>
      </c>
      <c r="C487" s="39" t="s">
        <v>208</v>
      </c>
      <c r="D487" s="53">
        <f>32.83*(10.764)</f>
        <v>353.38211999999999</v>
      </c>
      <c r="E487" s="39">
        <v>0</v>
      </c>
      <c r="F487" s="39">
        <f>D487*(($F$267)+1)+(IF(E487&lt;101,E487,IF(E487&lt;201,E487/2,IF(E487&lt;=301,E487/3,E487/4))))</f>
        <v>547.74228600000004</v>
      </c>
      <c r="G487" s="97"/>
      <c r="H487" s="98"/>
      <c r="I487" s="34"/>
      <c r="N487" s="34"/>
    </row>
    <row r="488" spans="1:14" s="43" customFormat="1" ht="15.75" customHeight="1" x14ac:dyDescent="0.35">
      <c r="A488" s="86" t="s">
        <v>196</v>
      </c>
      <c r="B488" s="87"/>
      <c r="C488" s="87"/>
      <c r="D488" s="87"/>
      <c r="E488" s="87"/>
      <c r="F488" s="87"/>
      <c r="G488" s="87"/>
      <c r="H488" s="88"/>
      <c r="I488" s="34"/>
      <c r="N488" s="34"/>
    </row>
    <row r="489" spans="1:14" s="43" customFormat="1" ht="15.75" customHeight="1" x14ac:dyDescent="0.35">
      <c r="A489" s="89" t="s">
        <v>211</v>
      </c>
      <c r="B489" s="89"/>
      <c r="C489" s="89"/>
      <c r="D489" s="89"/>
      <c r="E489" s="89"/>
      <c r="F489" s="89"/>
      <c r="G489" s="89"/>
      <c r="H489" s="89"/>
      <c r="I489" s="34"/>
      <c r="L489" s="162"/>
      <c r="M489" s="162"/>
    </row>
    <row r="490" spans="1:14" s="43" customFormat="1" ht="15.75" customHeight="1" x14ac:dyDescent="0.35">
      <c r="A490" s="54">
        <v>1</v>
      </c>
      <c r="B490" s="55" t="s">
        <v>235</v>
      </c>
      <c r="C490" s="39" t="s">
        <v>208</v>
      </c>
      <c r="D490" s="53">
        <f>32.83*(10.764)</f>
        <v>353.38211999999999</v>
      </c>
      <c r="E490" s="39">
        <v>0</v>
      </c>
      <c r="F490" s="39">
        <f t="shared" ref="F490:F491" si="47">D490*(($F$267)+1)+(IF(E490&lt;101,E490,IF(E490&lt;201,E490/2,IF(E490&lt;=301,E490/3,E490/4))))</f>
        <v>547.74228600000004</v>
      </c>
      <c r="G490" s="93" t="str">
        <f>A489</f>
        <v>1st Floor for Residential</v>
      </c>
      <c r="H490" s="94"/>
      <c r="I490" s="34"/>
      <c r="N490" s="34"/>
    </row>
    <row r="491" spans="1:14" s="43" customFormat="1" ht="15.75" customHeight="1" x14ac:dyDescent="0.35">
      <c r="A491" s="56">
        <v>2</v>
      </c>
      <c r="B491" s="57" t="s">
        <v>235</v>
      </c>
      <c r="C491" s="39" t="s">
        <v>208</v>
      </c>
      <c r="D491" s="53">
        <f>32.98*(10.764)</f>
        <v>354.99671999999993</v>
      </c>
      <c r="E491" s="39">
        <v>0</v>
      </c>
      <c r="F491" s="39">
        <f t="shared" si="47"/>
        <v>550.24491599999988</v>
      </c>
      <c r="G491" s="95"/>
      <c r="H491" s="96"/>
      <c r="I491" s="34"/>
      <c r="N491" s="34"/>
    </row>
    <row r="492" spans="1:14" s="43" customFormat="1" ht="15.75" customHeight="1" x14ac:dyDescent="0.35">
      <c r="A492" s="56">
        <v>3</v>
      </c>
      <c r="B492" s="57" t="s">
        <v>232</v>
      </c>
      <c r="C492" s="39" t="s">
        <v>208</v>
      </c>
      <c r="D492" s="53">
        <f>32.98*(10.764)</f>
        <v>354.99671999999993</v>
      </c>
      <c r="E492" s="39">
        <v>0</v>
      </c>
      <c r="F492" s="39">
        <f>D492*(($F$267)+1)+(IF(E492&lt;101,E492,IF(E492&lt;201,E492/2,IF(E492&lt;=301,E492/3,E492/4))))</f>
        <v>550.24491599999988</v>
      </c>
      <c r="G492" s="95"/>
      <c r="H492" s="96"/>
      <c r="I492" s="34"/>
      <c r="N492" s="34"/>
    </row>
    <row r="493" spans="1:14" s="43" customFormat="1" ht="15.75" customHeight="1" x14ac:dyDescent="0.35">
      <c r="A493" s="56">
        <v>4</v>
      </c>
      <c r="B493" s="57" t="s">
        <v>232</v>
      </c>
      <c r="C493" s="39" t="s">
        <v>208</v>
      </c>
      <c r="D493" s="53">
        <f>32.81*(10.764)</f>
        <v>353.16683999999998</v>
      </c>
      <c r="E493" s="39">
        <v>0</v>
      </c>
      <c r="F493" s="39">
        <f>D493*(($F$267)+1)+(IF(E493&lt;101,E493,IF(E493&lt;201,E493/2,IF(E493&lt;=301,E493/3,E493/4))))</f>
        <v>547.40860199999997</v>
      </c>
      <c r="G493" s="95"/>
      <c r="H493" s="96"/>
      <c r="I493" s="34"/>
      <c r="N493" s="34"/>
    </row>
    <row r="494" spans="1:14" s="43" customFormat="1" ht="15.75" customHeight="1" x14ac:dyDescent="0.35">
      <c r="A494" s="56">
        <v>5</v>
      </c>
      <c r="B494" s="57" t="s">
        <v>232</v>
      </c>
      <c r="C494" s="39" t="s">
        <v>208</v>
      </c>
      <c r="D494" s="53">
        <f>32.81*(10.764)</f>
        <v>353.16683999999998</v>
      </c>
      <c r="E494" s="39">
        <v>0</v>
      </c>
      <c r="F494" s="39">
        <f>D494*(($F$267)+1)+(IF(E494&lt;101,E494,IF(E494&lt;201,E494/2,IF(E494&lt;=301,E494/3,E494/4))))</f>
        <v>547.40860199999997</v>
      </c>
      <c r="G494" s="95"/>
      <c r="H494" s="96"/>
      <c r="I494" s="34"/>
      <c r="N494" s="34"/>
    </row>
    <row r="495" spans="1:14" s="43" customFormat="1" ht="15.75" customHeight="1" x14ac:dyDescent="0.35">
      <c r="A495" s="56">
        <v>6</v>
      </c>
      <c r="B495" s="57" t="s">
        <v>232</v>
      </c>
      <c r="C495" s="39" t="s">
        <v>208</v>
      </c>
      <c r="D495" s="53">
        <f>32.83*(10.764)</f>
        <v>353.38211999999999</v>
      </c>
      <c r="E495" s="39">
        <v>0</v>
      </c>
      <c r="F495" s="39">
        <f>D495*(($F$267)+1)+(IF(E495&lt;101,E495,IF(E495&lt;201,E495/2,IF(E495&lt;=301,E495/3,E495/4))))</f>
        <v>547.74228600000004</v>
      </c>
      <c r="G495" s="97"/>
      <c r="H495" s="98"/>
      <c r="I495" s="34"/>
      <c r="N495" s="34"/>
    </row>
    <row r="496" spans="1:14" s="43" customFormat="1" ht="15.75" customHeight="1" x14ac:dyDescent="0.35">
      <c r="A496" s="89" t="s">
        <v>229</v>
      </c>
      <c r="B496" s="89"/>
      <c r="C496" s="89"/>
      <c r="D496" s="89"/>
      <c r="E496" s="89"/>
      <c r="F496" s="89"/>
      <c r="G496" s="89"/>
      <c r="H496" s="89"/>
      <c r="I496" s="34"/>
      <c r="L496" s="162"/>
      <c r="M496" s="162"/>
    </row>
    <row r="497" spans="1:14" s="43" customFormat="1" x14ac:dyDescent="0.35">
      <c r="A497" s="54">
        <v>1</v>
      </c>
      <c r="B497" s="55" t="s">
        <v>235</v>
      </c>
      <c r="C497" s="39" t="s">
        <v>208</v>
      </c>
      <c r="D497" s="53">
        <f>32.83*(10.764)</f>
        <v>353.38211999999999</v>
      </c>
      <c r="E497" s="39">
        <v>0</v>
      </c>
      <c r="F497" s="39">
        <f t="shared" ref="F497:F498" si="48">D497*(($F$267)+1)+(IF(E497&lt;101,E497,IF(E497&lt;201,E497/2,IF(E497&lt;=301,E497/3,E497/4))))</f>
        <v>547.74228600000004</v>
      </c>
      <c r="G497" s="93" t="str">
        <f>A496</f>
        <v>2nd to 5th, 7th, 9th to 14th, 17th to 22nd Floor</v>
      </c>
      <c r="H497" s="94"/>
      <c r="I497" s="34"/>
      <c r="N497" s="34"/>
    </row>
    <row r="498" spans="1:14" s="43" customFormat="1" x14ac:dyDescent="0.35">
      <c r="A498" s="56">
        <v>2</v>
      </c>
      <c r="B498" s="57" t="s">
        <v>235</v>
      </c>
      <c r="C498" s="39" t="s">
        <v>208</v>
      </c>
      <c r="D498" s="53">
        <f>32.98*(10.764)</f>
        <v>354.99671999999993</v>
      </c>
      <c r="E498" s="39">
        <v>0</v>
      </c>
      <c r="F498" s="39">
        <f t="shared" si="48"/>
        <v>550.24491599999988</v>
      </c>
      <c r="G498" s="95"/>
      <c r="H498" s="96"/>
      <c r="I498" s="34"/>
      <c r="N498" s="34"/>
    </row>
    <row r="499" spans="1:14" s="43" customFormat="1" x14ac:dyDescent="0.35">
      <c r="A499" s="56">
        <v>3</v>
      </c>
      <c r="B499" s="57" t="s">
        <v>232</v>
      </c>
      <c r="C499" s="39" t="s">
        <v>208</v>
      </c>
      <c r="D499" s="53">
        <f>32.98*(10.764)</f>
        <v>354.99671999999993</v>
      </c>
      <c r="E499" s="39">
        <v>0</v>
      </c>
      <c r="F499" s="39">
        <f>D499*(($F$267)+1)+(IF(E499&lt;101,E499,IF(E499&lt;201,E499/2,IF(E499&lt;=301,E499/3,E499/4))))</f>
        <v>550.24491599999988</v>
      </c>
      <c r="G499" s="95"/>
      <c r="H499" s="96"/>
      <c r="I499" s="34"/>
      <c r="N499" s="34"/>
    </row>
    <row r="500" spans="1:14" s="43" customFormat="1" x14ac:dyDescent="0.35">
      <c r="A500" s="56">
        <v>4</v>
      </c>
      <c r="B500" s="57" t="s">
        <v>232</v>
      </c>
      <c r="C500" s="39" t="s">
        <v>208</v>
      </c>
      <c r="D500" s="53">
        <f>32.81*(10.764)</f>
        <v>353.16683999999998</v>
      </c>
      <c r="E500" s="39">
        <v>0</v>
      </c>
      <c r="F500" s="39">
        <f>D500*(($F$267)+1)+(IF(E500&lt;101,E500,IF(E500&lt;201,E500/2,IF(E500&lt;=301,E500/3,E500/4))))</f>
        <v>547.40860199999997</v>
      </c>
      <c r="G500" s="95"/>
      <c r="H500" s="96"/>
      <c r="I500" s="34"/>
      <c r="N500" s="34"/>
    </row>
    <row r="501" spans="1:14" s="43" customFormat="1" x14ac:dyDescent="0.35">
      <c r="A501" s="56">
        <v>5</v>
      </c>
      <c r="B501" s="57" t="s">
        <v>232</v>
      </c>
      <c r="C501" s="39" t="s">
        <v>208</v>
      </c>
      <c r="D501" s="53">
        <f>32.81*(10.764)</f>
        <v>353.16683999999998</v>
      </c>
      <c r="E501" s="39">
        <v>0</v>
      </c>
      <c r="F501" s="39">
        <f>D501*(($F$267)+1)+(IF(E501&lt;101,E501,IF(E501&lt;201,E501/2,IF(E501&lt;=301,E501/3,E501/4))))</f>
        <v>547.40860199999997</v>
      </c>
      <c r="G501" s="95"/>
      <c r="H501" s="96"/>
      <c r="I501" s="34"/>
      <c r="N501" s="34"/>
    </row>
    <row r="502" spans="1:14" s="43" customFormat="1" x14ac:dyDescent="0.35">
      <c r="A502" s="56">
        <v>6</v>
      </c>
      <c r="B502" s="57" t="s">
        <v>232</v>
      </c>
      <c r="C502" s="39" t="s">
        <v>208</v>
      </c>
      <c r="D502" s="53">
        <f>32.83*(10.764)</f>
        <v>353.38211999999999</v>
      </c>
      <c r="E502" s="39">
        <v>0</v>
      </c>
      <c r="F502" s="39">
        <f>D502*(($F$267)+1)+(IF(E502&lt;101,E502,IF(E502&lt;201,E502/2,IF(E502&lt;=301,E502/3,E502/4))))</f>
        <v>547.74228600000004</v>
      </c>
      <c r="G502" s="97"/>
      <c r="H502" s="98"/>
      <c r="I502" s="34"/>
      <c r="N502" s="34"/>
    </row>
    <row r="503" spans="1:14" s="43" customFormat="1" ht="15.75" customHeight="1" x14ac:dyDescent="0.35">
      <c r="A503" s="89" t="s">
        <v>219</v>
      </c>
      <c r="B503" s="89"/>
      <c r="C503" s="89"/>
      <c r="D503" s="89"/>
      <c r="E503" s="89"/>
      <c r="F503" s="89"/>
      <c r="G503" s="89"/>
      <c r="H503" s="89"/>
      <c r="I503" s="34"/>
      <c r="L503" s="162"/>
      <c r="M503" s="162"/>
    </row>
    <row r="504" spans="1:14" s="43" customFormat="1" x14ac:dyDescent="0.35">
      <c r="A504" s="54">
        <v>1</v>
      </c>
      <c r="B504" s="55" t="s">
        <v>235</v>
      </c>
      <c r="C504" s="39" t="s">
        <v>208</v>
      </c>
      <c r="D504" s="53">
        <f>32.83*(10.764)</f>
        <v>353.38211999999999</v>
      </c>
      <c r="E504" s="39">
        <v>0</v>
      </c>
      <c r="F504" s="39">
        <f t="shared" ref="F504:F505" si="49">D504*(($F$267)+1)+(IF(E504&lt;101,E504,IF(E504&lt;201,E504/2,IF(E504&lt;=301,E504/3,E504/4))))</f>
        <v>547.74228600000004</v>
      </c>
      <c r="G504" s="93" t="str">
        <f>A503</f>
        <v>6th Floor</v>
      </c>
      <c r="H504" s="94"/>
      <c r="I504" s="34"/>
      <c r="N504" s="34"/>
    </row>
    <row r="505" spans="1:14" s="43" customFormat="1" x14ac:dyDescent="0.35">
      <c r="A505" s="56">
        <v>2</v>
      </c>
      <c r="B505" s="57" t="s">
        <v>235</v>
      </c>
      <c r="C505" s="39" t="s">
        <v>208</v>
      </c>
      <c r="D505" s="53">
        <f>32.98*(10.764)</f>
        <v>354.99671999999993</v>
      </c>
      <c r="E505" s="39">
        <v>0</v>
      </c>
      <c r="F505" s="39">
        <f t="shared" si="49"/>
        <v>550.24491599999988</v>
      </c>
      <c r="G505" s="95"/>
      <c r="H505" s="96"/>
      <c r="I505" s="34"/>
      <c r="N505" s="34"/>
    </row>
    <row r="506" spans="1:14" s="43" customFormat="1" x14ac:dyDescent="0.35">
      <c r="A506" s="56">
        <v>3</v>
      </c>
      <c r="B506" s="57" t="s">
        <v>232</v>
      </c>
      <c r="C506" s="39" t="s">
        <v>208</v>
      </c>
      <c r="D506" s="53">
        <f>32.98*(10.764)</f>
        <v>354.99671999999993</v>
      </c>
      <c r="E506" s="39">
        <v>0</v>
      </c>
      <c r="F506" s="39">
        <f>D506*(($F$267)+1)+(IF(E506&lt;101,E506,IF(E506&lt;201,E506/2,IF(E506&lt;=301,E506/3,E506/4))))</f>
        <v>550.24491599999988</v>
      </c>
      <c r="G506" s="95"/>
      <c r="H506" s="96"/>
      <c r="I506" s="34"/>
      <c r="N506" s="34"/>
    </row>
    <row r="507" spans="1:14" s="43" customFormat="1" x14ac:dyDescent="0.35">
      <c r="A507" s="56">
        <v>4</v>
      </c>
      <c r="B507" s="57" t="s">
        <v>232</v>
      </c>
      <c r="C507" s="39" t="s">
        <v>208</v>
      </c>
      <c r="D507" s="53">
        <f>32.81*(10.764)</f>
        <v>353.16683999999998</v>
      </c>
      <c r="E507" s="39">
        <v>0</v>
      </c>
      <c r="F507" s="39">
        <f>D507*(($F$267)+1)+(IF(E507&lt;101,E507,IF(E507&lt;201,E507/2,IF(E507&lt;=301,E507/3,E507/4))))</f>
        <v>547.40860199999997</v>
      </c>
      <c r="G507" s="95"/>
      <c r="H507" s="96"/>
      <c r="I507" s="34"/>
      <c r="N507" s="34"/>
    </row>
    <row r="508" spans="1:14" s="43" customFormat="1" x14ac:dyDescent="0.35">
      <c r="A508" s="56">
        <v>5</v>
      </c>
      <c r="B508" s="57" t="s">
        <v>233</v>
      </c>
      <c r="C508" s="39" t="s">
        <v>208</v>
      </c>
      <c r="D508" s="53">
        <f>32.81*(10.764)</f>
        <v>353.16683999999998</v>
      </c>
      <c r="E508" s="39">
        <v>0</v>
      </c>
      <c r="F508" s="39">
        <f>D508*(($F$267)+1)+(IF(E508&lt;101,E508,IF(E508&lt;201,E508/2,IF(E508&lt;=301,E508/3,E508/4))))</f>
        <v>547.40860199999997</v>
      </c>
      <c r="G508" s="95"/>
      <c r="H508" s="96"/>
      <c r="I508" s="34"/>
      <c r="N508" s="34"/>
    </row>
    <row r="509" spans="1:14" s="43" customFormat="1" x14ac:dyDescent="0.35">
      <c r="A509" s="56">
        <v>6</v>
      </c>
      <c r="B509" s="57" t="s">
        <v>233</v>
      </c>
      <c r="C509" s="39" t="s">
        <v>208</v>
      </c>
      <c r="D509" s="53">
        <f>32.83*(10.764)</f>
        <v>353.38211999999999</v>
      </c>
      <c r="E509" s="39">
        <v>0</v>
      </c>
      <c r="F509" s="39">
        <f>D509*(($F$267)+1)+(IF(E509&lt;101,E509,IF(E509&lt;201,E509/2,IF(E509&lt;=301,E509/3,E509/4))))</f>
        <v>547.74228600000004</v>
      </c>
      <c r="G509" s="97"/>
      <c r="H509" s="98"/>
      <c r="I509" s="34"/>
      <c r="N509" s="34"/>
    </row>
    <row r="510" spans="1:14" s="43" customFormat="1" ht="15.75" customHeight="1" x14ac:dyDescent="0.35">
      <c r="A510" s="89" t="s">
        <v>228</v>
      </c>
      <c r="B510" s="89"/>
      <c r="C510" s="89"/>
      <c r="D510" s="89"/>
      <c r="E510" s="89"/>
      <c r="F510" s="89"/>
      <c r="G510" s="89"/>
      <c r="H510" s="89"/>
      <c r="I510" s="34"/>
      <c r="L510" s="162"/>
      <c r="M510" s="162"/>
    </row>
    <row r="511" spans="1:14" s="43" customFormat="1" ht="15.75" customHeight="1" x14ac:dyDescent="0.35">
      <c r="A511" s="54">
        <v>1</v>
      </c>
      <c r="B511" s="55" t="s">
        <v>233</v>
      </c>
      <c r="C511" s="39" t="s">
        <v>208</v>
      </c>
      <c r="D511" s="53">
        <f>32.83*(10.764)</f>
        <v>353.38211999999999</v>
      </c>
      <c r="E511" s="39">
        <v>0</v>
      </c>
      <c r="F511" s="39">
        <f t="shared" ref="F511:F512" si="50">D511*(($F$267)+1)+(IF(E511&lt;101,E511,IF(E511&lt;201,E511/2,IF(E511&lt;=301,E511/3,E511/4))))</f>
        <v>547.74228600000004</v>
      </c>
      <c r="G511" s="93" t="str">
        <f>A510</f>
        <v>16th Floor</v>
      </c>
      <c r="H511" s="94"/>
      <c r="I511" s="34"/>
      <c r="N511" s="34"/>
    </row>
    <row r="512" spans="1:14" s="43" customFormat="1" ht="15.75" customHeight="1" x14ac:dyDescent="0.35">
      <c r="A512" s="56">
        <v>2</v>
      </c>
      <c r="B512" s="57" t="s">
        <v>235</v>
      </c>
      <c r="C512" s="39" t="s">
        <v>208</v>
      </c>
      <c r="D512" s="53">
        <f>32.98*(10.764)</f>
        <v>354.99671999999993</v>
      </c>
      <c r="E512" s="39">
        <v>0</v>
      </c>
      <c r="F512" s="39">
        <f t="shared" si="50"/>
        <v>550.24491599999988</v>
      </c>
      <c r="G512" s="95"/>
      <c r="H512" s="96"/>
      <c r="I512" s="34"/>
      <c r="N512" s="34"/>
    </row>
    <row r="513" spans="1:14" s="43" customFormat="1" ht="15.75" customHeight="1" x14ac:dyDescent="0.35">
      <c r="A513" s="56">
        <v>3</v>
      </c>
      <c r="B513" s="57" t="s">
        <v>232</v>
      </c>
      <c r="C513" s="39" t="s">
        <v>208</v>
      </c>
      <c r="D513" s="53">
        <f>32.98*(10.764)</f>
        <v>354.99671999999993</v>
      </c>
      <c r="E513" s="39">
        <v>0</v>
      </c>
      <c r="F513" s="39">
        <f>D513*(($F$267)+1)+(IF(E513&lt;101,E513,IF(E513&lt;201,E513/2,IF(E513&lt;=301,E513/3,E513/4))))</f>
        <v>550.24491599999988</v>
      </c>
      <c r="G513" s="95"/>
      <c r="H513" s="96"/>
      <c r="I513" s="34"/>
      <c r="N513" s="34"/>
    </row>
    <row r="514" spans="1:14" s="43" customFormat="1" ht="15.75" customHeight="1" x14ac:dyDescent="0.35">
      <c r="A514" s="56">
        <v>4</v>
      </c>
      <c r="B514" s="57" t="s">
        <v>232</v>
      </c>
      <c r="C514" s="39" t="s">
        <v>208</v>
      </c>
      <c r="D514" s="53">
        <f>32.81*(10.764)</f>
        <v>353.16683999999998</v>
      </c>
      <c r="E514" s="39">
        <v>0</v>
      </c>
      <c r="F514" s="39">
        <f>D514*(($F$267)+1)+(IF(E514&lt;101,E514,IF(E514&lt;201,E514/2,IF(E514&lt;=301,E514/3,E514/4))))</f>
        <v>547.40860199999997</v>
      </c>
      <c r="G514" s="95"/>
      <c r="H514" s="96"/>
      <c r="I514" s="34"/>
      <c r="N514" s="34"/>
    </row>
    <row r="515" spans="1:14" s="43" customFormat="1" ht="15.75" customHeight="1" x14ac:dyDescent="0.35">
      <c r="A515" s="56">
        <v>5</v>
      </c>
      <c r="B515" s="57" t="s">
        <v>232</v>
      </c>
      <c r="C515" s="39" t="s">
        <v>208</v>
      </c>
      <c r="D515" s="53">
        <f>32.81*(10.764)</f>
        <v>353.16683999999998</v>
      </c>
      <c r="E515" s="39">
        <v>0</v>
      </c>
      <c r="F515" s="39">
        <f>D515*(($F$267)+1)+(IF(E515&lt;101,E515,IF(E515&lt;201,E515/2,IF(E515&lt;=301,E515/3,E515/4))))</f>
        <v>547.40860199999997</v>
      </c>
      <c r="G515" s="95"/>
      <c r="H515" s="96"/>
      <c r="I515" s="34"/>
      <c r="N515" s="34"/>
    </row>
    <row r="516" spans="1:14" s="43" customFormat="1" ht="15.75" customHeight="1" x14ac:dyDescent="0.35">
      <c r="A516" s="56">
        <v>6</v>
      </c>
      <c r="B516" s="57" t="s">
        <v>232</v>
      </c>
      <c r="C516" s="39" t="s">
        <v>208</v>
      </c>
      <c r="D516" s="53">
        <f>32.83*(10.764)</f>
        <v>353.38211999999999</v>
      </c>
      <c r="E516" s="39">
        <v>0</v>
      </c>
      <c r="F516" s="39">
        <f>D516*(($F$267)+1)+(IF(E516&lt;101,E516,IF(E516&lt;201,E516/2,IF(E516&lt;=301,E516/3,E516/4))))</f>
        <v>547.74228600000004</v>
      </c>
      <c r="G516" s="97"/>
      <c r="H516" s="98"/>
      <c r="I516" s="34"/>
      <c r="N516" s="34"/>
    </row>
    <row r="517" spans="1:14" s="43" customFormat="1" ht="15.75" customHeight="1" x14ac:dyDescent="0.35">
      <c r="A517" s="89" t="s">
        <v>218</v>
      </c>
      <c r="B517" s="89"/>
      <c r="C517" s="89"/>
      <c r="D517" s="89"/>
      <c r="E517" s="89"/>
      <c r="F517" s="89"/>
      <c r="G517" s="89"/>
      <c r="H517" s="89"/>
      <c r="I517" s="34"/>
      <c r="L517" s="162"/>
      <c r="M517" s="162"/>
    </row>
    <row r="518" spans="1:14" s="43" customFormat="1" ht="15.75" customHeight="1" x14ac:dyDescent="0.35">
      <c r="A518" s="54">
        <v>1</v>
      </c>
      <c r="B518" s="55" t="s">
        <v>234</v>
      </c>
      <c r="C518" s="93" t="s">
        <v>216</v>
      </c>
      <c r="D518" s="99"/>
      <c r="E518" s="99"/>
      <c r="F518" s="94"/>
      <c r="G518" s="93" t="str">
        <f>A517</f>
        <v>8th Floor (Part Refuge Area)</v>
      </c>
      <c r="H518" s="94"/>
      <c r="I518" s="34"/>
      <c r="N518" s="34"/>
    </row>
    <row r="519" spans="1:14" s="43" customFormat="1" ht="15.75" customHeight="1" x14ac:dyDescent="0.35">
      <c r="A519" s="56">
        <v>2</v>
      </c>
      <c r="B519" s="57" t="s">
        <v>234</v>
      </c>
      <c r="C519" s="97"/>
      <c r="D519" s="100"/>
      <c r="E519" s="100"/>
      <c r="F519" s="98"/>
      <c r="G519" s="95"/>
      <c r="H519" s="96"/>
      <c r="I519" s="34"/>
      <c r="N519" s="34"/>
    </row>
    <row r="520" spans="1:14" s="43" customFormat="1" ht="15.75" customHeight="1" x14ac:dyDescent="0.35">
      <c r="A520" s="56">
        <v>3</v>
      </c>
      <c r="B520" s="57" t="s">
        <v>232</v>
      </c>
      <c r="C520" s="39" t="s">
        <v>207</v>
      </c>
      <c r="D520" s="53">
        <f>45.07*(10.764)</f>
        <v>485.13347999999996</v>
      </c>
      <c r="E520" s="39">
        <v>0</v>
      </c>
      <c r="F520" s="39">
        <f>D520*(($F$267)+1)+(IF(E520&lt;101,E520,IF(E520&lt;201,E520/2,IF(E520&lt;=301,E520/3,E520/4))))</f>
        <v>751.95689399999992</v>
      </c>
      <c r="G520" s="95"/>
      <c r="H520" s="96"/>
      <c r="I520" s="34"/>
      <c r="N520" s="34"/>
    </row>
    <row r="521" spans="1:14" s="43" customFormat="1" ht="15.75" customHeight="1" x14ac:dyDescent="0.35">
      <c r="A521" s="56">
        <v>4</v>
      </c>
      <c r="B521" s="57" t="s">
        <v>232</v>
      </c>
      <c r="C521" s="39" t="s">
        <v>208</v>
      </c>
      <c r="D521" s="53">
        <f>32.81*(10.764)</f>
        <v>353.16683999999998</v>
      </c>
      <c r="E521" s="39">
        <v>0</v>
      </c>
      <c r="F521" s="39">
        <f>D521*(($F$267)+1)+(IF(E521&lt;101,E521,IF(E521&lt;201,E521/2,IF(E521&lt;=301,E521/3,E521/4))))</f>
        <v>547.40860199999997</v>
      </c>
      <c r="G521" s="95"/>
      <c r="H521" s="96"/>
      <c r="I521" s="34"/>
      <c r="N521" s="34"/>
    </row>
    <row r="522" spans="1:14" s="43" customFormat="1" ht="15.75" customHeight="1" x14ac:dyDescent="0.35">
      <c r="A522" s="56">
        <v>5</v>
      </c>
      <c r="B522" s="57" t="s">
        <v>232</v>
      </c>
      <c r="C522" s="39" t="s">
        <v>208</v>
      </c>
      <c r="D522" s="53">
        <f>32.81*(10.764)</f>
        <v>353.16683999999998</v>
      </c>
      <c r="E522" s="39">
        <v>0</v>
      </c>
      <c r="F522" s="39">
        <f>D522*(($F$267)+1)+(IF(E522&lt;101,E522,IF(E522&lt;201,E522/2,IF(E522&lt;=301,E522/3,E522/4))))</f>
        <v>547.40860199999997</v>
      </c>
      <c r="G522" s="95"/>
      <c r="H522" s="96"/>
      <c r="I522" s="34"/>
      <c r="N522" s="34"/>
    </row>
    <row r="523" spans="1:14" s="43" customFormat="1" ht="15.75" customHeight="1" x14ac:dyDescent="0.35">
      <c r="A523" s="56">
        <v>6</v>
      </c>
      <c r="B523" s="57" t="s">
        <v>232</v>
      </c>
      <c r="C523" s="39" t="s">
        <v>208</v>
      </c>
      <c r="D523" s="53">
        <f>32.83*(10.764)</f>
        <v>353.38211999999999</v>
      </c>
      <c r="E523" s="39">
        <v>0</v>
      </c>
      <c r="F523" s="39">
        <f>D523*(($F$267)+1)+(IF(E523&lt;101,E523,IF(E523&lt;201,E523/2,IF(E523&lt;=301,E523/3,E523/4))))</f>
        <v>547.74228600000004</v>
      </c>
      <c r="G523" s="97"/>
      <c r="H523" s="98"/>
      <c r="I523" s="34"/>
      <c r="N523" s="34"/>
    </row>
    <row r="524" spans="1:14" s="43" customFormat="1" x14ac:dyDescent="0.35">
      <c r="A524" s="89" t="s">
        <v>217</v>
      </c>
      <c r="B524" s="89"/>
      <c r="C524" s="89"/>
      <c r="D524" s="89"/>
      <c r="E524" s="89"/>
      <c r="F524" s="89"/>
      <c r="G524" s="89"/>
      <c r="H524" s="89"/>
      <c r="J524" s="34"/>
    </row>
    <row r="525" spans="1:14" s="43" customFormat="1" x14ac:dyDescent="0.35">
      <c r="A525" s="54">
        <v>1</v>
      </c>
      <c r="B525" s="55" t="s">
        <v>234</v>
      </c>
      <c r="C525" s="93" t="s">
        <v>216</v>
      </c>
      <c r="D525" s="99"/>
      <c r="E525" s="99"/>
      <c r="F525" s="94"/>
      <c r="G525" s="93" t="str">
        <f>A524</f>
        <v>15th Floor (Part Refuge Area)</v>
      </c>
      <c r="H525" s="94"/>
      <c r="I525" s="34"/>
      <c r="L525" s="162"/>
      <c r="M525" s="162"/>
    </row>
    <row r="526" spans="1:14" s="43" customFormat="1" ht="15.75" customHeight="1" x14ac:dyDescent="0.35">
      <c r="A526" s="56">
        <v>2</v>
      </c>
      <c r="B526" s="57" t="s">
        <v>234</v>
      </c>
      <c r="C526" s="97"/>
      <c r="D526" s="100"/>
      <c r="E526" s="100"/>
      <c r="F526" s="98"/>
      <c r="G526" s="95"/>
      <c r="H526" s="96"/>
      <c r="I526" s="34"/>
      <c r="N526" s="34"/>
    </row>
    <row r="527" spans="1:14" s="43" customFormat="1" ht="15.75" customHeight="1" x14ac:dyDescent="0.35">
      <c r="A527" s="56">
        <v>3</v>
      </c>
      <c r="B527" s="57" t="s">
        <v>232</v>
      </c>
      <c r="C527" s="39" t="s">
        <v>207</v>
      </c>
      <c r="D527" s="53">
        <f>37.32*(10.764)</f>
        <v>401.71247999999997</v>
      </c>
      <c r="E527" s="39">
        <v>0</v>
      </c>
      <c r="F527" s="39">
        <f>D527*(($F$267)+1)+(IF(E527&lt;101,E527,IF(E527&lt;201,E527/2,IF(E527&lt;=301,E527/3,E527/4))))</f>
        <v>622.65434399999992</v>
      </c>
      <c r="G527" s="95"/>
      <c r="H527" s="96"/>
      <c r="I527" s="34"/>
      <c r="N527" s="34"/>
    </row>
    <row r="528" spans="1:14" s="43" customFormat="1" ht="15.75" customHeight="1" x14ac:dyDescent="0.35">
      <c r="A528" s="56">
        <v>4</v>
      </c>
      <c r="B528" s="57" t="s">
        <v>232</v>
      </c>
      <c r="C528" s="39" t="s">
        <v>208</v>
      </c>
      <c r="D528" s="53">
        <f>32.81*(10.764)</f>
        <v>353.16683999999998</v>
      </c>
      <c r="E528" s="39">
        <v>0</v>
      </c>
      <c r="F528" s="39">
        <f>D528*(($F$267)+1)+(IF(E528&lt;101,E528,IF(E528&lt;201,E528/2,IF(E528&lt;=301,E528/3,E528/4))))</f>
        <v>547.40860199999997</v>
      </c>
      <c r="G528" s="95"/>
      <c r="H528" s="96"/>
      <c r="I528" s="34"/>
      <c r="N528" s="34"/>
    </row>
    <row r="529" spans="1:14" s="43" customFormat="1" ht="15.75" customHeight="1" x14ac:dyDescent="0.35">
      <c r="A529" s="56">
        <v>5</v>
      </c>
      <c r="B529" s="57" t="s">
        <v>232</v>
      </c>
      <c r="C529" s="39" t="s">
        <v>208</v>
      </c>
      <c r="D529" s="53">
        <f>32.81*(10.764)</f>
        <v>353.16683999999998</v>
      </c>
      <c r="E529" s="39">
        <v>0</v>
      </c>
      <c r="F529" s="39">
        <f>D529*(($F$267)+1)+(IF(E529&lt;101,E529,IF(E529&lt;201,E529/2,IF(E529&lt;=301,E529/3,E529/4))))</f>
        <v>547.40860199999997</v>
      </c>
      <c r="G529" s="95"/>
      <c r="H529" s="96"/>
      <c r="I529" s="34"/>
      <c r="N529" s="34"/>
    </row>
    <row r="530" spans="1:14" s="43" customFormat="1" ht="15.75" customHeight="1" x14ac:dyDescent="0.35">
      <c r="A530" s="56">
        <v>6</v>
      </c>
      <c r="B530" s="57" t="s">
        <v>233</v>
      </c>
      <c r="C530" s="39" t="s">
        <v>208</v>
      </c>
      <c r="D530" s="53">
        <f>32.83*(10.764)</f>
        <v>353.38211999999999</v>
      </c>
      <c r="E530" s="39">
        <v>0</v>
      </c>
      <c r="F530" s="39">
        <f>D530*(($F$267)+1)+(IF(E530&lt;101,E530,IF(E530&lt;201,E530/2,IF(E530&lt;=301,E530/3,E530/4))))</f>
        <v>547.74228600000004</v>
      </c>
      <c r="G530" s="97"/>
      <c r="H530" s="98"/>
      <c r="I530" s="34"/>
      <c r="N530" s="34"/>
    </row>
    <row r="531" spans="1:14" s="43" customFormat="1" ht="15.75" customHeight="1" x14ac:dyDescent="0.35">
      <c r="A531" s="86" t="s">
        <v>197</v>
      </c>
      <c r="B531" s="87"/>
      <c r="C531" s="87"/>
      <c r="D531" s="87"/>
      <c r="E531" s="87"/>
      <c r="F531" s="87"/>
      <c r="G531" s="87"/>
      <c r="H531" s="88"/>
      <c r="I531" s="34"/>
      <c r="N531" s="34"/>
    </row>
    <row r="532" spans="1:14" s="43" customFormat="1" x14ac:dyDescent="0.35">
      <c r="A532" s="89" t="s">
        <v>211</v>
      </c>
      <c r="B532" s="89"/>
      <c r="C532" s="89"/>
      <c r="D532" s="89"/>
      <c r="E532" s="89"/>
      <c r="F532" s="89"/>
      <c r="G532" s="89"/>
      <c r="H532" s="89"/>
      <c r="I532" s="34"/>
      <c r="L532" s="162"/>
      <c r="M532" s="162"/>
    </row>
    <row r="533" spans="1:14" s="43" customFormat="1" ht="15.75" customHeight="1" x14ac:dyDescent="0.35">
      <c r="A533" s="110">
        <f>LEFT(A532,SUM(LEN(A532)-LEN(SUBSTITUTE(A532,{"0","1","2","3","4","5","6","7","8","9"},""))))*100+1</f>
        <v>101</v>
      </c>
      <c r="B533" s="110"/>
      <c r="C533" s="39" t="s">
        <v>208</v>
      </c>
      <c r="D533" s="53">
        <f>32.83*(10.764)</f>
        <v>353.38211999999999</v>
      </c>
      <c r="E533" s="39">
        <v>0</v>
      </c>
      <c r="F533" s="39">
        <f t="shared" ref="F533:F534" si="51">D533*(($F$267)+1)+(IF(E533&lt;101,E533,IF(E533&lt;201,E533/2,IF(E533&lt;=301,E533/3,E533/4))))</f>
        <v>547.74228600000004</v>
      </c>
      <c r="G533" s="93" t="str">
        <f>A532</f>
        <v>1st Floor for Residential</v>
      </c>
      <c r="H533" s="94"/>
      <c r="I533" s="34"/>
      <c r="N533" s="34"/>
    </row>
    <row r="534" spans="1:14" s="43" customFormat="1" ht="15.75" customHeight="1" x14ac:dyDescent="0.35">
      <c r="A534" s="110">
        <f>A533+1</f>
        <v>102</v>
      </c>
      <c r="B534" s="110"/>
      <c r="C534" s="39" t="s">
        <v>208</v>
      </c>
      <c r="D534" s="53">
        <f>32.86*(10.764)</f>
        <v>353.70504</v>
      </c>
      <c r="E534" s="39">
        <v>0</v>
      </c>
      <c r="F534" s="39">
        <f t="shared" si="51"/>
        <v>548.24281199999996</v>
      </c>
      <c r="G534" s="95"/>
      <c r="H534" s="96"/>
      <c r="I534" s="34"/>
      <c r="N534" s="34"/>
    </row>
    <row r="535" spans="1:14" s="43" customFormat="1" ht="15.75" customHeight="1" x14ac:dyDescent="0.35">
      <c r="A535" s="110">
        <f>A534+1</f>
        <v>103</v>
      </c>
      <c r="B535" s="110"/>
      <c r="C535" s="39" t="s">
        <v>208</v>
      </c>
      <c r="D535" s="53">
        <f>32.98*(10.764)</f>
        <v>354.99671999999993</v>
      </c>
      <c r="E535" s="39">
        <v>0</v>
      </c>
      <c r="F535" s="39">
        <f>D535*(($F$267)+1)+(IF(E535&lt;101,E535,IF(E535&lt;201,E535/2,IF(E535&lt;=301,E535/3,E535/4))))</f>
        <v>550.24491599999988</v>
      </c>
      <c r="G535" s="95"/>
      <c r="H535" s="96"/>
      <c r="I535" s="34"/>
      <c r="N535" s="34"/>
    </row>
    <row r="536" spans="1:14" s="43" customFormat="1" ht="15.75" customHeight="1" x14ac:dyDescent="0.35">
      <c r="A536" s="110">
        <f>A535+1</f>
        <v>104</v>
      </c>
      <c r="B536" s="110"/>
      <c r="C536" s="39" t="s">
        <v>208</v>
      </c>
      <c r="D536" s="53">
        <f>32.98*(10.764)</f>
        <v>354.99671999999993</v>
      </c>
      <c r="E536" s="39">
        <v>0</v>
      </c>
      <c r="F536" s="39">
        <f>D536*(($F$267)+1)+(IF(E536&lt;101,E536,IF(E536&lt;201,E536/2,IF(E536&lt;=301,E536/3,E536/4))))</f>
        <v>550.24491599999988</v>
      </c>
      <c r="G536" s="95"/>
      <c r="H536" s="96"/>
      <c r="I536" s="34"/>
      <c r="N536" s="34"/>
    </row>
    <row r="537" spans="1:14" s="43" customFormat="1" ht="15.75" customHeight="1" x14ac:dyDescent="0.35">
      <c r="A537" s="110">
        <f>A536+1</f>
        <v>105</v>
      </c>
      <c r="B537" s="110"/>
      <c r="C537" s="39" t="s">
        <v>207</v>
      </c>
      <c r="D537" s="53">
        <f>42.2*(10.764)</f>
        <v>454.24079999999998</v>
      </c>
      <c r="E537" s="39">
        <v>0</v>
      </c>
      <c r="F537" s="39">
        <f>D537*(($F$267)+1)+(IF(E537&lt;101,E537,IF(E537&lt;201,E537/2,IF(E537&lt;=301,E537/3,E537/4))))</f>
        <v>704.07323999999994</v>
      </c>
      <c r="G537" s="95"/>
      <c r="H537" s="96"/>
      <c r="I537" s="34"/>
      <c r="N537" s="34"/>
    </row>
    <row r="538" spans="1:14" s="43" customFormat="1" ht="15.75" customHeight="1" x14ac:dyDescent="0.35">
      <c r="A538" s="110">
        <f>A537+1</f>
        <v>106</v>
      </c>
      <c r="B538" s="110"/>
      <c r="C538" s="39" t="s">
        <v>207</v>
      </c>
      <c r="D538" s="53">
        <f>50.02*(10.764)</f>
        <v>538.41528000000005</v>
      </c>
      <c r="E538" s="39">
        <v>0</v>
      </c>
      <c r="F538" s="39">
        <f>D538*(($F$267)+1)+(IF(E538&lt;101,E538,IF(E538&lt;201,E538/2,IF(E538&lt;=301,E538/3,E538/4))))</f>
        <v>834.5436840000001</v>
      </c>
      <c r="G538" s="97"/>
      <c r="H538" s="98"/>
      <c r="I538" s="34"/>
      <c r="N538" s="34"/>
    </row>
    <row r="539" spans="1:14" s="43" customFormat="1" x14ac:dyDescent="0.35">
      <c r="A539" s="89" t="s">
        <v>230</v>
      </c>
      <c r="B539" s="89"/>
      <c r="C539" s="89"/>
      <c r="D539" s="89"/>
      <c r="E539" s="89"/>
      <c r="F539" s="89"/>
      <c r="G539" s="89"/>
      <c r="H539" s="89"/>
      <c r="I539" s="34"/>
      <c r="L539" s="162"/>
      <c r="M539" s="162"/>
    </row>
    <row r="540" spans="1:14" s="43" customFormat="1" ht="15.75" customHeight="1" x14ac:dyDescent="0.35">
      <c r="A540" s="110">
        <v>1</v>
      </c>
      <c r="B540" s="110"/>
      <c r="C540" s="39" t="s">
        <v>208</v>
      </c>
      <c r="D540" s="53">
        <f>32.83*(10.764)</f>
        <v>353.38211999999999</v>
      </c>
      <c r="E540" s="39">
        <v>0</v>
      </c>
      <c r="F540" s="39">
        <f t="shared" ref="F540:F541" si="52">D540*(($F$267)+1)+(IF(E540&lt;101,E540,IF(E540&lt;201,E540/2,IF(E540&lt;=301,E540/3,E540/4))))</f>
        <v>547.74228600000004</v>
      </c>
      <c r="G540" s="93" t="str">
        <f>A539</f>
        <v>2nd to 7th, 9th to 14th, 16th to 22nd Floor</v>
      </c>
      <c r="H540" s="94"/>
      <c r="I540" s="34"/>
      <c r="N540" s="34"/>
    </row>
    <row r="541" spans="1:14" s="43" customFormat="1" ht="15.75" customHeight="1" x14ac:dyDescent="0.35">
      <c r="A541" s="110">
        <f>A540+1</f>
        <v>2</v>
      </c>
      <c r="B541" s="110"/>
      <c r="C541" s="39" t="s">
        <v>208</v>
      </c>
      <c r="D541" s="53">
        <f>32.86*(10.764)</f>
        <v>353.70504</v>
      </c>
      <c r="E541" s="39">
        <v>0</v>
      </c>
      <c r="F541" s="39">
        <f t="shared" si="52"/>
        <v>548.24281199999996</v>
      </c>
      <c r="G541" s="95"/>
      <c r="H541" s="96"/>
      <c r="I541" s="34"/>
      <c r="N541" s="34"/>
    </row>
    <row r="542" spans="1:14" s="43" customFormat="1" ht="15.75" customHeight="1" x14ac:dyDescent="0.35">
      <c r="A542" s="110">
        <f>A541+1</f>
        <v>3</v>
      </c>
      <c r="B542" s="110"/>
      <c r="C542" s="39" t="s">
        <v>208</v>
      </c>
      <c r="D542" s="53">
        <f>32.98*(10.764)</f>
        <v>354.99671999999993</v>
      </c>
      <c r="E542" s="39">
        <v>0</v>
      </c>
      <c r="F542" s="39">
        <f>D542*(($F$267)+1)+(IF(E542&lt;101,E542,IF(E542&lt;201,E542/2,IF(E542&lt;=301,E542/3,E542/4))))</f>
        <v>550.24491599999988</v>
      </c>
      <c r="G542" s="95"/>
      <c r="H542" s="96"/>
      <c r="I542" s="34"/>
      <c r="N542" s="34"/>
    </row>
    <row r="543" spans="1:14" s="43" customFormat="1" ht="15.75" customHeight="1" x14ac:dyDescent="0.35">
      <c r="A543" s="110">
        <f>A542+1</f>
        <v>4</v>
      </c>
      <c r="B543" s="110"/>
      <c r="C543" s="39" t="s">
        <v>208</v>
      </c>
      <c r="D543" s="53">
        <f>32.98*(10.764)</f>
        <v>354.99671999999993</v>
      </c>
      <c r="E543" s="39">
        <v>0</v>
      </c>
      <c r="F543" s="39">
        <f>D543*(($F$267)+1)+(IF(E543&lt;101,E543,IF(E543&lt;201,E543/2,IF(E543&lt;=301,E543/3,E543/4))))</f>
        <v>550.24491599999988</v>
      </c>
      <c r="G543" s="95"/>
      <c r="H543" s="96"/>
      <c r="I543" s="34"/>
      <c r="N543" s="34"/>
    </row>
    <row r="544" spans="1:14" s="43" customFormat="1" ht="15.75" customHeight="1" x14ac:dyDescent="0.35">
      <c r="A544" s="110">
        <f>A543+1</f>
        <v>5</v>
      </c>
      <c r="B544" s="110"/>
      <c r="C544" s="39" t="s">
        <v>207</v>
      </c>
      <c r="D544" s="53">
        <f>42.2*(10.764)</f>
        <v>454.24079999999998</v>
      </c>
      <c r="E544" s="39">
        <v>0</v>
      </c>
      <c r="F544" s="39">
        <f>D544*(($F$267)+1)+(IF(E544&lt;101,E544,IF(E544&lt;201,E544/2,IF(E544&lt;=301,E544/3,E544/4))))</f>
        <v>704.07323999999994</v>
      </c>
      <c r="G544" s="95"/>
      <c r="H544" s="96"/>
      <c r="I544" s="34"/>
      <c r="N544" s="34"/>
    </row>
    <row r="545" spans="1:14" s="43" customFormat="1" ht="15.75" customHeight="1" x14ac:dyDescent="0.35">
      <c r="A545" s="110">
        <f>A544+1</f>
        <v>6</v>
      </c>
      <c r="B545" s="110"/>
      <c r="C545" s="39" t="s">
        <v>207</v>
      </c>
      <c r="D545" s="53">
        <f>50.02*(10.764)</f>
        <v>538.41528000000005</v>
      </c>
      <c r="E545" s="39">
        <v>0</v>
      </c>
      <c r="F545" s="39">
        <f>D545*(($F$267)+1)+(IF(E545&lt;101,E545,IF(E545&lt;201,E545/2,IF(E545&lt;=301,E545/3,E545/4))))</f>
        <v>834.5436840000001</v>
      </c>
      <c r="G545" s="97"/>
      <c r="H545" s="98"/>
      <c r="I545" s="34"/>
      <c r="J545" s="43">
        <f>60790000/F552</f>
        <v>72842.20247001473</v>
      </c>
      <c r="N545" s="34"/>
    </row>
    <row r="546" spans="1:14" s="43" customFormat="1" x14ac:dyDescent="0.35">
      <c r="A546" s="89" t="s">
        <v>218</v>
      </c>
      <c r="B546" s="89"/>
      <c r="C546" s="89"/>
      <c r="D546" s="89"/>
      <c r="E546" s="89"/>
      <c r="F546" s="89"/>
      <c r="G546" s="89"/>
      <c r="H546" s="89"/>
      <c r="I546" s="34"/>
      <c r="L546" s="162"/>
      <c r="M546" s="162"/>
    </row>
    <row r="547" spans="1:14" s="43" customFormat="1" ht="15.75" customHeight="1" x14ac:dyDescent="0.35">
      <c r="A547" s="110">
        <v>1</v>
      </c>
      <c r="B547" s="110"/>
      <c r="C547" s="39" t="s">
        <v>208</v>
      </c>
      <c r="D547" s="53">
        <f>32.83*(10.764)</f>
        <v>353.38211999999999</v>
      </c>
      <c r="E547" s="39">
        <v>0</v>
      </c>
      <c r="F547" s="39">
        <f t="shared" ref="F547:F548" si="53">D547*(($F$267)+1)+(IF(E547&lt;101,E547,IF(E547&lt;201,E547/2,IF(E547&lt;=301,E547/3,E547/4))))</f>
        <v>547.74228600000004</v>
      </c>
      <c r="G547" s="93" t="str">
        <f>A546</f>
        <v>8th Floor (Part Refuge Area)</v>
      </c>
      <c r="H547" s="94"/>
      <c r="I547" s="34"/>
      <c r="N547" s="34"/>
    </row>
    <row r="548" spans="1:14" s="43" customFormat="1" ht="15.75" customHeight="1" x14ac:dyDescent="0.35">
      <c r="A548" s="110">
        <f>A547+1</f>
        <v>2</v>
      </c>
      <c r="B548" s="110"/>
      <c r="C548" s="39" t="s">
        <v>208</v>
      </c>
      <c r="D548" s="53">
        <f>32.86*(10.764)</f>
        <v>353.70504</v>
      </c>
      <c r="E548" s="39">
        <v>0</v>
      </c>
      <c r="F548" s="39">
        <f t="shared" si="53"/>
        <v>548.24281199999996</v>
      </c>
      <c r="G548" s="95"/>
      <c r="H548" s="96"/>
      <c r="I548" s="34"/>
      <c r="N548" s="34"/>
    </row>
    <row r="549" spans="1:14" s="43" customFormat="1" ht="15.75" customHeight="1" x14ac:dyDescent="0.35">
      <c r="A549" s="110">
        <f>A548+1</f>
        <v>3</v>
      </c>
      <c r="B549" s="110"/>
      <c r="C549" s="39" t="s">
        <v>207</v>
      </c>
      <c r="D549" s="53">
        <f>46.89*(10.764)</f>
        <v>504.72395999999998</v>
      </c>
      <c r="E549" s="39">
        <v>0</v>
      </c>
      <c r="F549" s="39">
        <f>D549*(($F$267)+1)+(IF(E549&lt;101,E549,IF(E549&lt;201,E549/2,IF(E549&lt;=301,E549/3,E549/4))))</f>
        <v>782.322138</v>
      </c>
      <c r="G549" s="95"/>
      <c r="H549" s="96"/>
      <c r="I549" s="34"/>
      <c r="N549" s="34"/>
    </row>
    <row r="550" spans="1:14" s="43" customFormat="1" ht="15.75" customHeight="1" x14ac:dyDescent="0.35">
      <c r="A550" s="110">
        <f>A549+1</f>
        <v>4</v>
      </c>
      <c r="B550" s="110"/>
      <c r="C550" s="93" t="s">
        <v>216</v>
      </c>
      <c r="D550" s="99"/>
      <c r="E550" s="99"/>
      <c r="F550" s="94"/>
      <c r="G550" s="95"/>
      <c r="H550" s="96"/>
      <c r="I550" s="34"/>
      <c r="N550" s="34"/>
    </row>
    <row r="551" spans="1:14" s="43" customFormat="1" ht="15.75" customHeight="1" x14ac:dyDescent="0.35">
      <c r="A551" s="110">
        <f>A550+1</f>
        <v>5</v>
      </c>
      <c r="B551" s="110"/>
      <c r="C551" s="97"/>
      <c r="D551" s="100"/>
      <c r="E551" s="100"/>
      <c r="F551" s="98"/>
      <c r="G551" s="95"/>
      <c r="H551" s="96"/>
      <c r="I551" s="34"/>
      <c r="N551" s="34"/>
    </row>
    <row r="552" spans="1:14" s="43" customFormat="1" ht="15.75" customHeight="1" x14ac:dyDescent="0.35">
      <c r="A552" s="110">
        <f>A551+1</f>
        <v>6</v>
      </c>
      <c r="B552" s="110"/>
      <c r="C552" s="39" t="s">
        <v>207</v>
      </c>
      <c r="D552" s="53">
        <f>50.02*(10.764)</f>
        <v>538.41528000000005</v>
      </c>
      <c r="E552" s="39">
        <v>0</v>
      </c>
      <c r="F552" s="39">
        <f>D552*(($F$267)+1)+(IF(E552&lt;101,E552,IF(E552&lt;201,E552/2,IF(E552&lt;=301,E552/3,E552/4))))</f>
        <v>834.5436840000001</v>
      </c>
      <c r="G552" s="97"/>
      <c r="H552" s="98"/>
      <c r="I552" s="34"/>
      <c r="N552" s="34"/>
    </row>
    <row r="553" spans="1:14" s="43" customFormat="1" x14ac:dyDescent="0.35">
      <c r="A553" s="89" t="s">
        <v>217</v>
      </c>
      <c r="B553" s="89"/>
      <c r="C553" s="89"/>
      <c r="D553" s="89"/>
      <c r="E553" s="89"/>
      <c r="F553" s="89"/>
      <c r="G553" s="89"/>
      <c r="H553" s="89"/>
      <c r="J553" s="34"/>
    </row>
    <row r="554" spans="1:14" s="43" customFormat="1" x14ac:dyDescent="0.35">
      <c r="A554" s="110">
        <v>1</v>
      </c>
      <c r="B554" s="110"/>
      <c r="C554" s="39" t="s">
        <v>208</v>
      </c>
      <c r="D554" s="53">
        <f>32.83*(10.764)</f>
        <v>353.38211999999999</v>
      </c>
      <c r="E554" s="39">
        <v>0</v>
      </c>
      <c r="F554" s="39">
        <f t="shared" ref="F554:F555" si="54">D554*(($F$267)+1)+(IF(E554&lt;101,E554,IF(E554&lt;201,E554/2,IF(E554&lt;=301,E554/3,E554/4))))</f>
        <v>547.74228600000004</v>
      </c>
      <c r="G554" s="93" t="str">
        <f>A553</f>
        <v>15th Floor (Part Refuge Area)</v>
      </c>
      <c r="H554" s="94"/>
      <c r="J554" s="34"/>
    </row>
    <row r="555" spans="1:14" s="33" customFormat="1" x14ac:dyDescent="0.35">
      <c r="A555" s="110">
        <f>A554+1</f>
        <v>2</v>
      </c>
      <c r="B555" s="110"/>
      <c r="C555" s="39" t="s">
        <v>208</v>
      </c>
      <c r="D555" s="53">
        <f>32.86*(10.764)</f>
        <v>353.70504</v>
      </c>
      <c r="E555" s="39">
        <v>0</v>
      </c>
      <c r="F555" s="39">
        <f t="shared" si="54"/>
        <v>548.24281199999996</v>
      </c>
      <c r="G555" s="95"/>
      <c r="H555" s="96"/>
    </row>
    <row r="556" spans="1:14" s="33" customFormat="1" x14ac:dyDescent="0.35">
      <c r="A556" s="110">
        <f>A555+1</f>
        <v>3</v>
      </c>
      <c r="B556" s="110"/>
      <c r="C556" s="39" t="s">
        <v>208</v>
      </c>
      <c r="D556" s="53">
        <f>37.72*(10.764)</f>
        <v>406.01807999999994</v>
      </c>
      <c r="E556" s="39">
        <v>0</v>
      </c>
      <c r="F556" s="39">
        <f>D556*(($F$267)+1)+(IF(E556&lt;101,E556,IF(E556&lt;201,E556/2,IF(E556&lt;=301,E556/3,E556/4))))</f>
        <v>629.32802399999991</v>
      </c>
      <c r="G556" s="95"/>
      <c r="H556" s="96"/>
    </row>
    <row r="557" spans="1:14" s="33" customFormat="1" x14ac:dyDescent="0.35">
      <c r="A557" s="110">
        <f>A556+1</f>
        <v>4</v>
      </c>
      <c r="B557" s="110"/>
      <c r="C557" s="93" t="s">
        <v>216</v>
      </c>
      <c r="D557" s="99"/>
      <c r="E557" s="99"/>
      <c r="F557" s="94"/>
      <c r="G557" s="95"/>
      <c r="H557" s="96"/>
    </row>
    <row r="558" spans="1:14" s="33" customFormat="1" x14ac:dyDescent="0.35">
      <c r="A558" s="110">
        <f>A557+1</f>
        <v>5</v>
      </c>
      <c r="B558" s="110"/>
      <c r="C558" s="97"/>
      <c r="D558" s="100"/>
      <c r="E558" s="100"/>
      <c r="F558" s="98"/>
      <c r="G558" s="95"/>
      <c r="H558" s="96"/>
    </row>
    <row r="559" spans="1:14" s="33" customFormat="1" ht="15.75" customHeight="1" x14ac:dyDescent="0.35">
      <c r="A559" s="110">
        <f>A558+1</f>
        <v>6</v>
      </c>
      <c r="B559" s="110"/>
      <c r="C559" s="39" t="s">
        <v>207</v>
      </c>
      <c r="D559" s="53">
        <f>50.02*(10.764)</f>
        <v>538.41528000000005</v>
      </c>
      <c r="E559" s="39">
        <v>0</v>
      </c>
      <c r="F559" s="39">
        <f>D559*(($F$267)+1)+(IF(E559&lt;101,E559,IF(E559&lt;201,E559/2,IF(E559&lt;=301,E559/3,E559/4))))</f>
        <v>834.5436840000001</v>
      </c>
      <c r="G559" s="97"/>
      <c r="H559" s="98"/>
    </row>
    <row r="560" spans="1:14" s="33" customFormat="1" x14ac:dyDescent="0.35">
      <c r="A560" s="101"/>
      <c r="B560" s="102"/>
      <c r="C560" s="102"/>
      <c r="D560" s="102"/>
      <c r="E560" s="102"/>
      <c r="F560" s="102"/>
      <c r="G560" s="102"/>
      <c r="H560" s="103"/>
      <c r="I560" s="65">
        <v>10.763999999999999</v>
      </c>
    </row>
    <row r="561" spans="1:11" s="33" customFormat="1" x14ac:dyDescent="0.35">
      <c r="A561" s="86" t="s">
        <v>246</v>
      </c>
      <c r="B561" s="87"/>
      <c r="C561" s="87"/>
      <c r="D561" s="87"/>
      <c r="E561" s="87"/>
      <c r="F561" s="87"/>
      <c r="G561" s="87"/>
      <c r="H561" s="88"/>
    </row>
    <row r="562" spans="1:11" s="33" customFormat="1" ht="15.75" customHeight="1" x14ac:dyDescent="0.35">
      <c r="A562" s="86" t="s">
        <v>263</v>
      </c>
      <c r="B562" s="87"/>
      <c r="C562" s="87"/>
      <c r="D562" s="87"/>
      <c r="E562" s="87"/>
      <c r="F562" s="87"/>
      <c r="G562" s="87"/>
      <c r="H562" s="88"/>
      <c r="I562" s="64">
        <f>3*4.55+1.7*2.5+3*3+2*0.6+0.9*0.6+1.25*1.95+1.2*1.5+1.3*0.9</f>
        <v>34.047499999999999</v>
      </c>
    </row>
    <row r="563" spans="1:11" s="33" customFormat="1" ht="15.75" customHeight="1" x14ac:dyDescent="0.35">
      <c r="A563" s="107" t="s">
        <v>300</v>
      </c>
      <c r="B563" s="108"/>
      <c r="C563" s="108"/>
      <c r="D563" s="108"/>
      <c r="E563" s="108"/>
      <c r="F563" s="108"/>
      <c r="G563" s="108"/>
      <c r="H563" s="109"/>
      <c r="I563" s="64"/>
    </row>
    <row r="564" spans="1:11" s="33" customFormat="1" x14ac:dyDescent="0.35">
      <c r="A564" s="89" t="s">
        <v>308</v>
      </c>
      <c r="B564" s="89"/>
      <c r="C564" s="89"/>
      <c r="D564" s="89"/>
      <c r="E564" s="89"/>
      <c r="F564" s="89"/>
      <c r="G564" s="89"/>
      <c r="H564" s="89"/>
      <c r="I564" s="64"/>
    </row>
    <row r="565" spans="1:11" s="33" customFormat="1" ht="15.65" customHeight="1" x14ac:dyDescent="0.35">
      <c r="A565" s="39">
        <v>1</v>
      </c>
      <c r="B565" s="101" t="s">
        <v>304</v>
      </c>
      <c r="C565" s="102"/>
      <c r="D565" s="102"/>
      <c r="E565" s="102"/>
      <c r="F565" s="103"/>
      <c r="G565" s="93" t="str">
        <f>A564</f>
        <v>1st Floor For Residential &amp; Fitness Center</v>
      </c>
      <c r="H565" s="94"/>
      <c r="I565" s="64"/>
    </row>
    <row r="566" spans="1:11" s="33" customFormat="1" x14ac:dyDescent="0.35">
      <c r="A566" s="39">
        <v>2</v>
      </c>
      <c r="B566" s="68" t="s">
        <v>232</v>
      </c>
      <c r="C566" s="39" t="s">
        <v>264</v>
      </c>
      <c r="D566" s="65">
        <f>(48.67)*10.764</f>
        <v>523.88387999999998</v>
      </c>
      <c r="E566" s="39">
        <v>0</v>
      </c>
      <c r="F566" s="39">
        <f t="shared" ref="F566" si="55">D566*(($F$267)+1)+(IF(E566&lt;101,E566,IF(E566&lt;201,E566/2,IF(E566&lt;=301,E566/3,E566/4))))</f>
        <v>812.02001399999995</v>
      </c>
      <c r="G566" s="95"/>
      <c r="H566" s="96"/>
      <c r="I566" s="64"/>
      <c r="J566" s="33">
        <f>3.35*3.8+2.35*1.5+1.45*1.3+2.9*3.05+1.9*0.55+2.9*2.6+1.9*0.55+1.8*1.2+1.2*1.8+0.9*1.6+1*0.9+1.85*1.5</f>
        <v>46.05</v>
      </c>
    </row>
    <row r="567" spans="1:11" s="33" customFormat="1" x14ac:dyDescent="0.35">
      <c r="A567" s="39">
        <f>A566+1</f>
        <v>3</v>
      </c>
      <c r="B567" s="68" t="s">
        <v>232</v>
      </c>
      <c r="C567" s="39" t="s">
        <v>264</v>
      </c>
      <c r="D567" s="65">
        <f>(48.67)*10.764</f>
        <v>523.88387999999998</v>
      </c>
      <c r="E567" s="39">
        <v>0</v>
      </c>
      <c r="F567" s="39">
        <f>D567*(($F$267)+1)+(IF(E567&lt;101,E567,IF(E567&lt;201,E567/2,IF(E567&lt;=301,E567/3,E567/4))))</f>
        <v>812.02001399999995</v>
      </c>
      <c r="G567" s="95"/>
      <c r="H567" s="96"/>
      <c r="I567" s="64"/>
      <c r="K567" s="64"/>
    </row>
    <row r="568" spans="1:11" s="33" customFormat="1" ht="15.65" customHeight="1" x14ac:dyDescent="0.35">
      <c r="A568" s="39">
        <f>A567+1</f>
        <v>4</v>
      </c>
      <c r="B568" s="101" t="s">
        <v>304</v>
      </c>
      <c r="C568" s="102"/>
      <c r="D568" s="102"/>
      <c r="E568" s="102"/>
      <c r="F568" s="103"/>
      <c r="G568" s="95"/>
      <c r="H568" s="96"/>
    </row>
    <row r="569" spans="1:11" s="33" customFormat="1" x14ac:dyDescent="0.35">
      <c r="A569" s="89" t="s">
        <v>271</v>
      </c>
      <c r="B569" s="89"/>
      <c r="C569" s="89"/>
      <c r="D569" s="89"/>
      <c r="E569" s="89"/>
      <c r="F569" s="89"/>
      <c r="G569" s="89"/>
      <c r="H569" s="89"/>
    </row>
    <row r="570" spans="1:11" s="33" customFormat="1" x14ac:dyDescent="0.35">
      <c r="A570" s="39">
        <v>1</v>
      </c>
      <c r="B570" s="39" t="s">
        <v>232</v>
      </c>
      <c r="C570" s="39" t="s">
        <v>208</v>
      </c>
      <c r="D570" s="65">
        <f>(35.5)*10.764</f>
        <v>382.12199999999996</v>
      </c>
      <c r="E570" s="39">
        <v>0</v>
      </c>
      <c r="F570" s="39">
        <f t="shared" ref="F570:F571" si="56">D570*(($F$267)+1)+(IF(E570&lt;101,E570,IF(E570&lt;201,E570/2,IF(E570&lt;=301,E570/3,E570/4))))</f>
        <v>592.28909999999996</v>
      </c>
      <c r="G570" s="93" t="str">
        <f>A569</f>
        <v>2nd &amp; 3rd Floor</v>
      </c>
      <c r="H570" s="94"/>
    </row>
    <row r="571" spans="1:11" s="33" customFormat="1" x14ac:dyDescent="0.35">
      <c r="A571" s="39">
        <v>2</v>
      </c>
      <c r="B571" s="39" t="s">
        <v>232</v>
      </c>
      <c r="C571" s="39" t="s">
        <v>208</v>
      </c>
      <c r="D571" s="65">
        <f>(34.37)*10.764</f>
        <v>369.95867999999996</v>
      </c>
      <c r="E571" s="39">
        <v>0</v>
      </c>
      <c r="F571" s="39">
        <f t="shared" si="56"/>
        <v>573.43595399999992</v>
      </c>
      <c r="G571" s="95"/>
      <c r="H571" s="96"/>
    </row>
    <row r="572" spans="1:11" s="33" customFormat="1" x14ac:dyDescent="0.35">
      <c r="A572" s="39">
        <f>A571+1</f>
        <v>3</v>
      </c>
      <c r="B572" s="39" t="s">
        <v>232</v>
      </c>
      <c r="C572" s="39" t="s">
        <v>208</v>
      </c>
      <c r="D572" s="65">
        <f>(34.8)*10.764</f>
        <v>374.58719999999994</v>
      </c>
      <c r="E572" s="39">
        <v>0</v>
      </c>
      <c r="F572" s="39">
        <f>D572*(($F$267)+1)+(IF(E572&lt;101,E572,IF(E572&lt;201,E572/2,IF(E572&lt;=301,E572/3,E572/4))))</f>
        <v>580.61015999999995</v>
      </c>
      <c r="G572" s="95"/>
      <c r="H572" s="96"/>
    </row>
    <row r="573" spans="1:11" s="33" customFormat="1" ht="15.75" customHeight="1" x14ac:dyDescent="0.35">
      <c r="A573" s="39">
        <f>A572+1</f>
        <v>4</v>
      </c>
      <c r="B573" s="39" t="s">
        <v>232</v>
      </c>
      <c r="C573" s="39" t="s">
        <v>264</v>
      </c>
      <c r="D573" s="65">
        <f>(48.67)*10.764</f>
        <v>523.88387999999998</v>
      </c>
      <c r="E573" s="39">
        <v>0</v>
      </c>
      <c r="F573" s="39">
        <f>D573*(($F$267)+1)+(IF(E573&lt;101,E573,IF(E573&lt;201,E573/2,IF(E573&lt;=301,E573/3,E573/4))))</f>
        <v>812.02001399999995</v>
      </c>
      <c r="G573" s="95"/>
      <c r="H573" s="96"/>
    </row>
    <row r="574" spans="1:11" s="33" customFormat="1" x14ac:dyDescent="0.35">
      <c r="A574" s="39">
        <f>A573+1</f>
        <v>5</v>
      </c>
      <c r="B574" s="39" t="s">
        <v>232</v>
      </c>
      <c r="C574" s="39" t="s">
        <v>264</v>
      </c>
      <c r="D574" s="65">
        <f>(48.67)*10.764</f>
        <v>523.88387999999998</v>
      </c>
      <c r="E574" s="39">
        <v>0</v>
      </c>
      <c r="F574" s="39">
        <f>D574*(($F$267)+1)+(IF(E574&lt;101,E574,IF(E574&lt;201,E574/2,IF(E574&lt;=301,E574/3,E574/4))))</f>
        <v>812.02001399999995</v>
      </c>
      <c r="G574" s="95"/>
      <c r="H574" s="96"/>
    </row>
    <row r="575" spans="1:11" s="33" customFormat="1" x14ac:dyDescent="0.35">
      <c r="A575" s="39">
        <f>A574+1</f>
        <v>6</v>
      </c>
      <c r="B575" s="39" t="s">
        <v>232</v>
      </c>
      <c r="C575" s="39" t="s">
        <v>208</v>
      </c>
      <c r="D575" s="65">
        <f>(34.94)*10.764</f>
        <v>376.09415999999993</v>
      </c>
      <c r="E575" s="39">
        <v>0</v>
      </c>
      <c r="F575" s="39">
        <f>D575*(($F$267)+1)+(IF(E575&lt;101,E575,IF(E575&lt;201,E575/2,IF(E575&lt;=301,E575/3,E575/4))))</f>
        <v>582.94594799999993</v>
      </c>
      <c r="G575" s="97"/>
      <c r="H575" s="98"/>
    </row>
    <row r="576" spans="1:11" s="33" customFormat="1" x14ac:dyDescent="0.35">
      <c r="A576" s="89" t="s">
        <v>272</v>
      </c>
      <c r="B576" s="89"/>
      <c r="C576" s="89"/>
      <c r="D576" s="89"/>
      <c r="E576" s="89"/>
      <c r="F576" s="89"/>
      <c r="G576" s="89"/>
      <c r="H576" s="89"/>
    </row>
    <row r="577" spans="1:8" s="33" customFormat="1" x14ac:dyDescent="0.35">
      <c r="A577" s="39">
        <v>1</v>
      </c>
      <c r="B577" s="39" t="s">
        <v>232</v>
      </c>
      <c r="C577" s="39" t="s">
        <v>208</v>
      </c>
      <c r="D577" s="65">
        <f>(35.5)*10.764</f>
        <v>382.12199999999996</v>
      </c>
      <c r="E577" s="39">
        <v>0</v>
      </c>
      <c r="F577" s="39">
        <f t="shared" ref="F577:F578" si="57">D577*(($F$267)+1)+(IF(E577&lt;101,E577,IF(E577&lt;201,E577/2,IF(E577&lt;=301,E577/3,E577/4))))</f>
        <v>592.28909999999996</v>
      </c>
      <c r="G577" s="93" t="str">
        <f>A576</f>
        <v>4th to 7th Floor</v>
      </c>
      <c r="H577" s="94"/>
    </row>
    <row r="578" spans="1:8" s="33" customFormat="1" x14ac:dyDescent="0.35">
      <c r="A578" s="39">
        <v>2</v>
      </c>
      <c r="B578" s="39" t="s">
        <v>232</v>
      </c>
      <c r="C578" s="39" t="s">
        <v>208</v>
      </c>
      <c r="D578" s="65">
        <f>(34.58)*10.764</f>
        <v>372.21911999999998</v>
      </c>
      <c r="E578" s="39">
        <v>0</v>
      </c>
      <c r="F578" s="39">
        <f t="shared" si="57"/>
        <v>576.93963599999995</v>
      </c>
      <c r="G578" s="95"/>
      <c r="H578" s="96"/>
    </row>
    <row r="579" spans="1:8" s="33" customFormat="1" x14ac:dyDescent="0.35">
      <c r="A579" s="39">
        <f>A578+1</f>
        <v>3</v>
      </c>
      <c r="B579" s="39" t="s">
        <v>232</v>
      </c>
      <c r="C579" s="39" t="s">
        <v>208</v>
      </c>
      <c r="D579" s="65">
        <f>(34.8)*10.764</f>
        <v>374.58719999999994</v>
      </c>
      <c r="E579" s="39">
        <v>0</v>
      </c>
      <c r="F579" s="39">
        <f>D579*(($F$267)+1)+(IF(E579&lt;101,E579,IF(E579&lt;201,E579/2,IF(E579&lt;=301,E579/3,E579/4))))</f>
        <v>580.61015999999995</v>
      </c>
      <c r="G579" s="95"/>
      <c r="H579" s="96"/>
    </row>
    <row r="580" spans="1:8" s="33" customFormat="1" x14ac:dyDescent="0.35">
      <c r="A580" s="39">
        <f>A579+1</f>
        <v>4</v>
      </c>
      <c r="B580" s="39" t="s">
        <v>232</v>
      </c>
      <c r="C580" s="39" t="s">
        <v>264</v>
      </c>
      <c r="D580" s="65">
        <f>(48.67)*10.764</f>
        <v>523.88387999999998</v>
      </c>
      <c r="E580" s="39">
        <v>0</v>
      </c>
      <c r="F580" s="39">
        <f>D580*(($F$267)+1)+(IF(E580&lt;101,E580,IF(E580&lt;201,E580/2,IF(E580&lt;=301,E580/3,E580/4))))</f>
        <v>812.02001399999995</v>
      </c>
      <c r="G580" s="95"/>
      <c r="H580" s="96"/>
    </row>
    <row r="581" spans="1:8" s="33" customFormat="1" x14ac:dyDescent="0.35">
      <c r="A581" s="39">
        <f>A580+1</f>
        <v>5</v>
      </c>
      <c r="B581" s="39" t="s">
        <v>232</v>
      </c>
      <c r="C581" s="39" t="s">
        <v>264</v>
      </c>
      <c r="D581" s="65">
        <f>(48.67)*10.764</f>
        <v>523.88387999999998</v>
      </c>
      <c r="E581" s="39">
        <v>0</v>
      </c>
      <c r="F581" s="39">
        <f>D581*(($F$267)+1)+(IF(E581&lt;101,E581,IF(E581&lt;201,E581/2,IF(E581&lt;=301,E581/3,E581/4))))</f>
        <v>812.02001399999995</v>
      </c>
      <c r="G581" s="95"/>
      <c r="H581" s="96"/>
    </row>
    <row r="582" spans="1:8" s="33" customFormat="1" x14ac:dyDescent="0.35">
      <c r="A582" s="39">
        <f>A581+1</f>
        <v>6</v>
      </c>
      <c r="B582" s="39" t="s">
        <v>232</v>
      </c>
      <c r="C582" s="39" t="s">
        <v>208</v>
      </c>
      <c r="D582" s="65">
        <f>(35.07)*10.764</f>
        <v>377.49347999999998</v>
      </c>
      <c r="E582" s="39">
        <v>0</v>
      </c>
      <c r="F582" s="39">
        <f>D582*(($F$267)+1)+(IF(E582&lt;101,E582,IF(E582&lt;201,E582/2,IF(E582&lt;=301,E582/3,E582/4))))</f>
        <v>585.11489399999994</v>
      </c>
      <c r="G582" s="97"/>
      <c r="H582" s="98"/>
    </row>
    <row r="583" spans="1:8" s="33" customFormat="1" x14ac:dyDescent="0.35">
      <c r="A583" s="89" t="s">
        <v>273</v>
      </c>
      <c r="B583" s="89"/>
      <c r="C583" s="89"/>
      <c r="D583" s="89"/>
      <c r="E583" s="89"/>
      <c r="F583" s="89"/>
      <c r="G583" s="89"/>
      <c r="H583" s="89"/>
    </row>
    <row r="584" spans="1:8" x14ac:dyDescent="0.35">
      <c r="A584" s="39">
        <v>1</v>
      </c>
      <c r="B584" s="93" t="s">
        <v>216</v>
      </c>
      <c r="C584" s="99"/>
      <c r="D584" s="99"/>
      <c r="E584" s="99"/>
      <c r="F584" s="94"/>
      <c r="G584" s="93" t="str">
        <f>A583</f>
        <v>8th Floor For (Part Refuge Area)</v>
      </c>
      <c r="H584" s="94"/>
    </row>
    <row r="585" spans="1:8" ht="15.75" customHeight="1" x14ac:dyDescent="0.35">
      <c r="A585" s="39">
        <v>2</v>
      </c>
      <c r="B585" s="97"/>
      <c r="C585" s="100"/>
      <c r="D585" s="100"/>
      <c r="E585" s="100"/>
      <c r="F585" s="98"/>
      <c r="G585" s="95"/>
      <c r="H585" s="96"/>
    </row>
    <row r="586" spans="1:8" ht="15.75" customHeight="1" x14ac:dyDescent="0.35">
      <c r="A586" s="39">
        <f>A585+1</f>
        <v>3</v>
      </c>
      <c r="B586" s="39" t="s">
        <v>232</v>
      </c>
      <c r="C586" s="39" t="s">
        <v>207</v>
      </c>
      <c r="D586" s="65">
        <f>(40.94)*10.764</f>
        <v>440.67815999999993</v>
      </c>
      <c r="E586" s="39">
        <v>0</v>
      </c>
      <c r="F586" s="39">
        <f>D586*(($F$267)+1)+(IF(E586&lt;101,E586,IF(E586&lt;201,E586/2,IF(E586&lt;=301,E586/3,E586/4))))</f>
        <v>683.0511479999999</v>
      </c>
      <c r="G586" s="95"/>
      <c r="H586" s="96"/>
    </row>
    <row r="587" spans="1:8" x14ac:dyDescent="0.35">
      <c r="A587" s="39">
        <f>A586+1</f>
        <v>4</v>
      </c>
      <c r="B587" s="39" t="s">
        <v>232</v>
      </c>
      <c r="C587" s="39" t="s">
        <v>264</v>
      </c>
      <c r="D587" s="65">
        <f>(48.67)*10.764</f>
        <v>523.88387999999998</v>
      </c>
      <c r="E587" s="39">
        <v>0</v>
      </c>
      <c r="F587" s="39">
        <f>D587*(($F$267)+1)+(IF(E587&lt;101,E587,IF(E587&lt;201,E587/2,IF(E587&lt;=301,E587/3,E587/4))))</f>
        <v>812.02001399999995</v>
      </c>
      <c r="G587" s="95"/>
      <c r="H587" s="96"/>
    </row>
    <row r="588" spans="1:8" x14ac:dyDescent="0.35">
      <c r="A588" s="39">
        <f>A587+1</f>
        <v>5</v>
      </c>
      <c r="B588" s="39" t="s">
        <v>232</v>
      </c>
      <c r="C588" s="39" t="s">
        <v>264</v>
      </c>
      <c r="D588" s="65">
        <f>(48.67)*10.764</f>
        <v>523.88387999999998</v>
      </c>
      <c r="E588" s="39">
        <v>0</v>
      </c>
      <c r="F588" s="39">
        <f>D588*(($F$267)+1)+(IF(E588&lt;101,E588,IF(E588&lt;201,E588/2,IF(E588&lt;=301,E588/3,E588/4))))</f>
        <v>812.02001399999995</v>
      </c>
      <c r="G588" s="95"/>
      <c r="H588" s="96"/>
    </row>
    <row r="589" spans="1:8" x14ac:dyDescent="0.35">
      <c r="A589" s="39">
        <f>A588+1</f>
        <v>6</v>
      </c>
      <c r="B589" s="39" t="s">
        <v>232</v>
      </c>
      <c r="C589" s="39" t="s">
        <v>208</v>
      </c>
      <c r="D589" s="65">
        <f>(34.94)*10.764</f>
        <v>376.09415999999993</v>
      </c>
      <c r="E589" s="39">
        <v>0</v>
      </c>
      <c r="F589" s="39">
        <f>D589*(($F$267)+1)+(IF(E589&lt;101,E589,IF(E589&lt;201,E589/2,IF(E589&lt;=301,E589/3,E589/4))))</f>
        <v>582.94594799999993</v>
      </c>
      <c r="G589" s="97"/>
      <c r="H589" s="98"/>
    </row>
    <row r="590" spans="1:8" x14ac:dyDescent="0.35">
      <c r="A590" s="89" t="s">
        <v>274</v>
      </c>
      <c r="B590" s="89"/>
      <c r="C590" s="89"/>
      <c r="D590" s="89"/>
      <c r="E590" s="89"/>
      <c r="F590" s="89"/>
      <c r="G590" s="89"/>
      <c r="H590" s="89"/>
    </row>
    <row r="591" spans="1:8" ht="15.75" customHeight="1" x14ac:dyDescent="0.35">
      <c r="A591" s="39">
        <v>1</v>
      </c>
      <c r="B591" s="39" t="s">
        <v>232</v>
      </c>
      <c r="C591" s="39" t="s">
        <v>208</v>
      </c>
      <c r="D591" s="65">
        <f>(35.5)*10.764</f>
        <v>382.12199999999996</v>
      </c>
      <c r="E591" s="39">
        <v>0</v>
      </c>
      <c r="F591" s="39">
        <f t="shared" ref="F591:F592" si="58">D591*(($F$267)+1)+(IF(E591&lt;101,E591,IF(E591&lt;201,E591/2,IF(E591&lt;=301,E591/3,E591/4))))</f>
        <v>592.28909999999996</v>
      </c>
      <c r="G591" s="93" t="str">
        <f>A590</f>
        <v>9th to 14th &amp; 16th to 22nd Floor</v>
      </c>
      <c r="H591" s="94"/>
    </row>
    <row r="592" spans="1:8" ht="15.75" customHeight="1" x14ac:dyDescent="0.35">
      <c r="A592" s="39">
        <v>2</v>
      </c>
      <c r="B592" s="39" t="s">
        <v>232</v>
      </c>
      <c r="C592" s="39" t="s">
        <v>208</v>
      </c>
      <c r="D592" s="65">
        <f>(34.58)*10.764</f>
        <v>372.21911999999998</v>
      </c>
      <c r="E592" s="39">
        <v>0</v>
      </c>
      <c r="F592" s="39">
        <f t="shared" si="58"/>
        <v>576.93963599999995</v>
      </c>
      <c r="G592" s="95"/>
      <c r="H592" s="96"/>
    </row>
    <row r="593" spans="1:11" ht="15.75" customHeight="1" x14ac:dyDescent="0.35">
      <c r="A593" s="39">
        <f>A592+1</f>
        <v>3</v>
      </c>
      <c r="B593" s="39" t="s">
        <v>232</v>
      </c>
      <c r="C593" s="39" t="s">
        <v>208</v>
      </c>
      <c r="D593" s="65">
        <f>(34.8)*10.764</f>
        <v>374.58719999999994</v>
      </c>
      <c r="E593" s="39">
        <v>0</v>
      </c>
      <c r="F593" s="39">
        <f>D593*(($F$267)+1)+(IF(E593&lt;101,E593,IF(E593&lt;201,E593/2,IF(E593&lt;=301,E593/3,E593/4))))</f>
        <v>580.61015999999995</v>
      </c>
      <c r="G593" s="95"/>
      <c r="H593" s="96"/>
    </row>
    <row r="594" spans="1:11" ht="15.75" customHeight="1" x14ac:dyDescent="0.35">
      <c r="A594" s="39">
        <f>A593+1</f>
        <v>4</v>
      </c>
      <c r="B594" s="39" t="s">
        <v>232</v>
      </c>
      <c r="C594" s="39" t="s">
        <v>264</v>
      </c>
      <c r="D594" s="65">
        <f>(48.67)*10.764</f>
        <v>523.88387999999998</v>
      </c>
      <c r="E594" s="39">
        <v>0</v>
      </c>
      <c r="F594" s="39">
        <f>D594*(($F$267)+1)+(IF(E594&lt;101,E594,IF(E594&lt;201,E594/2,IF(E594&lt;=301,E594/3,E594/4))))</f>
        <v>812.02001399999995</v>
      </c>
      <c r="G594" s="95"/>
      <c r="H594" s="96"/>
    </row>
    <row r="595" spans="1:11" ht="15.75" customHeight="1" x14ac:dyDescent="0.35">
      <c r="A595" s="39">
        <f>A594+1</f>
        <v>5</v>
      </c>
      <c r="B595" s="39" t="s">
        <v>232</v>
      </c>
      <c r="C595" s="39" t="s">
        <v>264</v>
      </c>
      <c r="D595" s="65">
        <f>(48.67)*10.764</f>
        <v>523.88387999999998</v>
      </c>
      <c r="E595" s="39">
        <v>0</v>
      </c>
      <c r="F595" s="39">
        <f>D595*(($F$267)+1)+(IF(E595&lt;101,E595,IF(E595&lt;201,E595/2,IF(E595&lt;=301,E595/3,E595/4))))</f>
        <v>812.02001399999995</v>
      </c>
      <c r="G595" s="95"/>
      <c r="H595" s="96"/>
    </row>
    <row r="596" spans="1:11" ht="15.75" customHeight="1" x14ac:dyDescent="0.35">
      <c r="A596" s="39">
        <f>A595+1</f>
        <v>6</v>
      </c>
      <c r="B596" s="39" t="s">
        <v>232</v>
      </c>
      <c r="C596" s="39" t="s">
        <v>208</v>
      </c>
      <c r="D596" s="65">
        <f>(35.07)*10.764</f>
        <v>377.49347999999998</v>
      </c>
      <c r="E596" s="39">
        <v>0</v>
      </c>
      <c r="F596" s="39">
        <f>D596*(($F$267)+1)+(IF(E596&lt;101,E596,IF(E596&lt;201,E596/2,IF(E596&lt;=301,E596/3,E596/4))))</f>
        <v>585.11489399999994</v>
      </c>
      <c r="G596" s="97"/>
      <c r="H596" s="98"/>
    </row>
    <row r="597" spans="1:11" ht="15.75" customHeight="1" x14ac:dyDescent="0.35">
      <c r="A597" s="89" t="s">
        <v>275</v>
      </c>
      <c r="B597" s="89"/>
      <c r="C597" s="89"/>
      <c r="D597" s="89"/>
      <c r="E597" s="89"/>
      <c r="F597" s="89"/>
      <c r="G597" s="89"/>
      <c r="H597" s="89"/>
    </row>
    <row r="598" spans="1:11" ht="15.75" customHeight="1" x14ac:dyDescent="0.35">
      <c r="A598" s="39">
        <v>1</v>
      </c>
      <c r="B598" s="93" t="s">
        <v>216</v>
      </c>
      <c r="C598" s="99"/>
      <c r="D598" s="99"/>
      <c r="E598" s="99"/>
      <c r="F598" s="94"/>
      <c r="G598" s="93" t="str">
        <f>A597</f>
        <v>15th Floor For (Part Refuge Area)</v>
      </c>
      <c r="H598" s="94"/>
    </row>
    <row r="599" spans="1:11" ht="15.75" customHeight="1" x14ac:dyDescent="0.35">
      <c r="A599" s="39">
        <v>2</v>
      </c>
      <c r="B599" s="97"/>
      <c r="C599" s="100"/>
      <c r="D599" s="100"/>
      <c r="E599" s="100"/>
      <c r="F599" s="98"/>
      <c r="G599" s="95"/>
      <c r="H599" s="96"/>
    </row>
    <row r="600" spans="1:11" ht="15.75" customHeight="1" x14ac:dyDescent="0.35">
      <c r="A600" s="39">
        <f>A599+1</f>
        <v>3</v>
      </c>
      <c r="B600" s="39" t="s">
        <v>232</v>
      </c>
      <c r="C600" s="39" t="s">
        <v>208</v>
      </c>
      <c r="D600" s="65">
        <f>(34.8)*10.764</f>
        <v>374.58719999999994</v>
      </c>
      <c r="E600" s="39">
        <v>0</v>
      </c>
      <c r="F600" s="39">
        <f>D600*(($F$267)+1)+(IF(E600&lt;101,E600,IF(E600&lt;201,E600/2,IF(E600&lt;=301,E600/3,E600/4))))</f>
        <v>580.61015999999995</v>
      </c>
      <c r="G600" s="95"/>
      <c r="H600" s="96"/>
    </row>
    <row r="601" spans="1:11" ht="15.75" customHeight="1" x14ac:dyDescent="0.35">
      <c r="A601" s="39">
        <f>A600+1</f>
        <v>4</v>
      </c>
      <c r="B601" s="39" t="s">
        <v>232</v>
      </c>
      <c r="C601" s="39" t="s">
        <v>264</v>
      </c>
      <c r="D601" s="65">
        <f>(48.67)*10.764</f>
        <v>523.88387999999998</v>
      </c>
      <c r="E601" s="39">
        <v>0</v>
      </c>
      <c r="F601" s="39">
        <f>D601*(($F$267)+1)+(IF(E601&lt;101,E601,IF(E601&lt;201,E601/2,IF(E601&lt;=301,E601/3,E601/4))))</f>
        <v>812.02001399999995</v>
      </c>
      <c r="G601" s="95"/>
      <c r="H601" s="96"/>
    </row>
    <row r="602" spans="1:11" ht="15.75" customHeight="1" x14ac:dyDescent="0.35">
      <c r="A602" s="39">
        <f>A601+1</f>
        <v>5</v>
      </c>
      <c r="B602" s="39" t="s">
        <v>232</v>
      </c>
      <c r="C602" s="39" t="s">
        <v>264</v>
      </c>
      <c r="D602" s="65">
        <f>(48.68)*10.764</f>
        <v>523.99151999999992</v>
      </c>
      <c r="E602" s="39">
        <v>0</v>
      </c>
      <c r="F602" s="39">
        <f>D602*(($F$267)+1)+(IF(E602&lt;101,E602,IF(E602&lt;201,E602/2,IF(E602&lt;=301,E602/3,E602/4))))</f>
        <v>812.18685599999992</v>
      </c>
      <c r="G602" s="95"/>
      <c r="H602" s="96"/>
    </row>
    <row r="603" spans="1:11" ht="15.75" customHeight="1" x14ac:dyDescent="0.35">
      <c r="A603" s="39">
        <f>A602+1</f>
        <v>6</v>
      </c>
      <c r="B603" s="39" t="s">
        <v>232</v>
      </c>
      <c r="C603" s="39" t="s">
        <v>208</v>
      </c>
      <c r="D603" s="65">
        <f>(34.94)*10.764</f>
        <v>376.09415999999993</v>
      </c>
      <c r="E603" s="39">
        <v>0</v>
      </c>
      <c r="F603" s="39">
        <f>D603*(($F$267)+1)+(IF(E603&lt;101,E603,IF(E603&lt;201,E603/2,IF(E603&lt;=301,E603/3,E603/4))))</f>
        <v>582.94594799999993</v>
      </c>
      <c r="G603" s="97"/>
      <c r="H603" s="98"/>
    </row>
    <row r="604" spans="1:11" s="33" customFormat="1" hidden="1" x14ac:dyDescent="0.35">
      <c r="A604" s="201" t="s">
        <v>266</v>
      </c>
      <c r="B604" s="201"/>
      <c r="C604" s="201"/>
      <c r="D604" s="201"/>
      <c r="E604" s="201"/>
      <c r="F604" s="201"/>
      <c r="G604" s="201"/>
      <c r="H604" s="201"/>
      <c r="I604" s="64"/>
    </row>
    <row r="605" spans="1:11" s="33" customFormat="1" hidden="1" x14ac:dyDescent="0.35">
      <c r="A605" s="39">
        <v>1</v>
      </c>
      <c r="B605" s="39" t="s">
        <v>232</v>
      </c>
      <c r="C605" s="39" t="s">
        <v>208</v>
      </c>
      <c r="D605" s="65">
        <f>(35.5)*10.764</f>
        <v>382.12199999999996</v>
      </c>
      <c r="E605" s="39">
        <v>0</v>
      </c>
      <c r="F605" s="39">
        <f t="shared" ref="F605:F606" si="59">D605*(($F$267)+1)+(IF(E605&lt;101,E605,IF(E605&lt;201,E605/2,IF(E605&lt;=301,E605/3,E605/4))))</f>
        <v>592.28909999999996</v>
      </c>
      <c r="G605" s="93" t="str">
        <f>A604</f>
        <v>1st Floor For Residential &amp; Part Fitness Center Area</v>
      </c>
      <c r="H605" s="94"/>
      <c r="I605" s="64"/>
    </row>
    <row r="606" spans="1:11" s="33" customFormat="1" hidden="1" x14ac:dyDescent="0.35">
      <c r="A606" s="39">
        <v>2</v>
      </c>
      <c r="B606" s="39" t="s">
        <v>232</v>
      </c>
      <c r="C606" s="39" t="s">
        <v>208</v>
      </c>
      <c r="D606" s="65">
        <f>(34.37)*10.764</f>
        <v>369.95867999999996</v>
      </c>
      <c r="E606" s="39">
        <v>0</v>
      </c>
      <c r="F606" s="39">
        <f t="shared" si="59"/>
        <v>573.43595399999992</v>
      </c>
      <c r="G606" s="95"/>
      <c r="H606" s="96"/>
      <c r="I606" s="64"/>
    </row>
    <row r="607" spans="1:11" s="33" customFormat="1" hidden="1" x14ac:dyDescent="0.35">
      <c r="A607" s="39">
        <f>A606+1</f>
        <v>3</v>
      </c>
      <c r="B607" s="39" t="s">
        <v>232</v>
      </c>
      <c r="C607" s="39" t="s">
        <v>208</v>
      </c>
      <c r="D607" s="65">
        <f>(34.8)*10.764</f>
        <v>374.58719999999994</v>
      </c>
      <c r="E607" s="39">
        <v>0</v>
      </c>
      <c r="F607" s="39">
        <f>D607*(($F$267)+1)+(IF(E607&lt;101,E607,IF(E607&lt;201,E607/2,IF(E607&lt;=301,E607/3,E607/4))))</f>
        <v>580.61015999999995</v>
      </c>
      <c r="G607" s="95"/>
      <c r="H607" s="96"/>
      <c r="I607" s="64">
        <f>3.35*3.8+2.35*1.5+1.45*1.3+2.9*2.6+2.9*3.05+1.9*0.55*2+1.8*1.2*2+0.9*1.6+1*0.9</f>
        <v>43.275000000000006</v>
      </c>
      <c r="J607" s="33">
        <f>1.85*1.5</f>
        <v>2.7750000000000004</v>
      </c>
      <c r="K607" s="64">
        <f>I607+J607</f>
        <v>46.050000000000004</v>
      </c>
    </row>
    <row r="608" spans="1:11" s="33" customFormat="1" hidden="1" x14ac:dyDescent="0.35">
      <c r="A608" s="39">
        <f>A607+1</f>
        <v>4</v>
      </c>
      <c r="B608" s="39" t="s">
        <v>232</v>
      </c>
      <c r="C608" s="39" t="s">
        <v>264</v>
      </c>
      <c r="D608" s="65">
        <f>(48.67)*10.764</f>
        <v>523.88387999999998</v>
      </c>
      <c r="E608" s="39">
        <v>0</v>
      </c>
      <c r="F608" s="39">
        <f>D608*(($F$267)+1)+(IF(E608&lt;101,E608,IF(E608&lt;201,E608/2,IF(E608&lt;=301,E608/3,E608/4))))</f>
        <v>812.02001399999995</v>
      </c>
      <c r="G608" s="95"/>
      <c r="H608" s="96"/>
    </row>
    <row r="609" spans="1:8" s="33" customFormat="1" hidden="1" x14ac:dyDescent="0.35">
      <c r="A609" s="39">
        <f>A608+1</f>
        <v>5</v>
      </c>
      <c r="B609" s="39" t="s">
        <v>232</v>
      </c>
      <c r="C609" s="39" t="s">
        <v>264</v>
      </c>
      <c r="D609" s="65">
        <f>(48.67)*10.764</f>
        <v>523.88387999999998</v>
      </c>
      <c r="E609" s="39">
        <v>0</v>
      </c>
      <c r="F609" s="39">
        <f>D609*(($F$267)+1)+(IF(E609&lt;101,E609,IF(E609&lt;201,E609/2,IF(E609&lt;=301,E609/3,E609/4))))</f>
        <v>812.02001399999995</v>
      </c>
      <c r="G609" s="95"/>
      <c r="H609" s="96"/>
    </row>
    <row r="610" spans="1:8" s="33" customFormat="1" hidden="1" x14ac:dyDescent="0.35">
      <c r="A610" s="39">
        <f>A609+1</f>
        <v>6</v>
      </c>
      <c r="B610" s="101" t="s">
        <v>267</v>
      </c>
      <c r="C610" s="102"/>
      <c r="D610" s="102"/>
      <c r="E610" s="102"/>
      <c r="F610" s="103"/>
      <c r="G610" s="97"/>
      <c r="H610" s="98"/>
    </row>
    <row r="611" spans="1:8" ht="15.75" customHeight="1" x14ac:dyDescent="0.35">
      <c r="A611" s="86" t="s">
        <v>265</v>
      </c>
      <c r="B611" s="87"/>
      <c r="C611" s="87"/>
      <c r="D611" s="87"/>
      <c r="E611" s="87"/>
      <c r="F611" s="87"/>
      <c r="G611" s="87"/>
      <c r="H611" s="88"/>
    </row>
    <row r="612" spans="1:8" x14ac:dyDescent="0.35">
      <c r="A612" s="89" t="s">
        <v>307</v>
      </c>
      <c r="B612" s="89"/>
      <c r="C612" s="89"/>
      <c r="D612" s="89"/>
      <c r="E612" s="89"/>
      <c r="F612" s="89"/>
      <c r="G612" s="89"/>
      <c r="H612" s="89"/>
    </row>
    <row r="613" spans="1:8" ht="15.65" customHeight="1" x14ac:dyDescent="0.35">
      <c r="A613" s="39">
        <v>1</v>
      </c>
      <c r="B613" s="93" t="s">
        <v>304</v>
      </c>
      <c r="C613" s="99"/>
      <c r="D613" s="99"/>
      <c r="E613" s="99"/>
      <c r="F613" s="94"/>
      <c r="G613" s="93" t="str">
        <f>A612</f>
        <v>1st Floor For Fitness Center</v>
      </c>
      <c r="H613" s="94"/>
    </row>
    <row r="614" spans="1:8" x14ac:dyDescent="0.35">
      <c r="A614" s="39">
        <v>2</v>
      </c>
      <c r="B614" s="97"/>
      <c r="C614" s="100"/>
      <c r="D614" s="100"/>
      <c r="E614" s="100"/>
      <c r="F614" s="98"/>
      <c r="G614" s="95"/>
      <c r="H614" s="96"/>
    </row>
    <row r="615" spans="1:8" x14ac:dyDescent="0.35">
      <c r="A615" s="89" t="s">
        <v>271</v>
      </c>
      <c r="B615" s="89"/>
      <c r="C615" s="89"/>
      <c r="D615" s="89"/>
      <c r="E615" s="89"/>
      <c r="F615" s="89"/>
      <c r="G615" s="89"/>
      <c r="H615" s="89"/>
    </row>
    <row r="616" spans="1:8" x14ac:dyDescent="0.35">
      <c r="A616" s="39">
        <v>1</v>
      </c>
      <c r="B616" s="39" t="s">
        <v>232</v>
      </c>
      <c r="C616" s="39" t="s">
        <v>208</v>
      </c>
      <c r="D616" s="65">
        <f>(34.43)*10.764</f>
        <v>370.60451999999998</v>
      </c>
      <c r="E616" s="39">
        <v>0</v>
      </c>
      <c r="F616" s="39">
        <f>D616*(($F$267)+1)+(IF(E616&lt;101,E616,IF(E616&lt;201,E616/2,IF(E616&lt;=301,E616/3,E616/4))))</f>
        <v>574.437006</v>
      </c>
      <c r="G616" s="93" t="str">
        <f>A615</f>
        <v>2nd &amp; 3rd Floor</v>
      </c>
      <c r="H616" s="94"/>
    </row>
    <row r="617" spans="1:8" x14ac:dyDescent="0.35">
      <c r="A617" s="39">
        <v>2</v>
      </c>
      <c r="B617" s="39" t="s">
        <v>232</v>
      </c>
      <c r="C617" s="39" t="s">
        <v>264</v>
      </c>
      <c r="D617" s="65">
        <f>(48.25)*10.764</f>
        <v>519.36299999999994</v>
      </c>
      <c r="E617" s="39">
        <v>0</v>
      </c>
      <c r="F617" s="39">
        <f t="shared" ref="F617" si="60">D617*(($F$267)+1)+(IF(E617&lt;101,E617,IF(E617&lt;201,E617/2,IF(E617&lt;=301,E617/3,E617/4))))</f>
        <v>805.01264999999989</v>
      </c>
      <c r="G617" s="95"/>
      <c r="H617" s="96"/>
    </row>
    <row r="618" spans="1:8" ht="15.75" customHeight="1" x14ac:dyDescent="0.35">
      <c r="A618" s="39">
        <f>A617+1</f>
        <v>3</v>
      </c>
      <c r="B618" s="39" t="s">
        <v>232</v>
      </c>
      <c r="C618" s="39" t="s">
        <v>264</v>
      </c>
      <c r="D618" s="65">
        <f>(48.67)*10.764</f>
        <v>523.88387999999998</v>
      </c>
      <c r="E618" s="39">
        <v>0</v>
      </c>
      <c r="F618" s="39">
        <f>D618*(($F$267)+1)+(IF(E618&lt;101,E618,IF(E618&lt;201,E618/2,IF(E618&lt;=301,E618/3,E618/4))))</f>
        <v>812.02001399999995</v>
      </c>
      <c r="G618" s="95"/>
      <c r="H618" s="96"/>
    </row>
    <row r="619" spans="1:8" x14ac:dyDescent="0.35">
      <c r="A619" s="39">
        <f>A618+1</f>
        <v>4</v>
      </c>
      <c r="B619" s="39" t="s">
        <v>232</v>
      </c>
      <c r="C619" s="39" t="s">
        <v>208</v>
      </c>
      <c r="D619" s="65">
        <f>(33.72)*10.764</f>
        <v>362.96207999999996</v>
      </c>
      <c r="E619" s="39">
        <v>0</v>
      </c>
      <c r="F619" s="39">
        <f>D619*(($F$267)+1)+(IF(E619&lt;101,E619,IF(E619&lt;201,E619/2,IF(E619&lt;=301,E619/3,E619/4))))</f>
        <v>562.5912239999999</v>
      </c>
      <c r="G619" s="95"/>
      <c r="H619" s="96"/>
    </row>
    <row r="620" spans="1:8" x14ac:dyDescent="0.35">
      <c r="A620" s="39">
        <f>A619+1</f>
        <v>5</v>
      </c>
      <c r="B620" s="39" t="s">
        <v>232</v>
      </c>
      <c r="C620" s="39" t="s">
        <v>208</v>
      </c>
      <c r="D620" s="65">
        <f>(32.86)*10.764</f>
        <v>353.70504</v>
      </c>
      <c r="E620" s="39">
        <v>0</v>
      </c>
      <c r="F620" s="39">
        <f>D620*(($F$267)+1)+(IF(E620&lt;101,E620,IF(E620&lt;201,E620/2,IF(E620&lt;=301,E620/3,E620/4))))</f>
        <v>548.24281199999996</v>
      </c>
      <c r="G620" s="95"/>
      <c r="H620" s="96"/>
    </row>
    <row r="621" spans="1:8" x14ac:dyDescent="0.35">
      <c r="A621" s="39">
        <f>A620+1</f>
        <v>6</v>
      </c>
      <c r="B621" s="39" t="s">
        <v>232</v>
      </c>
      <c r="C621" s="39" t="s">
        <v>208</v>
      </c>
      <c r="D621" s="65">
        <f>(35.05)*10.764</f>
        <v>377.27819999999997</v>
      </c>
      <c r="E621" s="39">
        <v>0</v>
      </c>
      <c r="F621" s="39">
        <f>D621*(($F$267)+1)+(IF(E621&lt;101,E621,IF(E621&lt;201,E621/2,IF(E621&lt;=301,E621/3,E621/4))))</f>
        <v>584.78120999999999</v>
      </c>
      <c r="G621" s="97"/>
      <c r="H621" s="98"/>
    </row>
    <row r="622" spans="1:8" x14ac:dyDescent="0.35">
      <c r="A622" s="89" t="s">
        <v>272</v>
      </c>
      <c r="B622" s="89"/>
      <c r="C622" s="89"/>
      <c r="D622" s="89"/>
      <c r="E622" s="89"/>
      <c r="F622" s="89"/>
      <c r="G622" s="89"/>
      <c r="H622" s="89"/>
    </row>
    <row r="623" spans="1:8" x14ac:dyDescent="0.35">
      <c r="A623" s="39">
        <v>1</v>
      </c>
      <c r="B623" s="39" t="s">
        <v>232</v>
      </c>
      <c r="C623" s="39" t="s">
        <v>208</v>
      </c>
      <c r="D623" s="65">
        <f>(34.81)*10.764</f>
        <v>374.69484</v>
      </c>
      <c r="E623" s="39">
        <v>0</v>
      </c>
      <c r="F623" s="39">
        <f>D623*(($F$267)+1)+(IF(E623&lt;101,E623,IF(E623&lt;201,E623/2,IF(E623&lt;=301,E623/3,E623/4))))</f>
        <v>580.77700200000004</v>
      </c>
      <c r="G623" s="93" t="str">
        <f>A622</f>
        <v>4th to 7th Floor</v>
      </c>
      <c r="H623" s="94"/>
    </row>
    <row r="624" spans="1:8" x14ac:dyDescent="0.35">
      <c r="A624" s="39">
        <v>2</v>
      </c>
      <c r="B624" s="39" t="s">
        <v>232</v>
      </c>
      <c r="C624" s="39" t="s">
        <v>264</v>
      </c>
      <c r="D624" s="65">
        <f>(48.25)*10.764</f>
        <v>519.36299999999994</v>
      </c>
      <c r="E624" s="39">
        <v>0</v>
      </c>
      <c r="F624" s="39">
        <f t="shared" ref="F624" si="61">D624*(($F$267)+1)+(IF(E624&lt;101,E624,IF(E624&lt;201,E624/2,IF(E624&lt;=301,E624/3,E624/4))))</f>
        <v>805.01264999999989</v>
      </c>
      <c r="G624" s="95"/>
      <c r="H624" s="96"/>
    </row>
    <row r="625" spans="1:8" x14ac:dyDescent="0.35">
      <c r="A625" s="39">
        <f>A624+1</f>
        <v>3</v>
      </c>
      <c r="B625" s="39" t="s">
        <v>232</v>
      </c>
      <c r="C625" s="39" t="s">
        <v>264</v>
      </c>
      <c r="D625" s="65">
        <f>(48.67)*10.764</f>
        <v>523.88387999999998</v>
      </c>
      <c r="E625" s="39">
        <v>0</v>
      </c>
      <c r="F625" s="39">
        <f>D625*(($F$267)+1)+(IF(E625&lt;101,E625,IF(E625&lt;201,E625/2,IF(E625&lt;=301,E625/3,E625/4))))</f>
        <v>812.02001399999995</v>
      </c>
      <c r="G625" s="95"/>
      <c r="H625" s="96"/>
    </row>
    <row r="626" spans="1:8" x14ac:dyDescent="0.35">
      <c r="A626" s="39">
        <f>A625+1</f>
        <v>4</v>
      </c>
      <c r="B626" s="39" t="s">
        <v>232</v>
      </c>
      <c r="C626" s="39" t="s">
        <v>208</v>
      </c>
      <c r="D626" s="65">
        <f>(33.72)*10.764</f>
        <v>362.96207999999996</v>
      </c>
      <c r="E626" s="39">
        <v>0</v>
      </c>
      <c r="F626" s="39">
        <f>D626*(($F$267)+1)+(IF(E626&lt;101,E626,IF(E626&lt;201,E626/2,IF(E626&lt;=301,E626/3,E626/4))))</f>
        <v>562.5912239999999</v>
      </c>
      <c r="G626" s="95"/>
      <c r="H626" s="96"/>
    </row>
    <row r="627" spans="1:8" ht="15.75" customHeight="1" x14ac:dyDescent="0.35">
      <c r="A627" s="39">
        <f>A626+1</f>
        <v>5</v>
      </c>
      <c r="B627" s="39" t="s">
        <v>232</v>
      </c>
      <c r="C627" s="39" t="s">
        <v>208</v>
      </c>
      <c r="D627" s="65">
        <f>(32.86)*10.764</f>
        <v>353.70504</v>
      </c>
      <c r="E627" s="39">
        <v>0</v>
      </c>
      <c r="F627" s="39">
        <f>D627*(($F$267)+1)+(IF(E627&lt;101,E627,IF(E627&lt;201,E627/2,IF(E627&lt;=301,E627/3,E627/4))))</f>
        <v>548.24281199999996</v>
      </c>
      <c r="G627" s="95"/>
      <c r="H627" s="96"/>
    </row>
    <row r="628" spans="1:8" x14ac:dyDescent="0.35">
      <c r="A628" s="39">
        <f>A627+1</f>
        <v>6</v>
      </c>
      <c r="B628" s="39" t="s">
        <v>232</v>
      </c>
      <c r="C628" s="39" t="s">
        <v>208</v>
      </c>
      <c r="D628" s="65">
        <f>(35.05)*10.764</f>
        <v>377.27819999999997</v>
      </c>
      <c r="E628" s="39">
        <v>0</v>
      </c>
      <c r="F628" s="39">
        <f>D628*(($F$267)+1)+(IF(E628&lt;101,E628,IF(E628&lt;201,E628/2,IF(E628&lt;=301,E628/3,E628/4))))</f>
        <v>584.78120999999999</v>
      </c>
      <c r="G628" s="97"/>
      <c r="H628" s="98"/>
    </row>
    <row r="629" spans="1:8" x14ac:dyDescent="0.35">
      <c r="A629" s="89" t="s">
        <v>273</v>
      </c>
      <c r="B629" s="89"/>
      <c r="C629" s="89"/>
      <c r="D629" s="89"/>
      <c r="E629" s="89"/>
      <c r="F629" s="89"/>
      <c r="G629" s="89"/>
      <c r="H629" s="89"/>
    </row>
    <row r="630" spans="1:8" x14ac:dyDescent="0.35">
      <c r="A630" s="39">
        <v>1</v>
      </c>
      <c r="B630" s="39" t="s">
        <v>232</v>
      </c>
      <c r="C630" s="39" t="s">
        <v>208</v>
      </c>
      <c r="D630" s="65">
        <f>(34.81)*10.764</f>
        <v>374.69484</v>
      </c>
      <c r="E630" s="39">
        <v>0</v>
      </c>
      <c r="F630" s="39">
        <f>D630*(($F$267)+1)+(IF(E630&lt;101,E630,IF(E630&lt;201,E630/2,IF(E630&lt;=301,E630/3,E630/4))))</f>
        <v>580.77700200000004</v>
      </c>
      <c r="G630" s="93" t="str">
        <f>A629</f>
        <v>8th Floor For (Part Refuge Area)</v>
      </c>
      <c r="H630" s="94"/>
    </row>
    <row r="631" spans="1:8" x14ac:dyDescent="0.35">
      <c r="A631" s="39">
        <v>2</v>
      </c>
      <c r="B631" s="39" t="s">
        <v>232</v>
      </c>
      <c r="C631" s="39" t="s">
        <v>264</v>
      </c>
      <c r="D631" s="65">
        <f>(48.25)*10.764</f>
        <v>519.36299999999994</v>
      </c>
      <c r="E631" s="39">
        <v>0</v>
      </c>
      <c r="F631" s="39">
        <f t="shared" ref="F631" si="62">D631*(($F$267)+1)+(IF(E631&lt;101,E631,IF(E631&lt;201,E631/2,IF(E631&lt;=301,E631/3,E631/4))))</f>
        <v>805.01264999999989</v>
      </c>
      <c r="G631" s="95"/>
      <c r="H631" s="96"/>
    </row>
    <row r="632" spans="1:8" x14ac:dyDescent="0.35">
      <c r="A632" s="39">
        <f>A631+1</f>
        <v>3</v>
      </c>
      <c r="B632" s="39" t="s">
        <v>232</v>
      </c>
      <c r="C632" s="39" t="s">
        <v>264</v>
      </c>
      <c r="D632" s="65">
        <f>(48.67)*10.764</f>
        <v>523.88387999999998</v>
      </c>
      <c r="E632" s="39">
        <v>0</v>
      </c>
      <c r="F632" s="39">
        <f>D632*(($F$267)+1)+(IF(E632&lt;101,E632,IF(E632&lt;201,E632/2,IF(E632&lt;=301,E632/3,E632/4))))</f>
        <v>812.02001399999995</v>
      </c>
      <c r="G632" s="95"/>
      <c r="H632" s="96"/>
    </row>
    <row r="633" spans="1:8" ht="15.75" customHeight="1" x14ac:dyDescent="0.35">
      <c r="A633" s="39">
        <f>A632+1</f>
        <v>4</v>
      </c>
      <c r="B633" s="93" t="s">
        <v>216</v>
      </c>
      <c r="C633" s="99"/>
      <c r="D633" s="99"/>
      <c r="E633" s="99"/>
      <c r="F633" s="94"/>
      <c r="G633" s="95"/>
      <c r="H633" s="96"/>
    </row>
    <row r="634" spans="1:8" ht="15.75" customHeight="1" x14ac:dyDescent="0.35">
      <c r="A634" s="39">
        <f>A633+1</f>
        <v>5</v>
      </c>
      <c r="B634" s="97"/>
      <c r="C634" s="100"/>
      <c r="D634" s="100"/>
      <c r="E634" s="100"/>
      <c r="F634" s="98"/>
      <c r="G634" s="95"/>
      <c r="H634" s="96"/>
    </row>
    <row r="635" spans="1:8" x14ac:dyDescent="0.35">
      <c r="A635" s="39">
        <f>A634+1</f>
        <v>6</v>
      </c>
      <c r="B635" s="39" t="s">
        <v>232</v>
      </c>
      <c r="C635" s="39" t="s">
        <v>208</v>
      </c>
      <c r="D635" s="65">
        <f>(35.05)*10.764</f>
        <v>377.27819999999997</v>
      </c>
      <c r="E635" s="39">
        <v>0</v>
      </c>
      <c r="F635" s="39">
        <f>D635*(($F$267)+1)+(IF(E635&lt;101,E635,IF(E635&lt;201,E635/2,IF(E635&lt;=301,E635/3,E635/4))))</f>
        <v>584.78120999999999</v>
      </c>
      <c r="G635" s="97"/>
      <c r="H635" s="98"/>
    </row>
    <row r="636" spans="1:8" x14ac:dyDescent="0.35">
      <c r="A636" s="89" t="s">
        <v>274</v>
      </c>
      <c r="B636" s="89"/>
      <c r="C636" s="89"/>
      <c r="D636" s="89"/>
      <c r="E636" s="89"/>
      <c r="F636" s="89"/>
      <c r="G636" s="89"/>
      <c r="H636" s="89"/>
    </row>
    <row r="637" spans="1:8" x14ac:dyDescent="0.35">
      <c r="A637" s="39">
        <v>1</v>
      </c>
      <c r="B637" s="39" t="s">
        <v>232</v>
      </c>
      <c r="C637" s="39" t="s">
        <v>208</v>
      </c>
      <c r="D637" s="65">
        <f>(34.81)*10.764</f>
        <v>374.69484</v>
      </c>
      <c r="E637" s="39">
        <v>0</v>
      </c>
      <c r="F637" s="39">
        <f>D637*(($F$267)+1)+(IF(E637&lt;101,E637,IF(E637&lt;201,E637/2,IF(E637&lt;=301,E637/3,E637/4))))</f>
        <v>580.77700200000004</v>
      </c>
      <c r="G637" s="93" t="str">
        <f>A636</f>
        <v>9th to 14th &amp; 16th to 22nd Floor</v>
      </c>
      <c r="H637" s="94"/>
    </row>
    <row r="638" spans="1:8" x14ac:dyDescent="0.35">
      <c r="A638" s="39">
        <v>2</v>
      </c>
      <c r="B638" s="39" t="s">
        <v>232</v>
      </c>
      <c r="C638" s="39" t="s">
        <v>264</v>
      </c>
      <c r="D638" s="65">
        <f>(48.25)*10.764</f>
        <v>519.36299999999994</v>
      </c>
      <c r="E638" s="39">
        <v>0</v>
      </c>
      <c r="F638" s="39">
        <f t="shared" ref="F638" si="63">D638*(($F$267)+1)+(IF(E638&lt;101,E638,IF(E638&lt;201,E638/2,IF(E638&lt;=301,E638/3,E638/4))))</f>
        <v>805.01264999999989</v>
      </c>
      <c r="G638" s="95"/>
      <c r="H638" s="96"/>
    </row>
    <row r="639" spans="1:8" ht="15.75" customHeight="1" x14ac:dyDescent="0.35">
      <c r="A639" s="39">
        <f>A638+1</f>
        <v>3</v>
      </c>
      <c r="B639" s="39" t="s">
        <v>232</v>
      </c>
      <c r="C639" s="39" t="s">
        <v>264</v>
      </c>
      <c r="D639" s="65">
        <f>(48.67)*10.764</f>
        <v>523.88387999999998</v>
      </c>
      <c r="E639" s="39">
        <v>0</v>
      </c>
      <c r="F639" s="39">
        <f>D639*(($F$267)+1)+(IF(E639&lt;101,E639,IF(E639&lt;201,E639/2,IF(E639&lt;=301,E639/3,E639/4))))</f>
        <v>812.02001399999995</v>
      </c>
      <c r="G639" s="95"/>
      <c r="H639" s="96"/>
    </row>
    <row r="640" spans="1:8" ht="15.75" customHeight="1" x14ac:dyDescent="0.35">
      <c r="A640" s="39">
        <f>A639+1</f>
        <v>4</v>
      </c>
      <c r="B640" s="39" t="s">
        <v>232</v>
      </c>
      <c r="C640" s="39" t="s">
        <v>208</v>
      </c>
      <c r="D640" s="65">
        <f>(33.72)*10.764</f>
        <v>362.96207999999996</v>
      </c>
      <c r="E640" s="39">
        <v>0</v>
      </c>
      <c r="F640" s="39">
        <f>D640*(($F$267)+1)+(IF(E640&lt;101,E640,IF(E640&lt;201,E640/2,IF(E640&lt;=301,E640/3,E640/4))))</f>
        <v>562.5912239999999</v>
      </c>
      <c r="G640" s="95"/>
      <c r="H640" s="96"/>
    </row>
    <row r="641" spans="1:8" ht="15.75" customHeight="1" x14ac:dyDescent="0.35">
      <c r="A641" s="39">
        <f>A640+1</f>
        <v>5</v>
      </c>
      <c r="B641" s="39" t="s">
        <v>232</v>
      </c>
      <c r="C641" s="39" t="s">
        <v>208</v>
      </c>
      <c r="D641" s="65">
        <f>(32.86)*10.764</f>
        <v>353.70504</v>
      </c>
      <c r="E641" s="39">
        <v>0</v>
      </c>
      <c r="F641" s="39">
        <f>D641*(($F$267)+1)+(IF(E641&lt;101,E641,IF(E641&lt;201,E641/2,IF(E641&lt;=301,E641/3,E641/4))))</f>
        <v>548.24281199999996</v>
      </c>
      <c r="G641" s="95"/>
      <c r="H641" s="96"/>
    </row>
    <row r="642" spans="1:8" x14ac:dyDescent="0.35">
      <c r="A642" s="39">
        <f>A641+1</f>
        <v>6</v>
      </c>
      <c r="B642" s="39" t="s">
        <v>232</v>
      </c>
      <c r="C642" s="39" t="s">
        <v>208</v>
      </c>
      <c r="D642" s="65">
        <f>(35.05)*10.764</f>
        <v>377.27819999999997</v>
      </c>
      <c r="E642" s="39">
        <v>0</v>
      </c>
      <c r="F642" s="39">
        <f>D642*(($F$267)+1)+(IF(E642&lt;101,E642,IF(E642&lt;201,E642/2,IF(E642&lt;=301,E642/3,E642/4))))</f>
        <v>584.78120999999999</v>
      </c>
      <c r="G642" s="97"/>
      <c r="H642" s="98"/>
    </row>
    <row r="643" spans="1:8" x14ac:dyDescent="0.35">
      <c r="A643" s="89" t="s">
        <v>275</v>
      </c>
      <c r="B643" s="89"/>
      <c r="C643" s="89"/>
      <c r="D643" s="89"/>
      <c r="E643" s="89"/>
      <c r="F643" s="89"/>
      <c r="G643" s="89"/>
      <c r="H643" s="89"/>
    </row>
    <row r="644" spans="1:8" x14ac:dyDescent="0.35">
      <c r="A644" s="39">
        <v>1</v>
      </c>
      <c r="B644" s="39" t="s">
        <v>232</v>
      </c>
      <c r="C644" s="39" t="s">
        <v>208</v>
      </c>
      <c r="D644" s="65">
        <f>(34.81)*10.764</f>
        <v>374.69484</v>
      </c>
      <c r="E644" s="39">
        <v>0</v>
      </c>
      <c r="F644" s="39">
        <f>D644*(($F$267)+1)+(IF(E644&lt;101,E644,IF(E644&lt;201,E644/2,IF(E644&lt;=301,E644/3,E644/4))))</f>
        <v>580.77700200000004</v>
      </c>
      <c r="G644" s="93" t="str">
        <f>A643</f>
        <v>15th Floor For (Part Refuge Area)</v>
      </c>
      <c r="H644" s="94"/>
    </row>
    <row r="645" spans="1:8" x14ac:dyDescent="0.35">
      <c r="A645" s="39">
        <v>2</v>
      </c>
      <c r="B645" s="39" t="s">
        <v>232</v>
      </c>
      <c r="C645" s="39" t="s">
        <v>264</v>
      </c>
      <c r="D645" s="65">
        <f>(48.25)*10.764</f>
        <v>519.36299999999994</v>
      </c>
      <c r="E645" s="39">
        <v>0</v>
      </c>
      <c r="F645" s="39">
        <f t="shared" ref="F645" si="64">D645*(($F$267)+1)+(IF(E645&lt;101,E645,IF(E645&lt;201,E645/2,IF(E645&lt;=301,E645/3,E645/4))))</f>
        <v>805.01264999999989</v>
      </c>
      <c r="G645" s="95"/>
      <c r="H645" s="96"/>
    </row>
    <row r="646" spans="1:8" x14ac:dyDescent="0.35">
      <c r="A646" s="39">
        <f>A645+1</f>
        <v>3</v>
      </c>
      <c r="B646" s="39" t="s">
        <v>232</v>
      </c>
      <c r="C646" s="39" t="s">
        <v>264</v>
      </c>
      <c r="D646" s="65">
        <f>(48.67)*10.764</f>
        <v>523.88387999999998</v>
      </c>
      <c r="E646" s="39">
        <v>0</v>
      </c>
      <c r="F646" s="39">
        <f>D646*(($F$267)+1)+(IF(E646&lt;101,E646,IF(E646&lt;201,E646/2,IF(E646&lt;=301,E646/3,E646/4))))</f>
        <v>812.02001399999995</v>
      </c>
      <c r="G646" s="95"/>
      <c r="H646" s="96"/>
    </row>
    <row r="647" spans="1:8" x14ac:dyDescent="0.35">
      <c r="A647" s="39">
        <f>A646+1</f>
        <v>4</v>
      </c>
      <c r="B647" s="93" t="s">
        <v>216</v>
      </c>
      <c r="C647" s="99"/>
      <c r="D647" s="99"/>
      <c r="E647" s="99"/>
      <c r="F647" s="94"/>
      <c r="G647" s="95"/>
      <c r="H647" s="96"/>
    </row>
    <row r="648" spans="1:8" ht="15.75" customHeight="1" x14ac:dyDescent="0.35">
      <c r="A648" s="39">
        <f>A647+1</f>
        <v>5</v>
      </c>
      <c r="B648" s="97"/>
      <c r="C648" s="100"/>
      <c r="D648" s="100"/>
      <c r="E648" s="100"/>
      <c r="F648" s="98"/>
      <c r="G648" s="95"/>
      <c r="H648" s="96"/>
    </row>
    <row r="649" spans="1:8" x14ac:dyDescent="0.35">
      <c r="A649" s="39">
        <f>A648+1</f>
        <v>6</v>
      </c>
      <c r="B649" s="39" t="s">
        <v>232</v>
      </c>
      <c r="C649" s="39" t="s">
        <v>208</v>
      </c>
      <c r="D649" s="65">
        <f>(35.05)*10.764</f>
        <v>377.27819999999997</v>
      </c>
      <c r="E649" s="39">
        <v>0</v>
      </c>
      <c r="F649" s="39">
        <f>D649*(($F$267)+1)+(IF(E649&lt;101,E649,IF(E649&lt;201,E649/2,IF(E649&lt;=301,E649/3,E649/4))))</f>
        <v>584.78120999999999</v>
      </c>
      <c r="G649" s="97"/>
      <c r="H649" s="98"/>
    </row>
    <row r="650" spans="1:8" hidden="1" x14ac:dyDescent="0.35">
      <c r="A650" s="201" t="s">
        <v>266</v>
      </c>
      <c r="B650" s="201"/>
      <c r="C650" s="201"/>
      <c r="D650" s="201"/>
      <c r="E650" s="201"/>
      <c r="F650" s="201"/>
      <c r="G650" s="201"/>
      <c r="H650" s="201"/>
    </row>
    <row r="651" spans="1:8" hidden="1" x14ac:dyDescent="0.35">
      <c r="A651" s="39">
        <v>1</v>
      </c>
      <c r="B651" s="101" t="s">
        <v>267</v>
      </c>
      <c r="C651" s="102"/>
      <c r="D651" s="102"/>
      <c r="E651" s="102"/>
      <c r="F651" s="103"/>
      <c r="G651" s="93" t="str">
        <f>A650</f>
        <v>1st Floor For Residential &amp; Part Fitness Center Area</v>
      </c>
      <c r="H651" s="94"/>
    </row>
    <row r="652" spans="1:8" hidden="1" x14ac:dyDescent="0.35">
      <c r="A652" s="39">
        <v>2</v>
      </c>
      <c r="B652" s="39" t="s">
        <v>232</v>
      </c>
      <c r="C652" s="39" t="s">
        <v>264</v>
      </c>
      <c r="D652" s="65">
        <f>(48.25)*10.764</f>
        <v>519.36299999999994</v>
      </c>
      <c r="E652" s="39">
        <v>0</v>
      </c>
      <c r="F652" s="39">
        <f t="shared" ref="F652" si="65">D652*(($F$267)+1)+(IF(E652&lt;101,E652,IF(E652&lt;201,E652/2,IF(E652&lt;=301,E652/3,E652/4))))</f>
        <v>805.01264999999989</v>
      </c>
      <c r="G652" s="95"/>
      <c r="H652" s="96"/>
    </row>
    <row r="653" spans="1:8" hidden="1" x14ac:dyDescent="0.35">
      <c r="A653" s="39">
        <f>A652+1</f>
        <v>3</v>
      </c>
      <c r="B653" s="39" t="s">
        <v>232</v>
      </c>
      <c r="C653" s="39" t="s">
        <v>264</v>
      </c>
      <c r="D653" s="65">
        <f>(48.67)*10.764</f>
        <v>523.88387999999998</v>
      </c>
      <c r="E653" s="39">
        <v>0</v>
      </c>
      <c r="F653" s="39">
        <f>D653*(($F$267)+1)+(IF(E653&lt;101,E653,IF(E653&lt;201,E653/2,IF(E653&lt;=301,E653/3,E653/4))))</f>
        <v>812.02001399999995</v>
      </c>
      <c r="G653" s="95"/>
      <c r="H653" s="96"/>
    </row>
    <row r="654" spans="1:8" hidden="1" x14ac:dyDescent="0.35">
      <c r="A654" s="39">
        <f>A653+1</f>
        <v>4</v>
      </c>
      <c r="B654" s="39" t="s">
        <v>232</v>
      </c>
      <c r="C654" s="39" t="s">
        <v>208</v>
      </c>
      <c r="D654" s="65">
        <f>(33.72)*10.764</f>
        <v>362.96207999999996</v>
      </c>
      <c r="E654" s="39">
        <v>0</v>
      </c>
      <c r="F654" s="39">
        <f>D654*(($F$267)+1)+(IF(E654&lt;101,E654,IF(E654&lt;201,E654/2,IF(E654&lt;=301,E654/3,E654/4))))</f>
        <v>562.5912239999999</v>
      </c>
      <c r="G654" s="95"/>
      <c r="H654" s="96"/>
    </row>
    <row r="655" spans="1:8" ht="15.75" hidden="1" customHeight="1" x14ac:dyDescent="0.35">
      <c r="A655" s="39">
        <f>A654+1</f>
        <v>5</v>
      </c>
      <c r="B655" s="93" t="s">
        <v>267</v>
      </c>
      <c r="C655" s="99"/>
      <c r="D655" s="99"/>
      <c r="E655" s="99"/>
      <c r="F655" s="94"/>
      <c r="G655" s="95"/>
      <c r="H655" s="96"/>
    </row>
    <row r="656" spans="1:8" ht="15" hidden="1" customHeight="1" x14ac:dyDescent="0.35">
      <c r="A656" s="39">
        <f>A655+1</f>
        <v>6</v>
      </c>
      <c r="B656" s="97"/>
      <c r="C656" s="100"/>
      <c r="D656" s="100"/>
      <c r="E656" s="100"/>
      <c r="F656" s="98"/>
      <c r="G656" s="97"/>
      <c r="H656" s="98"/>
    </row>
    <row r="657" spans="1:8" x14ac:dyDescent="0.35">
      <c r="A657" s="86" t="s">
        <v>268</v>
      </c>
      <c r="B657" s="87"/>
      <c r="C657" s="87"/>
      <c r="D657" s="87"/>
      <c r="E657" s="87"/>
      <c r="F657" s="87"/>
      <c r="G657" s="87"/>
      <c r="H657" s="88"/>
    </row>
    <row r="658" spans="1:8" x14ac:dyDescent="0.35">
      <c r="A658" s="89" t="s">
        <v>271</v>
      </c>
      <c r="B658" s="89"/>
      <c r="C658" s="89"/>
      <c r="D658" s="89"/>
      <c r="E658" s="89"/>
      <c r="F658" s="89"/>
      <c r="G658" s="89"/>
      <c r="H658" s="89"/>
    </row>
    <row r="659" spans="1:8" x14ac:dyDescent="0.35">
      <c r="A659" s="39">
        <v>1</v>
      </c>
      <c r="B659" s="39" t="s">
        <v>232</v>
      </c>
      <c r="C659" s="39" t="s">
        <v>208</v>
      </c>
      <c r="D659" s="65">
        <f>(33.14)*10.764</f>
        <v>356.71895999999998</v>
      </c>
      <c r="E659" s="39">
        <v>0</v>
      </c>
      <c r="F659" s="39">
        <f>D659*(($F$267)+1)+(IF(E659&lt;101,E659,IF(E659&lt;201,E659/2,IF(E659&lt;=301,E659/3,E659/4))))</f>
        <v>552.91438800000003</v>
      </c>
      <c r="G659" s="93" t="str">
        <f>A658</f>
        <v>2nd &amp; 3rd Floor</v>
      </c>
      <c r="H659" s="94"/>
    </row>
    <row r="660" spans="1:8" x14ac:dyDescent="0.35">
      <c r="A660" s="39">
        <v>2</v>
      </c>
      <c r="B660" s="39" t="s">
        <v>232</v>
      </c>
      <c r="C660" s="39" t="s">
        <v>208</v>
      </c>
      <c r="D660" s="65">
        <f>(33.68)*10.764</f>
        <v>362.53152</v>
      </c>
      <c r="E660" s="39">
        <v>0</v>
      </c>
      <c r="F660" s="39">
        <f t="shared" ref="F660" si="66">D660*(($F$267)+1)+(IF(E660&lt;101,E660,IF(E660&lt;201,E660/2,IF(E660&lt;=301,E660/3,E660/4))))</f>
        <v>561.923856</v>
      </c>
      <c r="G660" s="95"/>
      <c r="H660" s="96"/>
    </row>
    <row r="661" spans="1:8" x14ac:dyDescent="0.35">
      <c r="A661" s="39">
        <f>A660+1</f>
        <v>3</v>
      </c>
      <c r="B661" s="39" t="s">
        <v>232</v>
      </c>
      <c r="C661" s="39" t="s">
        <v>208</v>
      </c>
      <c r="D661" s="65">
        <f>(33.58)*10.764</f>
        <v>361.45511999999997</v>
      </c>
      <c r="E661" s="39">
        <v>0</v>
      </c>
      <c r="F661" s="39">
        <f>D661*(($F$267)+1)+(IF(E661&lt;101,E661,IF(E661&lt;201,E661/2,IF(E661&lt;=301,E661/3,E661/4))))</f>
        <v>560.25543599999992</v>
      </c>
      <c r="G661" s="95"/>
      <c r="H661" s="96"/>
    </row>
    <row r="662" spans="1:8" x14ac:dyDescent="0.35">
      <c r="A662" s="39">
        <f>A661+1</f>
        <v>4</v>
      </c>
      <c r="B662" s="39" t="s">
        <v>232</v>
      </c>
      <c r="C662" s="39" t="s">
        <v>208</v>
      </c>
      <c r="D662" s="65">
        <f>(33.58)*10.764</f>
        <v>361.45511999999997</v>
      </c>
      <c r="E662" s="39">
        <v>0</v>
      </c>
      <c r="F662" s="39">
        <f>D662*(($F$267)+1)+(IF(E662&lt;101,E662,IF(E662&lt;201,E662/2,IF(E662&lt;=301,E662/3,E662/4))))</f>
        <v>560.25543599999992</v>
      </c>
      <c r="G662" s="97"/>
      <c r="H662" s="98"/>
    </row>
    <row r="663" spans="1:8" x14ac:dyDescent="0.35">
      <c r="A663" s="89" t="s">
        <v>272</v>
      </c>
      <c r="B663" s="89"/>
      <c r="C663" s="89"/>
      <c r="D663" s="89"/>
      <c r="E663" s="89"/>
      <c r="F663" s="89"/>
      <c r="G663" s="89"/>
      <c r="H663" s="89"/>
    </row>
    <row r="664" spans="1:8" x14ac:dyDescent="0.35">
      <c r="A664" s="39">
        <v>1</v>
      </c>
      <c r="B664" s="39" t="s">
        <v>232</v>
      </c>
      <c r="C664" s="39" t="s">
        <v>208</v>
      </c>
      <c r="D664" s="65">
        <f>(33.14)*10.764</f>
        <v>356.71895999999998</v>
      </c>
      <c r="E664" s="39">
        <v>0</v>
      </c>
      <c r="F664" s="39">
        <f>D664*(($F$267)+1)+(IF(E664&lt;101,E664,IF(E664&lt;201,E664/2,IF(E664&lt;=301,E664/3,E664/4))))</f>
        <v>552.91438800000003</v>
      </c>
      <c r="G664" s="93" t="str">
        <f>A663</f>
        <v>4th to 7th Floor</v>
      </c>
      <c r="H664" s="94"/>
    </row>
    <row r="665" spans="1:8" x14ac:dyDescent="0.35">
      <c r="A665" s="39">
        <v>2</v>
      </c>
      <c r="B665" s="39" t="s">
        <v>232</v>
      </c>
      <c r="C665" s="39" t="s">
        <v>208</v>
      </c>
      <c r="D665" s="65">
        <f>(33.68)*10.764</f>
        <v>362.53152</v>
      </c>
      <c r="E665" s="39">
        <v>0</v>
      </c>
      <c r="F665" s="39">
        <f t="shared" ref="F665" si="67">D665*(($F$267)+1)+(IF(E665&lt;101,E665,IF(E665&lt;201,E665/2,IF(E665&lt;=301,E665/3,E665/4))))</f>
        <v>561.923856</v>
      </c>
      <c r="G665" s="95"/>
      <c r="H665" s="96"/>
    </row>
    <row r="666" spans="1:8" ht="15.75" customHeight="1" x14ac:dyDescent="0.35">
      <c r="A666" s="39">
        <f>A665+1</f>
        <v>3</v>
      </c>
      <c r="B666" s="39" t="s">
        <v>232</v>
      </c>
      <c r="C666" s="39" t="s">
        <v>208</v>
      </c>
      <c r="D666" s="65">
        <f>(33.58)*10.764</f>
        <v>361.45511999999997</v>
      </c>
      <c r="E666" s="39">
        <v>0</v>
      </c>
      <c r="F666" s="39">
        <f>D666*(($F$267)+1)+(IF(E666&lt;101,E666,IF(E666&lt;201,E666/2,IF(E666&lt;=301,E666/3,E666/4))))</f>
        <v>560.25543599999992</v>
      </c>
      <c r="G666" s="95"/>
      <c r="H666" s="96"/>
    </row>
    <row r="667" spans="1:8" x14ac:dyDescent="0.35">
      <c r="A667" s="39">
        <f>A666+1</f>
        <v>4</v>
      </c>
      <c r="B667" s="39" t="s">
        <v>232</v>
      </c>
      <c r="C667" s="39" t="s">
        <v>208</v>
      </c>
      <c r="D667" s="65">
        <f>(33.58)*10.764</f>
        <v>361.45511999999997</v>
      </c>
      <c r="E667" s="39">
        <v>0</v>
      </c>
      <c r="F667" s="39">
        <f>D667*(($F$267)+1)+(IF(E667&lt;101,E667,IF(E667&lt;201,E667/2,IF(E667&lt;=301,E667/3,E667/4))))</f>
        <v>560.25543599999992</v>
      </c>
      <c r="G667" s="97"/>
      <c r="H667" s="98"/>
    </row>
    <row r="668" spans="1:8" x14ac:dyDescent="0.35">
      <c r="A668" s="89" t="s">
        <v>273</v>
      </c>
      <c r="B668" s="89"/>
      <c r="C668" s="89"/>
      <c r="D668" s="89"/>
      <c r="E668" s="89"/>
      <c r="F668" s="89"/>
      <c r="G668" s="89"/>
      <c r="H668" s="89"/>
    </row>
    <row r="669" spans="1:8" x14ac:dyDescent="0.35">
      <c r="A669" s="39">
        <v>1</v>
      </c>
      <c r="B669" s="39" t="s">
        <v>232</v>
      </c>
      <c r="C669" s="39" t="s">
        <v>208</v>
      </c>
      <c r="D669" s="65">
        <f>(33.14)*10.764</f>
        <v>356.71895999999998</v>
      </c>
      <c r="E669" s="39">
        <v>0</v>
      </c>
      <c r="F669" s="39">
        <f>D669*(($F$267)+1)+(IF(E669&lt;101,E669,IF(E669&lt;201,E669/2,IF(E669&lt;=301,E669/3,E669/4))))</f>
        <v>552.91438800000003</v>
      </c>
      <c r="G669" s="93" t="str">
        <f>A668</f>
        <v>8th Floor For (Part Refuge Area)</v>
      </c>
      <c r="H669" s="94"/>
    </row>
    <row r="670" spans="1:8" x14ac:dyDescent="0.35">
      <c r="A670" s="39">
        <v>2</v>
      </c>
      <c r="B670" s="39" t="s">
        <v>232</v>
      </c>
      <c r="C670" s="39" t="s">
        <v>208</v>
      </c>
      <c r="D670" s="65">
        <f>(33.68)*10.764</f>
        <v>362.53152</v>
      </c>
      <c r="E670" s="39">
        <v>0</v>
      </c>
      <c r="F670" s="39">
        <f t="shared" ref="F670" si="68">D670*(($F$267)+1)+(IF(E670&lt;101,E670,IF(E670&lt;201,E670/2,IF(E670&lt;=301,E670/3,E670/4))))</f>
        <v>561.923856</v>
      </c>
      <c r="G670" s="95"/>
      <c r="H670" s="96"/>
    </row>
    <row r="671" spans="1:8" ht="15.75" customHeight="1" x14ac:dyDescent="0.35">
      <c r="A671" s="39">
        <f>A670+1</f>
        <v>3</v>
      </c>
      <c r="B671" s="93" t="s">
        <v>216</v>
      </c>
      <c r="C671" s="99"/>
      <c r="D671" s="99"/>
      <c r="E671" s="99"/>
      <c r="F671" s="94"/>
      <c r="G671" s="95"/>
      <c r="H671" s="96"/>
    </row>
    <row r="672" spans="1:8" x14ac:dyDescent="0.35">
      <c r="A672" s="39">
        <f>A671+1</f>
        <v>4</v>
      </c>
      <c r="B672" s="97"/>
      <c r="C672" s="100"/>
      <c r="D672" s="100"/>
      <c r="E672" s="100"/>
      <c r="F672" s="98"/>
      <c r="G672" s="97"/>
      <c r="H672" s="98"/>
    </row>
    <row r="673" spans="1:9" x14ac:dyDescent="0.35">
      <c r="A673" s="89" t="s">
        <v>274</v>
      </c>
      <c r="B673" s="89"/>
      <c r="C673" s="89"/>
      <c r="D673" s="89"/>
      <c r="E673" s="89"/>
      <c r="F673" s="89"/>
      <c r="G673" s="89"/>
      <c r="H673" s="89"/>
    </row>
    <row r="674" spans="1:9" x14ac:dyDescent="0.35">
      <c r="A674" s="39">
        <v>1</v>
      </c>
      <c r="B674" s="39" t="s">
        <v>232</v>
      </c>
      <c r="C674" s="39" t="s">
        <v>208</v>
      </c>
      <c r="D674" s="65">
        <f>(33.14)*10.764</f>
        <v>356.71895999999998</v>
      </c>
      <c r="E674" s="39">
        <v>0</v>
      </c>
      <c r="F674" s="39">
        <f>D674*(($F$267)+1)+(IF(E674&lt;101,E674,IF(E674&lt;201,E674/2,IF(E674&lt;=301,E674/3,E674/4))))</f>
        <v>552.91438800000003</v>
      </c>
      <c r="G674" s="93" t="str">
        <f>A673</f>
        <v>9th to 14th &amp; 16th to 22nd Floor</v>
      </c>
      <c r="H674" s="94"/>
    </row>
    <row r="675" spans="1:9" ht="15.75" customHeight="1" x14ac:dyDescent="0.35">
      <c r="A675" s="39">
        <v>2</v>
      </c>
      <c r="B675" s="39" t="s">
        <v>232</v>
      </c>
      <c r="C675" s="39" t="s">
        <v>208</v>
      </c>
      <c r="D675" s="65">
        <f>(33.68)*10.764</f>
        <v>362.53152</v>
      </c>
      <c r="E675" s="39">
        <v>0</v>
      </c>
      <c r="F675" s="39">
        <f t="shared" ref="F675" si="69">D675*(($F$267)+1)+(IF(E675&lt;101,E675,IF(E675&lt;201,E675/2,IF(E675&lt;=301,E675/3,E675/4))))</f>
        <v>561.923856</v>
      </c>
      <c r="G675" s="95"/>
      <c r="H675" s="96"/>
    </row>
    <row r="676" spans="1:9" ht="15.75" customHeight="1" x14ac:dyDescent="0.35">
      <c r="A676" s="39">
        <f>A675+1</f>
        <v>3</v>
      </c>
      <c r="B676" s="39" t="s">
        <v>232</v>
      </c>
      <c r="C676" s="39" t="s">
        <v>208</v>
      </c>
      <c r="D676" s="65">
        <f>(33.58)*10.764</f>
        <v>361.45511999999997</v>
      </c>
      <c r="E676" s="39">
        <v>0</v>
      </c>
      <c r="F676" s="39">
        <f>D676*(($F$267)+1)+(IF(E676&lt;101,E676,IF(E676&lt;201,E676/2,IF(E676&lt;=301,E676/3,E676/4))))</f>
        <v>560.25543599999992</v>
      </c>
      <c r="G676" s="95"/>
      <c r="H676" s="96"/>
    </row>
    <row r="677" spans="1:9" ht="15.75" customHeight="1" x14ac:dyDescent="0.35">
      <c r="A677" s="39">
        <f>A676+1</f>
        <v>4</v>
      </c>
      <c r="B677" s="39" t="s">
        <v>232</v>
      </c>
      <c r="C677" s="39" t="s">
        <v>208</v>
      </c>
      <c r="D677" s="65">
        <f>(33.58)*10.764</f>
        <v>361.45511999999997</v>
      </c>
      <c r="E677" s="39">
        <v>0</v>
      </c>
      <c r="F677" s="39">
        <f>D677*(($F$267)+1)+(IF(E677&lt;101,E677,IF(E677&lt;201,E677/2,IF(E677&lt;=301,E677/3,E677/4))))</f>
        <v>560.25543599999992</v>
      </c>
      <c r="G677" s="97"/>
      <c r="H677" s="98"/>
    </row>
    <row r="678" spans="1:9" x14ac:dyDescent="0.35">
      <c r="A678" s="89" t="s">
        <v>275</v>
      </c>
      <c r="B678" s="89"/>
      <c r="C678" s="89"/>
      <c r="D678" s="89"/>
      <c r="E678" s="89"/>
      <c r="F678" s="89"/>
      <c r="G678" s="89"/>
      <c r="H678" s="89"/>
    </row>
    <row r="679" spans="1:9" x14ac:dyDescent="0.35">
      <c r="A679" s="39">
        <v>1</v>
      </c>
      <c r="B679" s="39" t="s">
        <v>232</v>
      </c>
      <c r="C679" s="39" t="s">
        <v>208</v>
      </c>
      <c r="D679" s="65">
        <f>(33.14)*10.764</f>
        <v>356.71895999999998</v>
      </c>
      <c r="E679" s="39">
        <v>0</v>
      </c>
      <c r="F679" s="39">
        <f>D679*(($F$267)+1)+(IF(E679&lt;101,E679,IF(E679&lt;201,E679/2,IF(E679&lt;=301,E679/3,E679/4))))</f>
        <v>552.91438800000003</v>
      </c>
      <c r="G679" s="93" t="str">
        <f>A678</f>
        <v>15th Floor For (Part Refuge Area)</v>
      </c>
      <c r="H679" s="94"/>
    </row>
    <row r="680" spans="1:9" x14ac:dyDescent="0.35">
      <c r="A680" s="39">
        <v>2</v>
      </c>
      <c r="B680" s="39" t="s">
        <v>232</v>
      </c>
      <c r="C680" s="39" t="s">
        <v>208</v>
      </c>
      <c r="D680" s="65">
        <f>(33.68)*10.764</f>
        <v>362.53152</v>
      </c>
      <c r="E680" s="39">
        <v>0</v>
      </c>
      <c r="F680" s="39">
        <f t="shared" ref="F680" si="70">D680*(($F$267)+1)+(IF(E680&lt;101,E680,IF(E680&lt;201,E680/2,IF(E680&lt;=301,E680/3,E680/4))))</f>
        <v>561.923856</v>
      </c>
      <c r="G680" s="95"/>
      <c r="H680" s="96"/>
    </row>
    <row r="681" spans="1:9" x14ac:dyDescent="0.35">
      <c r="A681" s="39">
        <f>A680+1</f>
        <v>3</v>
      </c>
      <c r="B681" s="93" t="s">
        <v>216</v>
      </c>
      <c r="C681" s="99"/>
      <c r="D681" s="99"/>
      <c r="E681" s="99"/>
      <c r="F681" s="94"/>
      <c r="G681" s="95"/>
      <c r="H681" s="96"/>
    </row>
    <row r="682" spans="1:9" x14ac:dyDescent="0.35">
      <c r="A682" s="39">
        <f>A681+1</f>
        <v>4</v>
      </c>
      <c r="B682" s="97"/>
      <c r="C682" s="100"/>
      <c r="D682" s="100"/>
      <c r="E682" s="100"/>
      <c r="F682" s="98"/>
      <c r="G682" s="97"/>
      <c r="H682" s="98"/>
      <c r="I682" s="52" t="s">
        <v>247</v>
      </c>
    </row>
    <row r="683" spans="1:9" x14ac:dyDescent="0.35">
      <c r="A683" s="86" t="s">
        <v>269</v>
      </c>
      <c r="B683" s="87"/>
      <c r="C683" s="87"/>
      <c r="D683" s="87"/>
      <c r="E683" s="87"/>
      <c r="F683" s="87"/>
      <c r="G683" s="87"/>
      <c r="H683" s="88"/>
    </row>
    <row r="684" spans="1:9" x14ac:dyDescent="0.35">
      <c r="A684" s="89" t="s">
        <v>305</v>
      </c>
      <c r="B684" s="89"/>
      <c r="C684" s="89"/>
      <c r="D684" s="89"/>
      <c r="E684" s="89"/>
      <c r="F684" s="89"/>
      <c r="G684" s="89"/>
      <c r="H684" s="89"/>
    </row>
    <row r="685" spans="1:9" ht="15.65" customHeight="1" x14ac:dyDescent="0.35">
      <c r="A685" s="39">
        <v>1</v>
      </c>
      <c r="B685" s="110" t="s">
        <v>267</v>
      </c>
      <c r="C685" s="110"/>
      <c r="D685" s="110"/>
      <c r="E685" s="110"/>
      <c r="F685" s="110"/>
      <c r="G685" s="93" t="str">
        <f>A684</f>
        <v>1st Floor for Fitness Center &amp; Society Office</v>
      </c>
      <c r="H685" s="94"/>
    </row>
    <row r="686" spans="1:9" x14ac:dyDescent="0.35">
      <c r="A686" s="39">
        <v>2</v>
      </c>
      <c r="B686" s="110" t="s">
        <v>306</v>
      </c>
      <c r="C686" s="110"/>
      <c r="D686" s="110"/>
      <c r="E686" s="110"/>
      <c r="F686" s="110"/>
      <c r="G686" s="95"/>
      <c r="H686" s="96"/>
    </row>
    <row r="687" spans="1:9" x14ac:dyDescent="0.35">
      <c r="A687" s="39">
        <f>A686+1</f>
        <v>3</v>
      </c>
      <c r="B687" s="110" t="s">
        <v>267</v>
      </c>
      <c r="C687" s="110"/>
      <c r="D687" s="110"/>
      <c r="E687" s="110"/>
      <c r="F687" s="110"/>
      <c r="G687" s="95"/>
      <c r="H687" s="96"/>
    </row>
    <row r="688" spans="1:9" x14ac:dyDescent="0.35">
      <c r="A688" s="89" t="s">
        <v>271</v>
      </c>
      <c r="B688" s="89"/>
      <c r="C688" s="89"/>
      <c r="D688" s="89"/>
      <c r="E688" s="89"/>
      <c r="F688" s="89"/>
      <c r="G688" s="89"/>
      <c r="H688" s="89"/>
    </row>
    <row r="689" spans="1:8" x14ac:dyDescent="0.35">
      <c r="A689" s="39">
        <v>1</v>
      </c>
      <c r="B689" s="39" t="s">
        <v>232</v>
      </c>
      <c r="C689" s="39" t="s">
        <v>208</v>
      </c>
      <c r="D689" s="65">
        <f>(35.05)*10.764</f>
        <v>377.27819999999997</v>
      </c>
      <c r="E689" s="39">
        <v>0</v>
      </c>
      <c r="F689" s="39">
        <f t="shared" ref="F689:F694" si="71">D689*(($F$267)+1)+(IF(E689&lt;101,E689,IF(E689&lt;201,E689/2,IF(E689&lt;=301,E689/3,E689/4))))</f>
        <v>584.78120999999999</v>
      </c>
      <c r="G689" s="93" t="str">
        <f>A688</f>
        <v>2nd &amp; 3rd Floor</v>
      </c>
      <c r="H689" s="94"/>
    </row>
    <row r="690" spans="1:8" x14ac:dyDescent="0.35">
      <c r="A690" s="39">
        <v>2</v>
      </c>
      <c r="B690" s="39" t="s">
        <v>232</v>
      </c>
      <c r="C690" s="39" t="s">
        <v>208</v>
      </c>
      <c r="D690" s="65">
        <f>(32.86)*10.764</f>
        <v>353.70504</v>
      </c>
      <c r="E690" s="39">
        <v>0</v>
      </c>
      <c r="F690" s="39">
        <f t="shared" si="71"/>
        <v>548.24281199999996</v>
      </c>
      <c r="G690" s="95"/>
      <c r="H690" s="96"/>
    </row>
    <row r="691" spans="1:8" x14ac:dyDescent="0.35">
      <c r="A691" s="39">
        <f>A690+1</f>
        <v>3</v>
      </c>
      <c r="B691" s="39" t="s">
        <v>232</v>
      </c>
      <c r="C691" s="39" t="s">
        <v>208</v>
      </c>
      <c r="D691" s="65">
        <f>(33.72)*10.764</f>
        <v>362.96207999999996</v>
      </c>
      <c r="E691" s="39">
        <v>0</v>
      </c>
      <c r="F691" s="39">
        <f t="shared" si="71"/>
        <v>562.5912239999999</v>
      </c>
      <c r="G691" s="95"/>
      <c r="H691" s="96"/>
    </row>
    <row r="692" spans="1:8" ht="15.75" customHeight="1" x14ac:dyDescent="0.35">
      <c r="A692" s="39">
        <f>A691+1</f>
        <v>4</v>
      </c>
      <c r="B692" s="39" t="s">
        <v>232</v>
      </c>
      <c r="C692" s="39" t="s">
        <v>208</v>
      </c>
      <c r="D692" s="65">
        <f>(32.5)*10.764</f>
        <v>349.83</v>
      </c>
      <c r="E692" s="39">
        <v>0</v>
      </c>
      <c r="F692" s="39">
        <f t="shared" si="71"/>
        <v>542.23649999999998</v>
      </c>
      <c r="G692" s="95"/>
      <c r="H692" s="96"/>
    </row>
    <row r="693" spans="1:8" x14ac:dyDescent="0.35">
      <c r="A693" s="39">
        <f>A692+1</f>
        <v>5</v>
      </c>
      <c r="B693" s="39" t="s">
        <v>232</v>
      </c>
      <c r="C693" s="39" t="s">
        <v>208</v>
      </c>
      <c r="D693" s="65">
        <f>(33.4)*10.764</f>
        <v>359.51759999999996</v>
      </c>
      <c r="E693" s="39">
        <v>0</v>
      </c>
      <c r="F693" s="39">
        <f t="shared" si="71"/>
        <v>557.25227999999993</v>
      </c>
      <c r="G693" s="95"/>
      <c r="H693" s="96"/>
    </row>
    <row r="694" spans="1:8" x14ac:dyDescent="0.35">
      <c r="A694" s="39">
        <f>A693+1</f>
        <v>6</v>
      </c>
      <c r="B694" s="39" t="s">
        <v>232</v>
      </c>
      <c r="C694" s="39" t="s">
        <v>208</v>
      </c>
      <c r="D694" s="65">
        <f>(34.43)*10.764</f>
        <v>370.60451999999998</v>
      </c>
      <c r="E694" s="39">
        <v>0</v>
      </c>
      <c r="F694" s="39">
        <f t="shared" si="71"/>
        <v>574.437006</v>
      </c>
      <c r="G694" s="97"/>
      <c r="H694" s="98"/>
    </row>
    <row r="695" spans="1:8" x14ac:dyDescent="0.35">
      <c r="A695" s="89" t="s">
        <v>272</v>
      </c>
      <c r="B695" s="89"/>
      <c r="C695" s="89"/>
      <c r="D695" s="89"/>
      <c r="E695" s="89"/>
      <c r="F695" s="89"/>
      <c r="G695" s="89"/>
      <c r="H695" s="89"/>
    </row>
    <row r="696" spans="1:8" x14ac:dyDescent="0.35">
      <c r="A696" s="39">
        <v>1</v>
      </c>
      <c r="B696" s="39" t="s">
        <v>232</v>
      </c>
      <c r="C696" s="39" t="s">
        <v>208</v>
      </c>
      <c r="D696" s="65">
        <f>(35.05)*10.764</f>
        <v>377.27819999999997</v>
      </c>
      <c r="E696" s="39">
        <v>0</v>
      </c>
      <c r="F696" s="39">
        <f t="shared" ref="F696:F701" si="72">D696*(($F$267)+1)+(IF(E696&lt;101,E696,IF(E696&lt;201,E696/2,IF(E696&lt;=301,E696/3,E696/4))))</f>
        <v>584.78120999999999</v>
      </c>
      <c r="G696" s="93" t="str">
        <f>A695</f>
        <v>4th to 7th Floor</v>
      </c>
      <c r="H696" s="94"/>
    </row>
    <row r="697" spans="1:8" x14ac:dyDescent="0.35">
      <c r="A697" s="39">
        <v>2</v>
      </c>
      <c r="B697" s="39" t="s">
        <v>232</v>
      </c>
      <c r="C697" s="39" t="s">
        <v>208</v>
      </c>
      <c r="D697" s="65">
        <f>(32.86)*10.764</f>
        <v>353.70504</v>
      </c>
      <c r="E697" s="39">
        <v>0</v>
      </c>
      <c r="F697" s="39">
        <f t="shared" si="72"/>
        <v>548.24281199999996</v>
      </c>
      <c r="G697" s="95"/>
      <c r="H697" s="96"/>
    </row>
    <row r="698" spans="1:8" x14ac:dyDescent="0.35">
      <c r="A698" s="39">
        <f>A697+1</f>
        <v>3</v>
      </c>
      <c r="B698" s="39" t="s">
        <v>232</v>
      </c>
      <c r="C698" s="39" t="s">
        <v>208</v>
      </c>
      <c r="D698" s="65">
        <f>(33.72)*10.764</f>
        <v>362.96207999999996</v>
      </c>
      <c r="E698" s="39">
        <v>0</v>
      </c>
      <c r="F698" s="39">
        <f t="shared" si="72"/>
        <v>562.5912239999999</v>
      </c>
      <c r="G698" s="95"/>
      <c r="H698" s="96"/>
    </row>
    <row r="699" spans="1:8" x14ac:dyDescent="0.35">
      <c r="A699" s="39">
        <f>A698+1</f>
        <v>4</v>
      </c>
      <c r="B699" s="39" t="s">
        <v>232</v>
      </c>
      <c r="C699" s="39" t="s">
        <v>208</v>
      </c>
      <c r="D699" s="65">
        <f>(32.79)*10.764</f>
        <v>352.95155999999997</v>
      </c>
      <c r="E699" s="39">
        <v>0</v>
      </c>
      <c r="F699" s="39">
        <f t="shared" si="72"/>
        <v>547.07491800000003</v>
      </c>
      <c r="G699" s="95"/>
      <c r="H699" s="96"/>
    </row>
    <row r="700" spans="1:8" ht="15.75" customHeight="1" x14ac:dyDescent="0.35">
      <c r="A700" s="39">
        <f>A699+1</f>
        <v>5</v>
      </c>
      <c r="B700" s="39" t="s">
        <v>232</v>
      </c>
      <c r="C700" s="39" t="s">
        <v>208</v>
      </c>
      <c r="D700" s="65">
        <f>(33.4)*10.764</f>
        <v>359.51759999999996</v>
      </c>
      <c r="E700" s="39">
        <v>0</v>
      </c>
      <c r="F700" s="39">
        <f t="shared" si="72"/>
        <v>557.25227999999993</v>
      </c>
      <c r="G700" s="95"/>
      <c r="H700" s="96"/>
    </row>
    <row r="701" spans="1:8" x14ac:dyDescent="0.35">
      <c r="A701" s="39">
        <f>A700+1</f>
        <v>6</v>
      </c>
      <c r="B701" s="39" t="s">
        <v>232</v>
      </c>
      <c r="C701" s="39" t="s">
        <v>208</v>
      </c>
      <c r="D701" s="65">
        <f>(34.81)*10.764</f>
        <v>374.69484</v>
      </c>
      <c r="E701" s="39">
        <v>0</v>
      </c>
      <c r="F701" s="39">
        <f t="shared" si="72"/>
        <v>580.77700200000004</v>
      </c>
      <c r="G701" s="97"/>
      <c r="H701" s="98"/>
    </row>
    <row r="702" spans="1:8" x14ac:dyDescent="0.35">
      <c r="A702" s="89" t="s">
        <v>273</v>
      </c>
      <c r="B702" s="89"/>
      <c r="C702" s="89"/>
      <c r="D702" s="89"/>
      <c r="E702" s="89"/>
      <c r="F702" s="89"/>
      <c r="G702" s="89"/>
      <c r="H702" s="89"/>
    </row>
    <row r="703" spans="1:8" x14ac:dyDescent="0.35">
      <c r="A703" s="39">
        <v>1</v>
      </c>
      <c r="B703" s="39" t="s">
        <v>232</v>
      </c>
      <c r="C703" s="39" t="s">
        <v>208</v>
      </c>
      <c r="D703" s="65">
        <f>(35.05)*10.764</f>
        <v>377.27819999999997</v>
      </c>
      <c r="E703" s="39">
        <v>0</v>
      </c>
      <c r="F703" s="39">
        <f>D703*(($F$267)+1)+(IF(E703&lt;101,E703,IF(E703&lt;201,E703/2,IF(E703&lt;=301,E703/3,E703/4))))</f>
        <v>584.78120999999999</v>
      </c>
      <c r="G703" s="93" t="str">
        <f>A702</f>
        <v>8th Floor For (Part Refuge Area)</v>
      </c>
      <c r="H703" s="94"/>
    </row>
    <row r="704" spans="1:8" x14ac:dyDescent="0.35">
      <c r="A704" s="39">
        <v>2</v>
      </c>
      <c r="B704" s="101" t="s">
        <v>216</v>
      </c>
      <c r="C704" s="102"/>
      <c r="D704" s="102"/>
      <c r="E704" s="102"/>
      <c r="F704" s="103"/>
      <c r="G704" s="95"/>
      <c r="H704" s="96"/>
    </row>
    <row r="705" spans="1:8" x14ac:dyDescent="0.35">
      <c r="A705" s="39">
        <f>A704+1</f>
        <v>3</v>
      </c>
      <c r="B705" s="39" t="s">
        <v>232</v>
      </c>
      <c r="C705" s="39" t="s">
        <v>207</v>
      </c>
      <c r="D705" s="65">
        <f>(39.38)*10.764</f>
        <v>423.88632000000001</v>
      </c>
      <c r="E705" s="39">
        <v>0</v>
      </c>
      <c r="F705" s="39">
        <f>D705*(($F$267)+1)+(IF(E705&lt;101,E705,IF(E705&lt;201,E705/2,IF(E705&lt;=301,E705/3,E705/4))))</f>
        <v>657.02379600000006</v>
      </c>
      <c r="G705" s="95"/>
      <c r="H705" s="96"/>
    </row>
    <row r="706" spans="1:8" x14ac:dyDescent="0.35">
      <c r="A706" s="39">
        <f>A705+1</f>
        <v>4</v>
      </c>
      <c r="B706" s="39" t="s">
        <v>232</v>
      </c>
      <c r="C706" s="39" t="s">
        <v>208</v>
      </c>
      <c r="D706" s="65">
        <f>(32.79)*10.764</f>
        <v>352.95155999999997</v>
      </c>
      <c r="E706" s="39">
        <v>0</v>
      </c>
      <c r="F706" s="39">
        <f>D706*(($F$267)+1)+(IF(E706&lt;101,E706,IF(E706&lt;201,E706/2,IF(E706&lt;=301,E706/3,E706/4))))</f>
        <v>547.07491800000003</v>
      </c>
      <c r="G706" s="95"/>
      <c r="H706" s="96"/>
    </row>
    <row r="707" spans="1:8" ht="15.75" customHeight="1" x14ac:dyDescent="0.35">
      <c r="A707" s="39">
        <f>A706+1</f>
        <v>5</v>
      </c>
      <c r="B707" s="39" t="s">
        <v>232</v>
      </c>
      <c r="C707" s="39" t="s">
        <v>208</v>
      </c>
      <c r="D707" s="65">
        <f>(33.4)*10.764</f>
        <v>359.51759999999996</v>
      </c>
      <c r="E707" s="39">
        <v>0</v>
      </c>
      <c r="F707" s="39">
        <f>D707*(($F$267)+1)+(IF(E707&lt;101,E707,IF(E707&lt;201,E707/2,IF(E707&lt;=301,E707/3,E707/4))))</f>
        <v>557.25227999999993</v>
      </c>
      <c r="G707" s="95"/>
      <c r="H707" s="96"/>
    </row>
    <row r="708" spans="1:8" x14ac:dyDescent="0.35">
      <c r="A708" s="39">
        <f>A707+1</f>
        <v>6</v>
      </c>
      <c r="B708" s="39" t="s">
        <v>232</v>
      </c>
      <c r="C708" s="39" t="s">
        <v>208</v>
      </c>
      <c r="D708" s="65">
        <f>(34.81)*10.764</f>
        <v>374.69484</v>
      </c>
      <c r="E708" s="39">
        <v>0</v>
      </c>
      <c r="F708" s="39">
        <f>D708*(($F$267)+1)+(IF(E708&lt;101,E708,IF(E708&lt;201,E708/2,IF(E708&lt;=301,E708/3,E708/4))))</f>
        <v>580.77700200000004</v>
      </c>
      <c r="G708" s="97"/>
      <c r="H708" s="98"/>
    </row>
    <row r="709" spans="1:8" ht="15.75" customHeight="1" x14ac:dyDescent="0.35">
      <c r="A709" s="89" t="s">
        <v>274</v>
      </c>
      <c r="B709" s="89"/>
      <c r="C709" s="89"/>
      <c r="D709" s="89"/>
      <c r="E709" s="89"/>
      <c r="F709" s="89"/>
      <c r="G709" s="89"/>
      <c r="H709" s="89"/>
    </row>
    <row r="710" spans="1:8" ht="15.75" customHeight="1" x14ac:dyDescent="0.35">
      <c r="A710" s="39">
        <v>1</v>
      </c>
      <c r="B710" s="39" t="s">
        <v>232</v>
      </c>
      <c r="C710" s="39" t="s">
        <v>208</v>
      </c>
      <c r="D710" s="65">
        <f>(35.05)*10.764</f>
        <v>377.27819999999997</v>
      </c>
      <c r="E710" s="39">
        <v>0</v>
      </c>
      <c r="F710" s="39">
        <f t="shared" ref="F710:F715" si="73">D710*(($F$267)+1)+(IF(E710&lt;101,E710,IF(E710&lt;201,E710/2,IF(E710&lt;=301,E710/3,E710/4))))</f>
        <v>584.78120999999999</v>
      </c>
      <c r="G710" s="93" t="str">
        <f>A709</f>
        <v>9th to 14th &amp; 16th to 22nd Floor</v>
      </c>
      <c r="H710" s="94"/>
    </row>
    <row r="711" spans="1:8" x14ac:dyDescent="0.35">
      <c r="A711" s="39">
        <v>2</v>
      </c>
      <c r="B711" s="39" t="s">
        <v>232</v>
      </c>
      <c r="C711" s="39" t="s">
        <v>208</v>
      </c>
      <c r="D711" s="65">
        <f>(32.86)*10.764</f>
        <v>353.70504</v>
      </c>
      <c r="E711" s="39">
        <v>0</v>
      </c>
      <c r="F711" s="39">
        <f t="shared" si="73"/>
        <v>548.24281199999996</v>
      </c>
      <c r="G711" s="95"/>
      <c r="H711" s="96"/>
    </row>
    <row r="712" spans="1:8" x14ac:dyDescent="0.35">
      <c r="A712" s="39">
        <f>A711+1</f>
        <v>3</v>
      </c>
      <c r="B712" s="39" t="s">
        <v>232</v>
      </c>
      <c r="C712" s="39" t="s">
        <v>208</v>
      </c>
      <c r="D712" s="65">
        <f>(33.72)*10.764</f>
        <v>362.96207999999996</v>
      </c>
      <c r="E712" s="39">
        <v>0</v>
      </c>
      <c r="F712" s="39">
        <f t="shared" si="73"/>
        <v>562.5912239999999</v>
      </c>
      <c r="G712" s="95"/>
      <c r="H712" s="96"/>
    </row>
    <row r="713" spans="1:8" x14ac:dyDescent="0.35">
      <c r="A713" s="39">
        <f>A712+1</f>
        <v>4</v>
      </c>
      <c r="B713" s="39" t="s">
        <v>232</v>
      </c>
      <c r="C713" s="39" t="s">
        <v>208</v>
      </c>
      <c r="D713" s="65">
        <f>(32.79)*10.764</f>
        <v>352.95155999999997</v>
      </c>
      <c r="E713" s="39">
        <v>0</v>
      </c>
      <c r="F713" s="39">
        <f t="shared" si="73"/>
        <v>547.07491800000003</v>
      </c>
      <c r="G713" s="95"/>
      <c r="H713" s="96"/>
    </row>
    <row r="714" spans="1:8" x14ac:dyDescent="0.35">
      <c r="A714" s="39">
        <f>A713+1</f>
        <v>5</v>
      </c>
      <c r="B714" s="39" t="s">
        <v>232</v>
      </c>
      <c r="C714" s="39" t="s">
        <v>208</v>
      </c>
      <c r="D714" s="65">
        <f>(33.4)*10.764</f>
        <v>359.51759999999996</v>
      </c>
      <c r="E714" s="39">
        <v>0</v>
      </c>
      <c r="F714" s="39">
        <f t="shared" si="73"/>
        <v>557.25227999999993</v>
      </c>
      <c r="G714" s="95"/>
      <c r="H714" s="96"/>
    </row>
    <row r="715" spans="1:8" x14ac:dyDescent="0.35">
      <c r="A715" s="39">
        <f>A714+1</f>
        <v>6</v>
      </c>
      <c r="B715" s="39" t="s">
        <v>232</v>
      </c>
      <c r="C715" s="39" t="s">
        <v>208</v>
      </c>
      <c r="D715" s="65">
        <f>(34.81)*10.764</f>
        <v>374.69484</v>
      </c>
      <c r="E715" s="39">
        <v>0</v>
      </c>
      <c r="F715" s="39">
        <f t="shared" si="73"/>
        <v>580.77700200000004</v>
      </c>
      <c r="G715" s="97"/>
      <c r="H715" s="98"/>
    </row>
    <row r="716" spans="1:8" x14ac:dyDescent="0.35">
      <c r="A716" s="89" t="s">
        <v>275</v>
      </c>
      <c r="B716" s="89"/>
      <c r="C716" s="89"/>
      <c r="D716" s="89"/>
      <c r="E716" s="89"/>
      <c r="F716" s="89"/>
      <c r="G716" s="89"/>
      <c r="H716" s="89"/>
    </row>
    <row r="717" spans="1:8" x14ac:dyDescent="0.35">
      <c r="A717" s="39">
        <v>1</v>
      </c>
      <c r="B717" s="39" t="s">
        <v>232</v>
      </c>
      <c r="C717" s="39" t="s">
        <v>208</v>
      </c>
      <c r="D717" s="65">
        <f>(35.05)*10.764</f>
        <v>377.27819999999997</v>
      </c>
      <c r="E717" s="39">
        <v>0</v>
      </c>
      <c r="F717" s="39">
        <f>D717*(($F$267)+1)+(IF(E717&lt;101,E717,IF(E717&lt;201,E717/2,IF(E717&lt;=301,E717/3,E717/4))))</f>
        <v>584.78120999999999</v>
      </c>
      <c r="G717" s="93" t="str">
        <f>A716</f>
        <v>15th Floor For (Part Refuge Area)</v>
      </c>
      <c r="H717" s="94"/>
    </row>
    <row r="718" spans="1:8" x14ac:dyDescent="0.35">
      <c r="A718" s="39">
        <v>2</v>
      </c>
      <c r="B718" s="101" t="s">
        <v>216</v>
      </c>
      <c r="C718" s="102"/>
      <c r="D718" s="102"/>
      <c r="E718" s="102"/>
      <c r="F718" s="103"/>
      <c r="G718" s="95"/>
      <c r="H718" s="96"/>
    </row>
    <row r="719" spans="1:8" x14ac:dyDescent="0.35">
      <c r="A719" s="39">
        <f>A718+1</f>
        <v>3</v>
      </c>
      <c r="B719" s="39" t="s">
        <v>232</v>
      </c>
      <c r="C719" s="39" t="s">
        <v>207</v>
      </c>
      <c r="D719" s="65">
        <f>(39.38)*10.764</f>
        <v>423.88632000000001</v>
      </c>
      <c r="E719" s="39">
        <v>0</v>
      </c>
      <c r="F719" s="39">
        <f>D719*(($F$267)+1)+(IF(E719&lt;101,E719,IF(E719&lt;201,E719/2,IF(E719&lt;=301,E719/3,E719/4))))</f>
        <v>657.02379600000006</v>
      </c>
      <c r="G719" s="95"/>
      <c r="H719" s="96"/>
    </row>
    <row r="720" spans="1:8" x14ac:dyDescent="0.35">
      <c r="A720" s="39">
        <f>A719+1</f>
        <v>4</v>
      </c>
      <c r="B720" s="39" t="s">
        <v>232</v>
      </c>
      <c r="C720" s="39" t="s">
        <v>208</v>
      </c>
      <c r="D720" s="65">
        <f>(32.79)*10.764</f>
        <v>352.95155999999997</v>
      </c>
      <c r="E720" s="39">
        <v>0</v>
      </c>
      <c r="F720" s="39">
        <f>D720*(($F$267)+1)+(IF(E720&lt;101,E720,IF(E720&lt;201,E720/2,IF(E720&lt;=301,E720/3,E720/4))))</f>
        <v>547.07491800000003</v>
      </c>
      <c r="G720" s="95"/>
      <c r="H720" s="96"/>
    </row>
    <row r="721" spans="1:8" x14ac:dyDescent="0.35">
      <c r="A721" s="39">
        <f>A720+1</f>
        <v>5</v>
      </c>
      <c r="B721" s="39" t="s">
        <v>232</v>
      </c>
      <c r="C721" s="39" t="s">
        <v>208</v>
      </c>
      <c r="D721" s="65">
        <f>(33.4)*10.764</f>
        <v>359.51759999999996</v>
      </c>
      <c r="E721" s="39">
        <v>0</v>
      </c>
      <c r="F721" s="39">
        <f>D721*(($F$267)+1)+(IF(E721&lt;101,E721,IF(E721&lt;201,E721/2,IF(E721&lt;=301,E721/3,E721/4))))</f>
        <v>557.25227999999993</v>
      </c>
      <c r="G721" s="95"/>
      <c r="H721" s="96"/>
    </row>
    <row r="722" spans="1:8" x14ac:dyDescent="0.35">
      <c r="A722" s="39">
        <f>A721+1</f>
        <v>6</v>
      </c>
      <c r="B722" s="39" t="s">
        <v>232</v>
      </c>
      <c r="C722" s="39" t="s">
        <v>208</v>
      </c>
      <c r="D722" s="65">
        <f>(34.81)*10.764</f>
        <v>374.69484</v>
      </c>
      <c r="E722" s="39">
        <v>0</v>
      </c>
      <c r="F722" s="39">
        <f>D722*(($F$267)+1)+(IF(E722&lt;101,E722,IF(E722&lt;201,E722/2,IF(E722&lt;=301,E722/3,E722/4))))</f>
        <v>580.77700200000004</v>
      </c>
      <c r="G722" s="97"/>
      <c r="H722" s="98"/>
    </row>
    <row r="723" spans="1:8" ht="18" hidden="1" customHeight="1" x14ac:dyDescent="0.35">
      <c r="A723" s="201" t="s">
        <v>266</v>
      </c>
      <c r="B723" s="201"/>
      <c r="C723" s="201"/>
      <c r="D723" s="201"/>
      <c r="E723" s="201"/>
      <c r="F723" s="201"/>
      <c r="G723" s="201"/>
      <c r="H723" s="201"/>
    </row>
    <row r="724" spans="1:8" hidden="1" x14ac:dyDescent="0.35">
      <c r="A724" s="39">
        <v>1</v>
      </c>
      <c r="B724" s="93" t="s">
        <v>267</v>
      </c>
      <c r="C724" s="99"/>
      <c r="D724" s="99"/>
      <c r="E724" s="99"/>
      <c r="F724" s="94"/>
      <c r="G724" s="93" t="str">
        <f>A723</f>
        <v>1st Floor For Residential &amp; Part Fitness Center Area</v>
      </c>
      <c r="H724" s="94"/>
    </row>
    <row r="725" spans="1:8" hidden="1" x14ac:dyDescent="0.35">
      <c r="A725" s="39">
        <v>2</v>
      </c>
      <c r="B725" s="97"/>
      <c r="C725" s="100"/>
      <c r="D725" s="100"/>
      <c r="E725" s="100"/>
      <c r="F725" s="98"/>
      <c r="G725" s="95"/>
      <c r="H725" s="96"/>
    </row>
    <row r="726" spans="1:8" hidden="1" x14ac:dyDescent="0.35">
      <c r="A726" s="39">
        <f>A725+1</f>
        <v>3</v>
      </c>
      <c r="B726" s="39" t="s">
        <v>232</v>
      </c>
      <c r="C726" s="39" t="s">
        <v>208</v>
      </c>
      <c r="D726" s="65">
        <f>(33.72)*10.764</f>
        <v>362.96207999999996</v>
      </c>
      <c r="E726" s="39">
        <v>0</v>
      </c>
      <c r="F726" s="39">
        <f>D726*(($F$267)+1)+(IF(E726&lt;101,E726,IF(E726&lt;201,E726/2,IF(E726&lt;=301,E726/3,E726/4))))</f>
        <v>562.5912239999999</v>
      </c>
      <c r="G726" s="95"/>
      <c r="H726" s="96"/>
    </row>
    <row r="727" spans="1:8" hidden="1" x14ac:dyDescent="0.35">
      <c r="A727" s="39">
        <f>A726+1</f>
        <v>4</v>
      </c>
      <c r="B727" s="39" t="s">
        <v>232</v>
      </c>
      <c r="C727" s="39" t="s">
        <v>208</v>
      </c>
      <c r="D727" s="65">
        <f>(32.5)*10.764</f>
        <v>349.83</v>
      </c>
      <c r="E727" s="39">
        <v>0</v>
      </c>
      <c r="F727" s="39">
        <f>D727*(($F$267)+1)+(IF(E727&lt;101,E727,IF(E727&lt;201,E727/2,IF(E727&lt;=301,E727/3,E727/4))))</f>
        <v>542.23649999999998</v>
      </c>
      <c r="G727" s="95"/>
      <c r="H727" s="96"/>
    </row>
    <row r="728" spans="1:8" hidden="1" x14ac:dyDescent="0.35">
      <c r="A728" s="39">
        <f>A727+1</f>
        <v>5</v>
      </c>
      <c r="B728" s="39" t="s">
        <v>232</v>
      </c>
      <c r="C728" s="39" t="s">
        <v>208</v>
      </c>
      <c r="D728" s="65">
        <f>(33.4)*10.764</f>
        <v>359.51759999999996</v>
      </c>
      <c r="E728" s="39">
        <v>0</v>
      </c>
      <c r="F728" s="39">
        <f>D728*(($F$267)+1)+(IF(E728&lt;101,E728,IF(E728&lt;201,E728/2,IF(E728&lt;=301,E728/3,E728/4))))</f>
        <v>557.25227999999993</v>
      </c>
      <c r="G728" s="95"/>
      <c r="H728" s="96"/>
    </row>
    <row r="729" spans="1:8" hidden="1" x14ac:dyDescent="0.35">
      <c r="A729" s="39">
        <f>A728+1</f>
        <v>6</v>
      </c>
      <c r="B729" s="101" t="s">
        <v>267</v>
      </c>
      <c r="C729" s="102"/>
      <c r="D729" s="102"/>
      <c r="E729" s="102"/>
      <c r="F729" s="103"/>
      <c r="G729" s="97"/>
      <c r="H729" s="98"/>
    </row>
    <row r="730" spans="1:8" x14ac:dyDescent="0.35">
      <c r="A730" s="86" t="s">
        <v>270</v>
      </c>
      <c r="B730" s="87"/>
      <c r="C730" s="87"/>
      <c r="D730" s="87"/>
      <c r="E730" s="87"/>
      <c r="F730" s="87"/>
      <c r="G730" s="87"/>
      <c r="H730" s="88"/>
    </row>
    <row r="731" spans="1:8" x14ac:dyDescent="0.35">
      <c r="A731" s="89" t="s">
        <v>300</v>
      </c>
      <c r="B731" s="89"/>
      <c r="C731" s="89"/>
      <c r="D731" s="89"/>
      <c r="E731" s="89"/>
      <c r="F731" s="89"/>
      <c r="G731" s="89"/>
      <c r="H731" s="89"/>
    </row>
    <row r="732" spans="1:8" x14ac:dyDescent="0.35">
      <c r="A732" s="89" t="s">
        <v>309</v>
      </c>
      <c r="B732" s="89"/>
      <c r="C732" s="89"/>
      <c r="D732" s="89"/>
      <c r="E732" s="89"/>
      <c r="F732" s="89"/>
      <c r="G732" s="89"/>
      <c r="H732" s="89"/>
    </row>
    <row r="733" spans="1:8" x14ac:dyDescent="0.35">
      <c r="A733" s="39">
        <v>1</v>
      </c>
      <c r="B733" s="39" t="s">
        <v>233</v>
      </c>
      <c r="C733" s="39" t="s">
        <v>208</v>
      </c>
      <c r="D733" s="65">
        <f>(33.34)*10.764</f>
        <v>358.87175999999999</v>
      </c>
      <c r="E733" s="39">
        <v>0</v>
      </c>
      <c r="F733" s="39">
        <f t="shared" ref="F733:F734" si="74">D733*(($F$267)+1)+(IF(E733&lt;101,E733,IF(E733&lt;201,E733/2,IF(E733&lt;=301,E733/3,E733/4))))</f>
        <v>556.25122799999997</v>
      </c>
      <c r="G733" s="93" t="str">
        <f>A732</f>
        <v>1st Floor For Residential &amp; Fitness Center (Mhada Flat)</v>
      </c>
      <c r="H733" s="94"/>
    </row>
    <row r="734" spans="1:8" x14ac:dyDescent="0.35">
      <c r="A734" s="39">
        <v>2</v>
      </c>
      <c r="B734" s="39" t="s">
        <v>233</v>
      </c>
      <c r="C734" s="39" t="s">
        <v>208</v>
      </c>
      <c r="D734" s="65">
        <f>(33.08)*10.764</f>
        <v>356.07311999999996</v>
      </c>
      <c r="E734" s="39">
        <v>0</v>
      </c>
      <c r="F734" s="39">
        <f t="shared" si="74"/>
        <v>551.91333599999996</v>
      </c>
      <c r="G734" s="95"/>
      <c r="H734" s="96"/>
    </row>
    <row r="735" spans="1:8" x14ac:dyDescent="0.35">
      <c r="A735" s="39">
        <f>A734+1</f>
        <v>3</v>
      </c>
      <c r="B735" s="39" t="s">
        <v>233</v>
      </c>
      <c r="C735" s="39" t="s">
        <v>208</v>
      </c>
      <c r="D735" s="65">
        <f>(34.8)*10.764</f>
        <v>374.58719999999994</v>
      </c>
      <c r="E735" s="39">
        <v>0</v>
      </c>
      <c r="F735" s="39">
        <f>D735*(($F$267)+1)+(IF(E735&lt;101,E735,IF(E735&lt;201,E735/2,IF(E735&lt;=301,E735/3,E735/4))))</f>
        <v>580.61015999999995</v>
      </c>
      <c r="G735" s="95"/>
      <c r="H735" s="96"/>
    </row>
    <row r="736" spans="1:8" x14ac:dyDescent="0.35">
      <c r="A736" s="39">
        <f>A735+1</f>
        <v>4</v>
      </c>
      <c r="B736" s="39" t="s">
        <v>233</v>
      </c>
      <c r="C736" s="39" t="s">
        <v>208</v>
      </c>
      <c r="D736" s="65">
        <f>(34.58)*10.764</f>
        <v>372.21911999999998</v>
      </c>
      <c r="E736" s="39">
        <v>0</v>
      </c>
      <c r="F736" s="39">
        <f>D736*(($F$267)+1)+(IF(E736&lt;101,E736,IF(E736&lt;201,E736/2,IF(E736&lt;=301,E736/3,E736/4))))</f>
        <v>576.93963599999995</v>
      </c>
      <c r="G736" s="95"/>
      <c r="H736" s="96"/>
    </row>
    <row r="737" spans="1:8" ht="15.75" customHeight="1" x14ac:dyDescent="0.35">
      <c r="A737" s="39">
        <f>A736+1</f>
        <v>5</v>
      </c>
      <c r="B737" s="101" t="s">
        <v>267</v>
      </c>
      <c r="C737" s="102"/>
      <c r="D737" s="102"/>
      <c r="E737" s="102"/>
      <c r="F737" s="103"/>
      <c r="G737" s="95"/>
      <c r="H737" s="96"/>
    </row>
    <row r="738" spans="1:8" x14ac:dyDescent="0.35">
      <c r="A738" s="39">
        <f>A737+1</f>
        <v>6</v>
      </c>
      <c r="B738" s="101" t="s">
        <v>267</v>
      </c>
      <c r="C738" s="102"/>
      <c r="D738" s="102"/>
      <c r="E738" s="102"/>
      <c r="F738" s="103"/>
      <c r="G738" s="97"/>
      <c r="H738" s="98"/>
    </row>
    <row r="739" spans="1:8" x14ac:dyDescent="0.35">
      <c r="A739" s="89" t="s">
        <v>271</v>
      </c>
      <c r="B739" s="89"/>
      <c r="C739" s="89"/>
      <c r="D739" s="89"/>
      <c r="E739" s="89"/>
      <c r="F739" s="89"/>
      <c r="G739" s="89"/>
      <c r="H739" s="89"/>
    </row>
    <row r="740" spans="1:8" x14ac:dyDescent="0.35">
      <c r="A740" s="39">
        <v>1</v>
      </c>
      <c r="B740" s="39" t="s">
        <v>233</v>
      </c>
      <c r="C740" s="39" t="s">
        <v>208</v>
      </c>
      <c r="D740" s="65">
        <f>(33.34)*10.764</f>
        <v>358.87175999999999</v>
      </c>
      <c r="E740" s="39">
        <v>0</v>
      </c>
      <c r="F740" s="39">
        <f t="shared" ref="F740:F741" si="75">D740*(($F$267)+1)+(IF(E740&lt;101,E740,IF(E740&lt;201,E740/2,IF(E740&lt;=301,E740/3,E740/4))))</f>
        <v>556.25122799999997</v>
      </c>
      <c r="G740" s="93" t="str">
        <f>A739</f>
        <v>2nd &amp; 3rd Floor</v>
      </c>
      <c r="H740" s="94"/>
    </row>
    <row r="741" spans="1:8" x14ac:dyDescent="0.35">
      <c r="A741" s="39">
        <v>2</v>
      </c>
      <c r="B741" s="39" t="s">
        <v>233</v>
      </c>
      <c r="C741" s="39" t="s">
        <v>208</v>
      </c>
      <c r="D741" s="65">
        <f>(33.08)*10.764</f>
        <v>356.07311999999996</v>
      </c>
      <c r="E741" s="39">
        <v>0</v>
      </c>
      <c r="F741" s="39">
        <f t="shared" si="75"/>
        <v>551.91333599999996</v>
      </c>
      <c r="G741" s="95"/>
      <c r="H741" s="96"/>
    </row>
    <row r="742" spans="1:8" x14ac:dyDescent="0.35">
      <c r="A742" s="39">
        <f>A741+1</f>
        <v>3</v>
      </c>
      <c r="B742" s="39" t="s">
        <v>233</v>
      </c>
      <c r="C742" s="39" t="s">
        <v>208</v>
      </c>
      <c r="D742" s="65">
        <f>(34.8)*10.764</f>
        <v>374.58719999999994</v>
      </c>
      <c r="E742" s="39">
        <v>0</v>
      </c>
      <c r="F742" s="39">
        <f>D742*(($F$267)+1)+(IF(E742&lt;101,E742,IF(E742&lt;201,E742/2,IF(E742&lt;=301,E742/3,E742/4))))</f>
        <v>580.61015999999995</v>
      </c>
      <c r="G742" s="95"/>
      <c r="H742" s="96"/>
    </row>
    <row r="743" spans="1:8" x14ac:dyDescent="0.35">
      <c r="A743" s="39">
        <f>A742+1</f>
        <v>4</v>
      </c>
      <c r="B743" s="39" t="s">
        <v>233</v>
      </c>
      <c r="C743" s="39" t="s">
        <v>208</v>
      </c>
      <c r="D743" s="65">
        <f>(34.58)*10.764</f>
        <v>372.21911999999998</v>
      </c>
      <c r="E743" s="39">
        <v>0</v>
      </c>
      <c r="F743" s="39">
        <f>D743*(($F$267)+1)+(IF(E743&lt;101,E743,IF(E743&lt;201,E743/2,IF(E743&lt;=301,E743/3,E743/4))))</f>
        <v>576.93963599999995</v>
      </c>
      <c r="G743" s="95"/>
      <c r="H743" s="96"/>
    </row>
    <row r="744" spans="1:8" x14ac:dyDescent="0.35">
      <c r="A744" s="39">
        <f>A743+1</f>
        <v>5</v>
      </c>
      <c r="B744" s="39" t="s">
        <v>235</v>
      </c>
      <c r="C744" s="39" t="s">
        <v>208</v>
      </c>
      <c r="D744" s="65">
        <f>(35.49)*10.764</f>
        <v>382.01436000000001</v>
      </c>
      <c r="E744" s="39">
        <v>0</v>
      </c>
      <c r="F744" s="39">
        <f>D744*(($F$267)+1)+(IF(E744&lt;101,E744,IF(E744&lt;201,E744/2,IF(E744&lt;=301,E744/3,E744/4))))</f>
        <v>592.12225799999999</v>
      </c>
      <c r="G744" s="95"/>
      <c r="H744" s="96"/>
    </row>
    <row r="745" spans="1:8" x14ac:dyDescent="0.35">
      <c r="A745" s="39">
        <f>A744+1</f>
        <v>6</v>
      </c>
      <c r="B745" s="39" t="s">
        <v>235</v>
      </c>
      <c r="C745" s="39" t="s">
        <v>208</v>
      </c>
      <c r="D745" s="65">
        <f>(34.95)*10.764</f>
        <v>376.20179999999999</v>
      </c>
      <c r="E745" s="39">
        <v>0</v>
      </c>
      <c r="F745" s="39">
        <f>D745*(($F$267)+1)+(IF(E745&lt;101,E745,IF(E745&lt;201,E745/2,IF(E745&lt;=301,E745/3,E745/4))))</f>
        <v>583.11279000000002</v>
      </c>
      <c r="G745" s="97"/>
      <c r="H745" s="98"/>
    </row>
    <row r="746" spans="1:8" x14ac:dyDescent="0.35">
      <c r="A746" s="89" t="s">
        <v>272</v>
      </c>
      <c r="B746" s="89"/>
      <c r="C746" s="89"/>
      <c r="D746" s="89"/>
      <c r="E746" s="89"/>
      <c r="F746" s="89"/>
      <c r="G746" s="89"/>
      <c r="H746" s="89"/>
    </row>
    <row r="747" spans="1:8" x14ac:dyDescent="0.35">
      <c r="A747" s="39">
        <v>1</v>
      </c>
      <c r="B747" s="39" t="s">
        <v>233</v>
      </c>
      <c r="C747" s="39" t="s">
        <v>208</v>
      </c>
      <c r="D747" s="65">
        <f>(33.34)*10.764</f>
        <v>358.87175999999999</v>
      </c>
      <c r="E747" s="39">
        <v>0</v>
      </c>
      <c r="F747" s="39">
        <f t="shared" ref="F747:F748" si="76">D747*(($F$267)+1)+(IF(E747&lt;101,E747,IF(E747&lt;201,E747/2,IF(E747&lt;=301,E747/3,E747/4))))</f>
        <v>556.25122799999997</v>
      </c>
      <c r="G747" s="93" t="str">
        <f>A746</f>
        <v>4th to 7th Floor</v>
      </c>
      <c r="H747" s="94"/>
    </row>
    <row r="748" spans="1:8" x14ac:dyDescent="0.35">
      <c r="A748" s="39">
        <v>2</v>
      </c>
      <c r="B748" s="39" t="s">
        <v>233</v>
      </c>
      <c r="C748" s="39" t="s">
        <v>208</v>
      </c>
      <c r="D748" s="65">
        <f>(33.08)*10.764</f>
        <v>356.07311999999996</v>
      </c>
      <c r="E748" s="39">
        <v>0</v>
      </c>
      <c r="F748" s="39">
        <f t="shared" si="76"/>
        <v>551.91333599999996</v>
      </c>
      <c r="G748" s="95"/>
      <c r="H748" s="96"/>
    </row>
    <row r="749" spans="1:8" x14ac:dyDescent="0.35">
      <c r="A749" s="39">
        <f>A748+1</f>
        <v>3</v>
      </c>
      <c r="B749" s="39" t="s">
        <v>233</v>
      </c>
      <c r="C749" s="39" t="s">
        <v>208</v>
      </c>
      <c r="D749" s="65">
        <f>(34.8)*10.764</f>
        <v>374.58719999999994</v>
      </c>
      <c r="E749" s="39">
        <v>0</v>
      </c>
      <c r="F749" s="39">
        <f>D749*(($F$267)+1)+(IF(E749&lt;101,E749,IF(E749&lt;201,E749/2,IF(E749&lt;=301,E749/3,E749/4))))</f>
        <v>580.61015999999995</v>
      </c>
      <c r="G749" s="95"/>
      <c r="H749" s="96"/>
    </row>
    <row r="750" spans="1:8" x14ac:dyDescent="0.35">
      <c r="A750" s="39">
        <f>A749+1</f>
        <v>4</v>
      </c>
      <c r="B750" s="39" t="s">
        <v>233</v>
      </c>
      <c r="C750" s="39" t="s">
        <v>208</v>
      </c>
      <c r="D750" s="65">
        <f>(34.58)*10.764</f>
        <v>372.21911999999998</v>
      </c>
      <c r="E750" s="39">
        <v>0</v>
      </c>
      <c r="F750" s="39">
        <f>D750*(($F$267)+1)+(IF(E750&lt;101,E750,IF(E750&lt;201,E750/2,IF(E750&lt;=301,E750/3,E750/4))))</f>
        <v>576.93963599999995</v>
      </c>
      <c r="G750" s="95"/>
      <c r="H750" s="96"/>
    </row>
    <row r="751" spans="1:8" ht="15.75" customHeight="1" x14ac:dyDescent="0.35">
      <c r="A751" s="39">
        <f>A750+1</f>
        <v>5</v>
      </c>
      <c r="B751" s="39" t="s">
        <v>235</v>
      </c>
      <c r="C751" s="39" t="s">
        <v>208</v>
      </c>
      <c r="D751" s="65">
        <f>(35.49)*10.764</f>
        <v>382.01436000000001</v>
      </c>
      <c r="E751" s="39">
        <v>0</v>
      </c>
      <c r="F751" s="39">
        <f>D751*(($F$267)+1)+(IF(E751&lt;101,E751,IF(E751&lt;201,E751/2,IF(E751&lt;=301,E751/3,E751/4))))</f>
        <v>592.12225799999999</v>
      </c>
      <c r="G751" s="95"/>
      <c r="H751" s="96"/>
    </row>
    <row r="752" spans="1:8" x14ac:dyDescent="0.35">
      <c r="A752" s="39">
        <f>A751+1</f>
        <v>6</v>
      </c>
      <c r="B752" s="39" t="s">
        <v>235</v>
      </c>
      <c r="C752" s="39" t="s">
        <v>208</v>
      </c>
      <c r="D752" s="65">
        <f>(35.19)*10.764</f>
        <v>378.78515999999996</v>
      </c>
      <c r="E752" s="39">
        <v>0</v>
      </c>
      <c r="F752" s="39">
        <f>D752*(($F$267)+1)+(IF(E752&lt;101,E752,IF(E752&lt;201,E752/2,IF(E752&lt;=301,E752/3,E752/4))))</f>
        <v>587.11699799999997</v>
      </c>
      <c r="G752" s="97"/>
      <c r="H752" s="98"/>
    </row>
    <row r="753" spans="1:8" x14ac:dyDescent="0.35">
      <c r="A753" s="89" t="s">
        <v>273</v>
      </c>
      <c r="B753" s="89"/>
      <c r="C753" s="89"/>
      <c r="D753" s="89"/>
      <c r="E753" s="89"/>
      <c r="F753" s="89"/>
      <c r="G753" s="89"/>
      <c r="H753" s="89"/>
    </row>
    <row r="754" spans="1:8" x14ac:dyDescent="0.35">
      <c r="A754" s="39">
        <v>1</v>
      </c>
      <c r="B754" s="39" t="s">
        <v>233</v>
      </c>
      <c r="C754" s="39" t="s">
        <v>208</v>
      </c>
      <c r="D754" s="65">
        <f>(33.34)*10.764</f>
        <v>358.87175999999999</v>
      </c>
      <c r="E754" s="39">
        <v>0</v>
      </c>
      <c r="F754" s="39">
        <f t="shared" ref="F754:F755" si="77">D754*(($F$267)+1)+(IF(E754&lt;101,E754,IF(E754&lt;201,E754/2,IF(E754&lt;=301,E754/3,E754/4))))</f>
        <v>556.25122799999997</v>
      </c>
      <c r="G754" s="93" t="str">
        <f>A753</f>
        <v>8th Floor For (Part Refuge Area)</v>
      </c>
      <c r="H754" s="94"/>
    </row>
    <row r="755" spans="1:8" x14ac:dyDescent="0.35">
      <c r="A755" s="39">
        <v>2</v>
      </c>
      <c r="B755" s="39" t="s">
        <v>233</v>
      </c>
      <c r="C755" s="39" t="s">
        <v>208</v>
      </c>
      <c r="D755" s="65">
        <f>(33.08)*10.764</f>
        <v>356.07311999999996</v>
      </c>
      <c r="E755" s="39">
        <v>0</v>
      </c>
      <c r="F755" s="39">
        <f t="shared" si="77"/>
        <v>551.91333599999996</v>
      </c>
      <c r="G755" s="95"/>
      <c r="H755" s="96"/>
    </row>
    <row r="756" spans="1:8" x14ac:dyDescent="0.35">
      <c r="A756" s="39">
        <f>A755+1</f>
        <v>3</v>
      </c>
      <c r="B756" s="39" t="s">
        <v>235</v>
      </c>
      <c r="C756" s="39" t="s">
        <v>264</v>
      </c>
      <c r="D756" s="65">
        <f>(48.34)*10.764</f>
        <v>520.33176000000003</v>
      </c>
      <c r="E756" s="39">
        <v>0</v>
      </c>
      <c r="F756" s="39">
        <f>D756*(($F$267)+1)+(IF(E756&lt;101,E756,IF(E756&lt;201,E756/2,IF(E756&lt;=301,E756/3,E756/4))))</f>
        <v>806.51422800000012</v>
      </c>
      <c r="G756" s="95"/>
      <c r="H756" s="96"/>
    </row>
    <row r="757" spans="1:8" x14ac:dyDescent="0.35">
      <c r="A757" s="39">
        <f>A756+1</f>
        <v>4</v>
      </c>
      <c r="B757" s="93" t="s">
        <v>216</v>
      </c>
      <c r="C757" s="99"/>
      <c r="D757" s="99"/>
      <c r="E757" s="99"/>
      <c r="F757" s="94"/>
      <c r="G757" s="95"/>
      <c r="H757" s="96"/>
    </row>
    <row r="758" spans="1:8" ht="15.75" customHeight="1" x14ac:dyDescent="0.35">
      <c r="A758" s="39">
        <f>A757+1</f>
        <v>5</v>
      </c>
      <c r="B758" s="97"/>
      <c r="C758" s="100"/>
      <c r="D758" s="100"/>
      <c r="E758" s="100"/>
      <c r="F758" s="98"/>
      <c r="G758" s="95"/>
      <c r="H758" s="96"/>
    </row>
    <row r="759" spans="1:8" x14ac:dyDescent="0.35">
      <c r="A759" s="39">
        <f>A758+1</f>
        <v>6</v>
      </c>
      <c r="B759" s="39" t="s">
        <v>235</v>
      </c>
      <c r="C759" s="39" t="s">
        <v>208</v>
      </c>
      <c r="D759" s="65">
        <f>(35.19)*10.764</f>
        <v>378.78515999999996</v>
      </c>
      <c r="E759" s="39">
        <v>0</v>
      </c>
      <c r="F759" s="39">
        <f>D759*(($F$267)+1)+(IF(E759&lt;101,E759,IF(E759&lt;201,E759/2,IF(E759&lt;=301,E759/3,E759/4))))</f>
        <v>587.11699799999997</v>
      </c>
      <c r="G759" s="97"/>
      <c r="H759" s="98"/>
    </row>
    <row r="760" spans="1:8" x14ac:dyDescent="0.35">
      <c r="A760" s="89" t="s">
        <v>274</v>
      </c>
      <c r="B760" s="89"/>
      <c r="C760" s="89"/>
      <c r="D760" s="89"/>
      <c r="E760" s="89"/>
      <c r="F760" s="89"/>
      <c r="G760" s="89"/>
      <c r="H760" s="89"/>
    </row>
    <row r="761" spans="1:8" x14ac:dyDescent="0.35">
      <c r="A761" s="39">
        <v>1</v>
      </c>
      <c r="B761" s="39" t="s">
        <v>233</v>
      </c>
      <c r="C761" s="39" t="s">
        <v>208</v>
      </c>
      <c r="D761" s="65">
        <f>(33.34)*10.764</f>
        <v>358.87175999999999</v>
      </c>
      <c r="E761" s="39">
        <v>0</v>
      </c>
      <c r="F761" s="39">
        <f t="shared" ref="F761:F762" si="78">D761*(($F$267)+1)+(IF(E761&lt;101,E761,IF(E761&lt;201,E761/2,IF(E761&lt;=301,E761/3,E761/4))))</f>
        <v>556.25122799999997</v>
      </c>
      <c r="G761" s="93" t="str">
        <f>A760</f>
        <v>9th to 14th &amp; 16th to 22nd Floor</v>
      </c>
      <c r="H761" s="94"/>
    </row>
    <row r="762" spans="1:8" x14ac:dyDescent="0.35">
      <c r="A762" s="39">
        <v>2</v>
      </c>
      <c r="B762" s="39" t="s">
        <v>233</v>
      </c>
      <c r="C762" s="39" t="s">
        <v>208</v>
      </c>
      <c r="D762" s="65">
        <f>(33.08)*10.764</f>
        <v>356.07311999999996</v>
      </c>
      <c r="E762" s="39">
        <v>0</v>
      </c>
      <c r="F762" s="39">
        <f t="shared" si="78"/>
        <v>551.91333599999996</v>
      </c>
      <c r="G762" s="95"/>
      <c r="H762" s="96"/>
    </row>
    <row r="763" spans="1:8" x14ac:dyDescent="0.35">
      <c r="A763" s="39">
        <f>A762+1</f>
        <v>3</v>
      </c>
      <c r="B763" s="39" t="s">
        <v>235</v>
      </c>
      <c r="C763" s="39" t="s">
        <v>264</v>
      </c>
      <c r="D763" s="65">
        <f>(48.34)*10.764</f>
        <v>520.33176000000003</v>
      </c>
      <c r="E763" s="39">
        <v>0</v>
      </c>
      <c r="F763" s="39">
        <f>D763*(($F$267)+1)+(IF(E763&lt;101,E763,IF(E763&lt;201,E763/2,IF(E763&lt;=301,E763/3,E763/4))))</f>
        <v>806.51422800000012</v>
      </c>
      <c r="G763" s="95"/>
      <c r="H763" s="96"/>
    </row>
    <row r="764" spans="1:8" ht="15.75" customHeight="1" x14ac:dyDescent="0.35">
      <c r="A764" s="39">
        <f>A763+1</f>
        <v>4</v>
      </c>
      <c r="B764" s="39" t="s">
        <v>233</v>
      </c>
      <c r="C764" s="39" t="s">
        <v>264</v>
      </c>
      <c r="D764" s="65">
        <f>(56.55)*10.764</f>
        <v>608.7041999999999</v>
      </c>
      <c r="E764" s="39">
        <v>0</v>
      </c>
      <c r="F764" s="39">
        <f>D764*(($F$267)+1)+(IF(E764&lt;101,E764,IF(E764&lt;201,E764/2,IF(E764&lt;=301,E764/3,E764/4))))</f>
        <v>943.49150999999983</v>
      </c>
      <c r="G764" s="95"/>
      <c r="H764" s="96"/>
    </row>
    <row r="765" spans="1:8" x14ac:dyDescent="0.35">
      <c r="A765" s="39">
        <f>A764+1</f>
        <v>5</v>
      </c>
      <c r="B765" s="39" t="s">
        <v>235</v>
      </c>
      <c r="C765" s="39" t="s">
        <v>208</v>
      </c>
      <c r="D765" s="65">
        <f>(35.19)*10.764</f>
        <v>378.78515999999996</v>
      </c>
      <c r="E765" s="39">
        <v>0</v>
      </c>
      <c r="F765" s="39">
        <f>D765*(($F$267)+1)+(IF(E765&lt;101,E765,IF(E765&lt;201,E765/2,IF(E765&lt;=301,E765/3,E765/4))))</f>
        <v>587.11699799999997</v>
      </c>
      <c r="G765" s="97"/>
      <c r="H765" s="98"/>
    </row>
    <row r="766" spans="1:8" x14ac:dyDescent="0.35">
      <c r="A766" s="89" t="s">
        <v>275</v>
      </c>
      <c r="B766" s="89"/>
      <c r="C766" s="89"/>
      <c r="D766" s="89"/>
      <c r="E766" s="89"/>
      <c r="F766" s="89"/>
      <c r="G766" s="89"/>
      <c r="H766" s="89"/>
    </row>
    <row r="767" spans="1:8" x14ac:dyDescent="0.35">
      <c r="A767" s="39">
        <v>1</v>
      </c>
      <c r="B767" s="39" t="s">
        <v>233</v>
      </c>
      <c r="C767" s="39" t="s">
        <v>208</v>
      </c>
      <c r="D767" s="65">
        <f>(33.34)*10.764</f>
        <v>358.87175999999999</v>
      </c>
      <c r="E767" s="39">
        <v>0</v>
      </c>
      <c r="F767" s="39">
        <f t="shared" ref="F767:F768" si="79">D767*(($F$267)+1)+(IF(E767&lt;101,E767,IF(E767&lt;201,E767/2,IF(E767&lt;=301,E767/3,E767/4))))</f>
        <v>556.25122799999997</v>
      </c>
      <c r="G767" s="93" t="str">
        <f>A766</f>
        <v>15th Floor For (Part Refuge Area)</v>
      </c>
      <c r="H767" s="94"/>
    </row>
    <row r="768" spans="1:8" x14ac:dyDescent="0.35">
      <c r="A768" s="39">
        <v>2</v>
      </c>
      <c r="B768" s="39" t="s">
        <v>233</v>
      </c>
      <c r="C768" s="39" t="s">
        <v>208</v>
      </c>
      <c r="D768" s="65">
        <f>(33.08)*10.764</f>
        <v>356.07311999999996</v>
      </c>
      <c r="E768" s="39">
        <v>0</v>
      </c>
      <c r="F768" s="39">
        <f t="shared" si="79"/>
        <v>551.91333599999996</v>
      </c>
      <c r="G768" s="95"/>
      <c r="H768" s="96"/>
    </row>
    <row r="769" spans="1:8" x14ac:dyDescent="0.35">
      <c r="A769" s="39">
        <f>A768+1</f>
        <v>3</v>
      </c>
      <c r="B769" s="39" t="s">
        <v>235</v>
      </c>
      <c r="C769" s="39" t="s">
        <v>207</v>
      </c>
      <c r="D769" s="65">
        <f>(40.31)*10.764</f>
        <v>433.89684</v>
      </c>
      <c r="E769" s="39">
        <v>0</v>
      </c>
      <c r="F769" s="39">
        <f>D769*(($F$267)+1)+(IF(E769&lt;101,E769,IF(E769&lt;201,E769/2,IF(E769&lt;=301,E769/3,E769/4))))</f>
        <v>672.54010200000005</v>
      </c>
      <c r="G769" s="95"/>
      <c r="H769" s="96"/>
    </row>
    <row r="770" spans="1:8" x14ac:dyDescent="0.35">
      <c r="A770" s="39">
        <f>A769+1</f>
        <v>4</v>
      </c>
      <c r="B770" s="101" t="s">
        <v>216</v>
      </c>
      <c r="C770" s="102"/>
      <c r="D770" s="102"/>
      <c r="E770" s="102"/>
      <c r="F770" s="103"/>
      <c r="G770" s="95"/>
      <c r="H770" s="96"/>
    </row>
    <row r="771" spans="1:8" x14ac:dyDescent="0.35">
      <c r="A771" s="39">
        <f>A770+1</f>
        <v>5</v>
      </c>
      <c r="B771" s="39" t="s">
        <v>235</v>
      </c>
      <c r="C771" s="39" t="s">
        <v>208</v>
      </c>
      <c r="D771" s="65">
        <f>(35.19)*10.764</f>
        <v>378.78515999999996</v>
      </c>
      <c r="E771" s="39">
        <v>0</v>
      </c>
      <c r="F771" s="39">
        <f>D771*(($F$267)+1)+(IF(E771&lt;101,E771,IF(E771&lt;201,E771/2,IF(E771&lt;=301,E771/3,E771/4))))</f>
        <v>587.11699799999997</v>
      </c>
      <c r="G771" s="97"/>
      <c r="H771" s="98"/>
    </row>
    <row r="772" spans="1:8" x14ac:dyDescent="0.35">
      <c r="A772" s="107"/>
      <c r="B772" s="108"/>
      <c r="C772" s="108"/>
      <c r="D772" s="108"/>
      <c r="E772" s="108"/>
      <c r="F772" s="108"/>
      <c r="G772" s="108"/>
      <c r="H772" s="109"/>
    </row>
    <row r="773" spans="1:8" x14ac:dyDescent="0.35">
      <c r="A773" s="104" t="s">
        <v>67</v>
      </c>
      <c r="B773" s="104"/>
      <c r="C773" s="104"/>
      <c r="D773" s="104"/>
      <c r="E773" s="104"/>
      <c r="F773" s="104"/>
      <c r="G773" s="104"/>
      <c r="H773" s="104"/>
    </row>
    <row r="774" spans="1:8" ht="32.5" customHeight="1" x14ac:dyDescent="0.35">
      <c r="A774" s="42" t="s">
        <v>153</v>
      </c>
      <c r="B774" s="76" t="s">
        <v>328</v>
      </c>
      <c r="C774" s="77"/>
      <c r="D774" s="77"/>
      <c r="E774" s="77"/>
      <c r="F774" s="77"/>
      <c r="G774" s="77"/>
      <c r="H774" s="78"/>
    </row>
    <row r="775" spans="1:8" x14ac:dyDescent="0.35">
      <c r="A775" s="42" t="s">
        <v>153</v>
      </c>
      <c r="B775" s="76" t="str">
        <f>(IF(F266="Saleable area Loading :","We have considered Saleable area of Flats as per our Calculation.","We considered Saleable area of Flat as per Builder area Sheet."))</f>
        <v>We have considered Saleable area of Flats as per our Calculation.</v>
      </c>
      <c r="C775" s="77"/>
      <c r="D775" s="77"/>
      <c r="E775" s="77"/>
      <c r="F775" s="77"/>
      <c r="G775" s="77"/>
      <c r="H775" s="78"/>
    </row>
    <row r="776" spans="1:8" x14ac:dyDescent="0.35">
      <c r="A776" s="42" t="s">
        <v>153</v>
      </c>
      <c r="B776" s="76" t="str">
        <f>(IF(F205="Saleable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776" s="77"/>
      <c r="D776" s="77"/>
      <c r="E776" s="77"/>
      <c r="F776" s="77"/>
      <c r="G776" s="77"/>
      <c r="H776" s="78"/>
    </row>
    <row r="777" spans="1:8" x14ac:dyDescent="0.35">
      <c r="A777" s="42" t="s">
        <v>153</v>
      </c>
      <c r="B777" s="90" t="s">
        <v>123</v>
      </c>
      <c r="C777" s="91"/>
      <c r="D777" s="91"/>
      <c r="E777" s="91"/>
      <c r="F777" s="91"/>
      <c r="G777" s="91"/>
      <c r="H777" s="92"/>
    </row>
    <row r="778" spans="1:8" x14ac:dyDescent="0.35">
      <c r="A778" s="42" t="s">
        <v>153</v>
      </c>
      <c r="B778" s="90" t="s">
        <v>238</v>
      </c>
      <c r="C778" s="91"/>
      <c r="D778" s="91"/>
      <c r="E778" s="91"/>
      <c r="F778" s="91"/>
      <c r="G778" s="91"/>
      <c r="H778" s="92"/>
    </row>
    <row r="779" spans="1:8" x14ac:dyDescent="0.35">
      <c r="A779" s="42" t="s">
        <v>153</v>
      </c>
      <c r="B779" s="90" t="s">
        <v>152</v>
      </c>
      <c r="C779" s="91"/>
      <c r="D779" s="91"/>
      <c r="E779" s="91"/>
      <c r="F779" s="91"/>
      <c r="G779" s="91"/>
      <c r="H779" s="92"/>
    </row>
    <row r="780" spans="1:8" x14ac:dyDescent="0.35">
      <c r="A780" s="42" t="s">
        <v>153</v>
      </c>
      <c r="B780" s="90" t="s">
        <v>124</v>
      </c>
      <c r="C780" s="91"/>
      <c r="D780" s="91"/>
      <c r="E780" s="91"/>
      <c r="F780" s="91"/>
      <c r="G780" s="91"/>
      <c r="H780" s="92"/>
    </row>
    <row r="781" spans="1:8" ht="33" customHeight="1" x14ac:dyDescent="0.35">
      <c r="A781" s="42" t="s">
        <v>153</v>
      </c>
      <c r="B781" s="90" t="s">
        <v>154</v>
      </c>
      <c r="C781" s="91"/>
      <c r="D781" s="91"/>
      <c r="E781" s="91"/>
      <c r="F781" s="91"/>
      <c r="G781" s="91"/>
      <c r="H781" s="92"/>
    </row>
    <row r="782" spans="1:8" x14ac:dyDescent="0.35">
      <c r="A782" s="42" t="s">
        <v>153</v>
      </c>
      <c r="B782" s="90" t="s">
        <v>125</v>
      </c>
      <c r="C782" s="91"/>
      <c r="D782" s="91"/>
      <c r="E782" s="91"/>
      <c r="F782" s="91"/>
      <c r="G782" s="91"/>
      <c r="H782" s="92"/>
    </row>
    <row r="783" spans="1:8" x14ac:dyDescent="0.35">
      <c r="A783" s="42" t="s">
        <v>153</v>
      </c>
      <c r="B783" s="90" t="s">
        <v>239</v>
      </c>
      <c r="C783" s="91"/>
      <c r="D783" s="91"/>
      <c r="E783" s="91"/>
      <c r="F783" s="91"/>
      <c r="G783" s="91"/>
      <c r="H783" s="92"/>
    </row>
    <row r="784" spans="1:8" x14ac:dyDescent="0.35">
      <c r="A784" s="42" t="s">
        <v>153</v>
      </c>
      <c r="B784" s="90" t="s">
        <v>256</v>
      </c>
      <c r="C784" s="91"/>
      <c r="D784" s="91"/>
      <c r="E784" s="91"/>
      <c r="F784" s="91"/>
      <c r="G784" s="91"/>
      <c r="H784" s="92"/>
    </row>
    <row r="785" spans="1:8" x14ac:dyDescent="0.35">
      <c r="A785" s="42" t="s">
        <v>153</v>
      </c>
      <c r="B785" s="90" t="s">
        <v>249</v>
      </c>
      <c r="C785" s="91"/>
      <c r="D785" s="91"/>
      <c r="E785" s="91"/>
      <c r="F785" s="91"/>
      <c r="G785" s="91"/>
      <c r="H785" s="92"/>
    </row>
    <row r="786" spans="1:8" ht="33.75" customHeight="1" x14ac:dyDescent="0.35">
      <c r="A786" s="67" t="s">
        <v>153</v>
      </c>
      <c r="B786" s="76" t="s">
        <v>291</v>
      </c>
      <c r="C786" s="77"/>
      <c r="D786" s="77"/>
      <c r="E786" s="77"/>
      <c r="F786" s="77"/>
      <c r="G786" s="77"/>
      <c r="H786" s="78"/>
    </row>
    <row r="787" spans="1:8" ht="31.5" customHeight="1" x14ac:dyDescent="0.35">
      <c r="A787" s="67" t="s">
        <v>153</v>
      </c>
      <c r="B787" s="76" t="s">
        <v>287</v>
      </c>
      <c r="C787" s="77"/>
      <c r="D787" s="77"/>
      <c r="E787" s="77"/>
      <c r="F787" s="77"/>
      <c r="G787" s="77"/>
      <c r="H787" s="78"/>
    </row>
    <row r="788" spans="1:8" ht="32.25" customHeight="1" x14ac:dyDescent="0.35">
      <c r="A788" s="67" t="s">
        <v>153</v>
      </c>
      <c r="B788" s="76" t="s">
        <v>292</v>
      </c>
      <c r="C788" s="77"/>
      <c r="D788" s="77"/>
      <c r="E788" s="77"/>
      <c r="F788" s="77"/>
      <c r="G788" s="77"/>
      <c r="H788" s="78"/>
    </row>
    <row r="789" spans="1:8" x14ac:dyDescent="0.35">
      <c r="A789" s="67" t="s">
        <v>153</v>
      </c>
      <c r="B789" s="76" t="s">
        <v>288</v>
      </c>
      <c r="C789" s="77"/>
      <c r="D789" s="77"/>
      <c r="E789" s="77"/>
      <c r="F789" s="77"/>
      <c r="G789" s="77"/>
      <c r="H789" s="78"/>
    </row>
    <row r="790" spans="1:8" x14ac:dyDescent="0.35">
      <c r="A790" s="42" t="s">
        <v>153</v>
      </c>
      <c r="B790" s="76" t="s">
        <v>296</v>
      </c>
      <c r="C790" s="77"/>
      <c r="D790" s="77"/>
      <c r="E790" s="77"/>
      <c r="F790" s="77"/>
      <c r="G790" s="77"/>
      <c r="H790" s="78"/>
    </row>
    <row r="791" spans="1:8" x14ac:dyDescent="0.35">
      <c r="A791" s="42" t="s">
        <v>153</v>
      </c>
      <c r="B791" s="76" t="s">
        <v>297</v>
      </c>
      <c r="C791" s="77"/>
      <c r="D791" s="77"/>
      <c r="E791" s="77"/>
      <c r="F791" s="77"/>
      <c r="G791" s="77"/>
      <c r="H791" s="78"/>
    </row>
    <row r="792" spans="1:8" x14ac:dyDescent="0.35">
      <c r="A792" s="67" t="s">
        <v>153</v>
      </c>
      <c r="B792" s="76" t="s">
        <v>294</v>
      </c>
      <c r="C792" s="77"/>
      <c r="D792" s="77"/>
      <c r="E792" s="77"/>
      <c r="F792" s="77"/>
      <c r="G792" s="77"/>
      <c r="H792" s="78"/>
    </row>
    <row r="793" spans="1:8" ht="36.75" customHeight="1" x14ac:dyDescent="0.35">
      <c r="A793" s="69" t="s">
        <v>153</v>
      </c>
      <c r="B793" s="79" t="s">
        <v>314</v>
      </c>
      <c r="C793" s="79"/>
      <c r="D793" s="79"/>
      <c r="E793" s="79"/>
      <c r="F793" s="79"/>
      <c r="G793" s="79"/>
      <c r="H793" s="79"/>
    </row>
    <row r="794" spans="1:8" x14ac:dyDescent="0.35">
      <c r="A794" s="67" t="s">
        <v>153</v>
      </c>
      <c r="B794" s="79" t="s">
        <v>312</v>
      </c>
      <c r="C794" s="79"/>
      <c r="D794" s="79"/>
      <c r="E794" s="79"/>
      <c r="F794" s="79"/>
      <c r="G794" s="79"/>
      <c r="H794" s="79"/>
    </row>
    <row r="795" spans="1:8" ht="30.5" customHeight="1" x14ac:dyDescent="0.35">
      <c r="A795" s="67" t="s">
        <v>153</v>
      </c>
      <c r="B795" s="79" t="s">
        <v>325</v>
      </c>
      <c r="C795" s="79"/>
      <c r="D795" s="79"/>
      <c r="E795" s="79"/>
      <c r="F795" s="79"/>
      <c r="G795" s="79"/>
      <c r="H795" s="79"/>
    </row>
    <row r="796" spans="1:8" ht="30.5" customHeight="1" x14ac:dyDescent="0.35">
      <c r="A796" s="67" t="s">
        <v>153</v>
      </c>
      <c r="B796" s="79" t="s">
        <v>326</v>
      </c>
      <c r="C796" s="79"/>
      <c r="D796" s="79"/>
      <c r="E796" s="79"/>
      <c r="F796" s="79"/>
      <c r="G796" s="79"/>
      <c r="H796" s="79"/>
    </row>
    <row r="797" spans="1:8" x14ac:dyDescent="0.35">
      <c r="A797" s="111" t="s">
        <v>60</v>
      </c>
      <c r="B797" s="111"/>
      <c r="C797" s="111"/>
      <c r="D797" s="111"/>
      <c r="E797" s="111"/>
      <c r="F797" s="111"/>
      <c r="G797" s="111"/>
      <c r="H797" s="111"/>
    </row>
    <row r="798" spans="1:8" x14ac:dyDescent="0.35">
      <c r="A798" s="118" t="s">
        <v>61</v>
      </c>
      <c r="B798" s="118"/>
      <c r="C798" s="118"/>
      <c r="D798" s="118"/>
      <c r="E798" s="118"/>
      <c r="F798" s="118"/>
      <c r="G798" s="118"/>
      <c r="H798" s="118"/>
    </row>
    <row r="799" spans="1:8" x14ac:dyDescent="0.35">
      <c r="A799" s="169" t="s">
        <v>62</v>
      </c>
      <c r="B799" s="169"/>
      <c r="C799" s="169"/>
      <c r="D799" s="169"/>
      <c r="E799" s="169"/>
      <c r="F799" s="169"/>
      <c r="G799" s="169"/>
      <c r="H799" s="169"/>
    </row>
    <row r="800" spans="1:8" x14ac:dyDescent="0.35">
      <c r="A800" s="118" t="s">
        <v>63</v>
      </c>
      <c r="B800" s="118"/>
      <c r="C800" s="118"/>
      <c r="D800" s="118"/>
      <c r="E800" s="118"/>
      <c r="F800" s="118"/>
      <c r="G800" s="118"/>
      <c r="H800" s="118"/>
    </row>
    <row r="801" spans="1:9" x14ac:dyDescent="0.35">
      <c r="A801" s="118" t="s">
        <v>64</v>
      </c>
      <c r="B801" s="118"/>
      <c r="C801" s="118"/>
      <c r="D801" s="118"/>
      <c r="E801" s="118"/>
      <c r="F801" s="118"/>
      <c r="G801" s="118"/>
      <c r="H801" s="118"/>
    </row>
    <row r="802" spans="1:9" x14ac:dyDescent="0.35">
      <c r="A802" s="118" t="s">
        <v>126</v>
      </c>
      <c r="B802" s="118"/>
      <c r="C802" s="118"/>
      <c r="D802" s="118"/>
      <c r="E802" s="118"/>
      <c r="F802" s="118"/>
      <c r="G802" s="118"/>
      <c r="H802" s="118"/>
    </row>
    <row r="803" spans="1:9" x14ac:dyDescent="0.35">
      <c r="A803" s="74" t="s">
        <v>127</v>
      </c>
      <c r="B803" s="74"/>
      <c r="C803" s="74"/>
      <c r="D803" s="74"/>
      <c r="E803" s="74"/>
      <c r="F803" s="74"/>
      <c r="G803" s="74"/>
      <c r="H803" s="74"/>
    </row>
    <row r="804" spans="1:9" x14ac:dyDescent="0.35">
      <c r="A804" s="174" t="s">
        <v>75</v>
      </c>
      <c r="B804" s="174"/>
      <c r="C804" s="174" t="s">
        <v>313</v>
      </c>
      <c r="D804" s="174"/>
      <c r="E804" s="174" t="s">
        <v>104</v>
      </c>
      <c r="F804" s="174"/>
      <c r="G804" s="174" t="s">
        <v>327</v>
      </c>
      <c r="H804" s="174"/>
    </row>
    <row r="805" spans="1:9" x14ac:dyDescent="0.35">
      <c r="A805" s="173" t="s">
        <v>77</v>
      </c>
      <c r="B805" s="173"/>
      <c r="C805" s="173"/>
      <c r="D805" s="173"/>
      <c r="E805" s="173"/>
      <c r="F805" s="173"/>
      <c r="G805" s="173"/>
      <c r="H805" s="173"/>
    </row>
    <row r="806" spans="1:9" x14ac:dyDescent="0.35">
      <c r="A806" s="173"/>
      <c r="B806" s="173"/>
      <c r="C806" s="173"/>
      <c r="D806" s="173"/>
      <c r="E806" s="173"/>
      <c r="F806" s="173"/>
      <c r="G806" s="173"/>
      <c r="H806" s="173"/>
    </row>
    <row r="807" spans="1:9" x14ac:dyDescent="0.35">
      <c r="A807" s="173"/>
      <c r="B807" s="173"/>
      <c r="C807" s="173"/>
      <c r="D807" s="173"/>
      <c r="E807" s="173"/>
      <c r="F807" s="173"/>
      <c r="G807" s="173"/>
      <c r="H807" s="173"/>
    </row>
    <row r="808" spans="1:9" x14ac:dyDescent="0.35">
      <c r="A808" s="35" t="s">
        <v>65</v>
      </c>
      <c r="B808" s="36"/>
      <c r="C808" s="36"/>
      <c r="D808" s="35" t="str">
        <f>E9</f>
        <v>Galaxy Heights Tower I &amp; III</v>
      </c>
      <c r="F808" s="36"/>
      <c r="G808" s="36"/>
      <c r="H808" s="36"/>
    </row>
    <row r="809" spans="1:9" x14ac:dyDescent="0.35">
      <c r="A809" s="36"/>
      <c r="B809" s="36"/>
      <c r="C809" s="36"/>
      <c r="D809" s="36"/>
      <c r="E809" s="36"/>
      <c r="F809" s="36"/>
      <c r="G809" s="36"/>
      <c r="H809" s="36"/>
      <c r="I809" s="19" t="s">
        <v>315</v>
      </c>
    </row>
    <row r="810" spans="1:9" x14ac:dyDescent="0.35">
      <c r="A810" s="36"/>
      <c r="B810" s="36"/>
      <c r="C810" s="36"/>
      <c r="D810" s="36"/>
      <c r="E810" s="36"/>
      <c r="F810" s="36"/>
      <c r="G810" s="36"/>
      <c r="H810" s="36"/>
      <c r="I810" s="19" t="s">
        <v>316</v>
      </c>
    </row>
    <row r="828" spans="10:10" x14ac:dyDescent="0.35">
      <c r="J828"/>
    </row>
    <row r="843" spans="10:10" x14ac:dyDescent="0.35">
      <c r="J843"/>
    </row>
    <row r="849" spans="1:8" x14ac:dyDescent="0.35">
      <c r="A849" s="38" t="s">
        <v>187</v>
      </c>
      <c r="B849" s="19"/>
      <c r="C849" s="19"/>
      <c r="D849" s="19"/>
      <c r="E849" s="19"/>
      <c r="F849" s="19"/>
      <c r="G849" s="19"/>
      <c r="H849" s="19"/>
    </row>
    <row r="882" spans="1:8" x14ac:dyDescent="0.35">
      <c r="A882" s="38" t="s">
        <v>66</v>
      </c>
      <c r="B882" s="19"/>
      <c r="C882" s="19"/>
      <c r="D882" s="19"/>
      <c r="E882" s="19"/>
      <c r="F882" s="19"/>
      <c r="G882" s="19"/>
      <c r="H882" s="19"/>
    </row>
  </sheetData>
  <mergeCells count="858">
    <mergeCell ref="B795:H795"/>
    <mergeCell ref="B796:H796"/>
    <mergeCell ref="B794:H794"/>
    <mergeCell ref="A188:B188"/>
    <mergeCell ref="C188:D188"/>
    <mergeCell ref="E188:F188"/>
    <mergeCell ref="G188:H188"/>
    <mergeCell ref="B565:F565"/>
    <mergeCell ref="B568:F568"/>
    <mergeCell ref="A612:H612"/>
    <mergeCell ref="G613:H614"/>
    <mergeCell ref="B613:F614"/>
    <mergeCell ref="A684:H684"/>
    <mergeCell ref="G685:H687"/>
    <mergeCell ref="B685:F685"/>
    <mergeCell ref="A760:H760"/>
    <mergeCell ref="G761:H765"/>
    <mergeCell ref="A597:H597"/>
    <mergeCell ref="B598:F599"/>
    <mergeCell ref="G598:H603"/>
    <mergeCell ref="A643:H643"/>
    <mergeCell ref="G644:H649"/>
    <mergeCell ref="B647:F648"/>
    <mergeCell ref="A678:H678"/>
    <mergeCell ref="A184:H184"/>
    <mergeCell ref="A185:B185"/>
    <mergeCell ref="C185:D185"/>
    <mergeCell ref="E185:F185"/>
    <mergeCell ref="G185:H185"/>
    <mergeCell ref="C186:D186"/>
    <mergeCell ref="G186:H186"/>
    <mergeCell ref="E186:F186"/>
    <mergeCell ref="C187:D187"/>
    <mergeCell ref="E187:F187"/>
    <mergeCell ref="G187:H187"/>
    <mergeCell ref="L263:M263"/>
    <mergeCell ref="A264:B264"/>
    <mergeCell ref="L264:M264"/>
    <mergeCell ref="G261:H264"/>
    <mergeCell ref="L248:M248"/>
    <mergeCell ref="A249:B249"/>
    <mergeCell ref="L249:M249"/>
    <mergeCell ref="A250:B250"/>
    <mergeCell ref="L250:M250"/>
    <mergeCell ref="A251:B251"/>
    <mergeCell ref="L251:M251"/>
    <mergeCell ref="A252:B252"/>
    <mergeCell ref="L252:M252"/>
    <mergeCell ref="A253:B253"/>
    <mergeCell ref="A254:B254"/>
    <mergeCell ref="A255:B255"/>
    <mergeCell ref="A256:B256"/>
    <mergeCell ref="A257:B257"/>
    <mergeCell ref="G249:H258"/>
    <mergeCell ref="A47:D47"/>
    <mergeCell ref="E47:H47"/>
    <mergeCell ref="A68:B69"/>
    <mergeCell ref="C68:E68"/>
    <mergeCell ref="G68:H68"/>
    <mergeCell ref="C69:H69"/>
    <mergeCell ref="C202:D202"/>
    <mergeCell ref="A200:B200"/>
    <mergeCell ref="C200:D200"/>
    <mergeCell ref="E200:F200"/>
    <mergeCell ref="G200:H200"/>
    <mergeCell ref="A182:B182"/>
    <mergeCell ref="C182:D182"/>
    <mergeCell ref="E182:F182"/>
    <mergeCell ref="G182:H182"/>
    <mergeCell ref="A201:B201"/>
    <mergeCell ref="C201:D201"/>
    <mergeCell ref="E201:F201"/>
    <mergeCell ref="G201:H201"/>
    <mergeCell ref="A183:H183"/>
    <mergeCell ref="A193:B193"/>
    <mergeCell ref="C193:D193"/>
    <mergeCell ref="G198:H198"/>
    <mergeCell ref="A179:B179"/>
    <mergeCell ref="G679:H682"/>
    <mergeCell ref="B681:F682"/>
    <mergeCell ref="A716:H716"/>
    <mergeCell ref="G717:H722"/>
    <mergeCell ref="B718:F718"/>
    <mergeCell ref="B651:F651"/>
    <mergeCell ref="B655:F656"/>
    <mergeCell ref="B738:F738"/>
    <mergeCell ref="B737:F737"/>
    <mergeCell ref="A731:H731"/>
    <mergeCell ref="B686:F686"/>
    <mergeCell ref="B687:F687"/>
    <mergeCell ref="G747:H752"/>
    <mergeCell ref="A702:H702"/>
    <mergeCell ref="G703:H708"/>
    <mergeCell ref="B704:F704"/>
    <mergeCell ref="A688:H688"/>
    <mergeCell ref="G689:H694"/>
    <mergeCell ref="A739:H739"/>
    <mergeCell ref="G740:H745"/>
    <mergeCell ref="A695:H695"/>
    <mergeCell ref="G696:H701"/>
    <mergeCell ref="G710:H715"/>
    <mergeCell ref="A636:H636"/>
    <mergeCell ref="G447:H452"/>
    <mergeCell ref="G454:H459"/>
    <mergeCell ref="G461:H466"/>
    <mergeCell ref="A542:B542"/>
    <mergeCell ref="A554:B554"/>
    <mergeCell ref="A555:B555"/>
    <mergeCell ref="A557:B557"/>
    <mergeCell ref="A453:H453"/>
    <mergeCell ref="A543:B543"/>
    <mergeCell ref="A562:H562"/>
    <mergeCell ref="A604:H604"/>
    <mergeCell ref="A611:H611"/>
    <mergeCell ref="A563:H563"/>
    <mergeCell ref="A564:H564"/>
    <mergeCell ref="G565:H568"/>
    <mergeCell ref="A576:H576"/>
    <mergeCell ref="G577:H582"/>
    <mergeCell ref="A622:H622"/>
    <mergeCell ref="G623:H628"/>
    <mergeCell ref="A629:H629"/>
    <mergeCell ref="A650:H650"/>
    <mergeCell ref="G651:H656"/>
    <mergeCell ref="A560:H560"/>
    <mergeCell ref="A683:H683"/>
    <mergeCell ref="A723:H723"/>
    <mergeCell ref="A553:H553"/>
    <mergeCell ref="A213:H213"/>
    <mergeCell ref="B205:B206"/>
    <mergeCell ref="A205:A206"/>
    <mergeCell ref="C266:C267"/>
    <mergeCell ref="A243:B243"/>
    <mergeCell ref="D205:D206"/>
    <mergeCell ref="A238:B238"/>
    <mergeCell ref="A239:B239"/>
    <mergeCell ref="A211:B211"/>
    <mergeCell ref="G216:H222"/>
    <mergeCell ref="A219:B219"/>
    <mergeCell ref="A285:H285"/>
    <mergeCell ref="A268:H268"/>
    <mergeCell ref="A244:B244"/>
    <mergeCell ref="G605:H610"/>
    <mergeCell ref="B610:F610"/>
    <mergeCell ref="A590:H590"/>
    <mergeCell ref="G591:H596"/>
    <mergeCell ref="E202:F202"/>
    <mergeCell ref="G202:H202"/>
    <mergeCell ref="A199:B199"/>
    <mergeCell ref="C199:D199"/>
    <mergeCell ref="E199:F199"/>
    <mergeCell ref="G199:H199"/>
    <mergeCell ref="A583:H583"/>
    <mergeCell ref="G584:H589"/>
    <mergeCell ref="B584:F585"/>
    <mergeCell ref="A263:B263"/>
    <mergeCell ref="A223:H223"/>
    <mergeCell ref="A224:H224"/>
    <mergeCell ref="A242:B242"/>
    <mergeCell ref="G402:H407"/>
    <mergeCell ref="A366:H366"/>
    <mergeCell ref="A245:B245"/>
    <mergeCell ref="C301:F302"/>
    <mergeCell ref="A247:H247"/>
    <mergeCell ref="A269:H269"/>
    <mergeCell ref="A270:H270"/>
    <mergeCell ref="A248:H248"/>
    <mergeCell ref="A258:B258"/>
    <mergeCell ref="C179:D179"/>
    <mergeCell ref="E179:F179"/>
    <mergeCell ref="G179:H179"/>
    <mergeCell ref="A180:B180"/>
    <mergeCell ref="C180:D180"/>
    <mergeCell ref="E180:F180"/>
    <mergeCell ref="G547:H552"/>
    <mergeCell ref="G194:H194"/>
    <mergeCell ref="A195:B195"/>
    <mergeCell ref="C195:D195"/>
    <mergeCell ref="E195:F195"/>
    <mergeCell ref="G195:H195"/>
    <mergeCell ref="A196:B196"/>
    <mergeCell ref="C196:D196"/>
    <mergeCell ref="E196:F196"/>
    <mergeCell ref="G196:H196"/>
    <mergeCell ref="A197:H197"/>
    <mergeCell ref="A198:B198"/>
    <mergeCell ref="A181:B181"/>
    <mergeCell ref="C181:D181"/>
    <mergeCell ref="E181:F181"/>
    <mergeCell ref="A202:B202"/>
    <mergeCell ref="C205:C206"/>
    <mergeCell ref="B266:B267"/>
    <mergeCell ref="A178:B178"/>
    <mergeCell ref="C178:D178"/>
    <mergeCell ref="E178:F178"/>
    <mergeCell ref="G178:H178"/>
    <mergeCell ref="C198:D198"/>
    <mergeCell ref="E198:F198"/>
    <mergeCell ref="A189:H189"/>
    <mergeCell ref="A190:B190"/>
    <mergeCell ref="C190:D190"/>
    <mergeCell ref="E190:F190"/>
    <mergeCell ref="G190:H190"/>
    <mergeCell ref="A191:B191"/>
    <mergeCell ref="C191:D191"/>
    <mergeCell ref="E191:F191"/>
    <mergeCell ref="G191:H191"/>
    <mergeCell ref="A192:B192"/>
    <mergeCell ref="C192:D192"/>
    <mergeCell ref="E192:F192"/>
    <mergeCell ref="G192:H192"/>
    <mergeCell ref="E193:F193"/>
    <mergeCell ref="G193:H193"/>
    <mergeCell ref="A194:B194"/>
    <mergeCell ref="C194:D194"/>
    <mergeCell ref="E194:F194"/>
    <mergeCell ref="E177:F177"/>
    <mergeCell ref="G177:H177"/>
    <mergeCell ref="G175:H175"/>
    <mergeCell ref="G176:H176"/>
    <mergeCell ref="C168:D168"/>
    <mergeCell ref="E168:F168"/>
    <mergeCell ref="G168:H168"/>
    <mergeCell ref="A169:B169"/>
    <mergeCell ref="C169:D169"/>
    <mergeCell ref="E169:F169"/>
    <mergeCell ref="G169:H169"/>
    <mergeCell ref="A172:B172"/>
    <mergeCell ref="A171:B171"/>
    <mergeCell ref="C171:D171"/>
    <mergeCell ref="A123:B123"/>
    <mergeCell ref="A124:B124"/>
    <mergeCell ref="A125:B125"/>
    <mergeCell ref="A126:B126"/>
    <mergeCell ref="A127:B127"/>
    <mergeCell ref="A128:B128"/>
    <mergeCell ref="A147:E147"/>
    <mergeCell ref="A148:E148"/>
    <mergeCell ref="E171:F171"/>
    <mergeCell ref="A160:B160"/>
    <mergeCell ref="C160:D160"/>
    <mergeCell ref="E160:F160"/>
    <mergeCell ref="A161:B161"/>
    <mergeCell ref="C161:D161"/>
    <mergeCell ref="E161:F161"/>
    <mergeCell ref="C164:D164"/>
    <mergeCell ref="E164:F164"/>
    <mergeCell ref="A170:B170"/>
    <mergeCell ref="C170:D170"/>
    <mergeCell ref="E170:F170"/>
    <mergeCell ref="C166:D166"/>
    <mergeCell ref="E166:F166"/>
    <mergeCell ref="A166:B166"/>
    <mergeCell ref="A151:E151"/>
    <mergeCell ref="A108:B108"/>
    <mergeCell ref="A109:B109"/>
    <mergeCell ref="A110:B110"/>
    <mergeCell ref="A112:B112"/>
    <mergeCell ref="A113:B113"/>
    <mergeCell ref="A143:E143"/>
    <mergeCell ref="F147:H147"/>
    <mergeCell ref="G104:H104"/>
    <mergeCell ref="G172:H172"/>
    <mergeCell ref="A168:B168"/>
    <mergeCell ref="A106:B106"/>
    <mergeCell ref="A107:B107"/>
    <mergeCell ref="A117:B117"/>
    <mergeCell ref="F145:H145"/>
    <mergeCell ref="A145:E145"/>
    <mergeCell ref="A115:B115"/>
    <mergeCell ref="C115:H115"/>
    <mergeCell ref="F148:H148"/>
    <mergeCell ref="A119:B119"/>
    <mergeCell ref="E119:F128"/>
    <mergeCell ref="G119:H128"/>
    <mergeCell ref="A120:B120"/>
    <mergeCell ref="A121:B121"/>
    <mergeCell ref="A122:B122"/>
    <mergeCell ref="A103:B103"/>
    <mergeCell ref="L214:M214"/>
    <mergeCell ref="G159:H159"/>
    <mergeCell ref="A153:E153"/>
    <mergeCell ref="C162:D162"/>
    <mergeCell ref="E162:F162"/>
    <mergeCell ref="G105:H114"/>
    <mergeCell ref="L207:M207"/>
    <mergeCell ref="L206:M206"/>
    <mergeCell ref="L211:M211"/>
    <mergeCell ref="L212:M212"/>
    <mergeCell ref="L213:M213"/>
    <mergeCell ref="A163:B163"/>
    <mergeCell ref="A149:E149"/>
    <mergeCell ref="F149:H149"/>
    <mergeCell ref="A150:E150"/>
    <mergeCell ref="A152:E152"/>
    <mergeCell ref="A111:B111"/>
    <mergeCell ref="F144:H144"/>
    <mergeCell ref="A209:H209"/>
    <mergeCell ref="A208:H208"/>
    <mergeCell ref="A114:B114"/>
    <mergeCell ref="A212:B212"/>
    <mergeCell ref="F146:H146"/>
    <mergeCell ref="L215:M215"/>
    <mergeCell ref="A221:B221"/>
    <mergeCell ref="L216:M216"/>
    <mergeCell ref="A222:B222"/>
    <mergeCell ref="L217:M217"/>
    <mergeCell ref="E104:F104"/>
    <mergeCell ref="C173:D173"/>
    <mergeCell ref="F153:H153"/>
    <mergeCell ref="E159:F159"/>
    <mergeCell ref="A159:B159"/>
    <mergeCell ref="G162:H162"/>
    <mergeCell ref="A217:B217"/>
    <mergeCell ref="A218:B218"/>
    <mergeCell ref="G181:H181"/>
    <mergeCell ref="A214:H214"/>
    <mergeCell ref="A215:H215"/>
    <mergeCell ref="A216:B216"/>
    <mergeCell ref="G180:H180"/>
    <mergeCell ref="A220:B220"/>
    <mergeCell ref="A173:B173"/>
    <mergeCell ref="E173:F173"/>
    <mergeCell ref="E167:F167"/>
    <mergeCell ref="A146:E146"/>
    <mergeCell ref="A203:H203"/>
    <mergeCell ref="D75:H75"/>
    <mergeCell ref="A75:C75"/>
    <mergeCell ref="G59:H59"/>
    <mergeCell ref="A60:B61"/>
    <mergeCell ref="A97:B97"/>
    <mergeCell ref="A90:B90"/>
    <mergeCell ref="A93:B93"/>
    <mergeCell ref="A89:B89"/>
    <mergeCell ref="A87:B87"/>
    <mergeCell ref="C87:H87"/>
    <mergeCell ref="A72:C72"/>
    <mergeCell ref="D72:H72"/>
    <mergeCell ref="A80:C80"/>
    <mergeCell ref="A82:C82"/>
    <mergeCell ref="D82:H82"/>
    <mergeCell ref="C89:H89"/>
    <mergeCell ref="A92:B92"/>
    <mergeCell ref="A94:B94"/>
    <mergeCell ref="E90:F90"/>
    <mergeCell ref="A83:C83"/>
    <mergeCell ref="D83:H83"/>
    <mergeCell ref="A84:C84"/>
    <mergeCell ref="D84:H84"/>
    <mergeCell ref="A86:C86"/>
    <mergeCell ref="A34:B34"/>
    <mergeCell ref="A33:B33"/>
    <mergeCell ref="C34:E34"/>
    <mergeCell ref="A35:B35"/>
    <mergeCell ref="C35:E35"/>
    <mergeCell ref="A38:H38"/>
    <mergeCell ref="A37:B37"/>
    <mergeCell ref="C37:E37"/>
    <mergeCell ref="A36:B36"/>
    <mergeCell ref="C36:E36"/>
    <mergeCell ref="F36:H36"/>
    <mergeCell ref="F34:H34"/>
    <mergeCell ref="F35:H35"/>
    <mergeCell ref="F37:H37"/>
    <mergeCell ref="C33:E33"/>
    <mergeCell ref="A18:B18"/>
    <mergeCell ref="C18:H18"/>
    <mergeCell ref="E22:F22"/>
    <mergeCell ref="G22:H22"/>
    <mergeCell ref="E27:H27"/>
    <mergeCell ref="A29:D29"/>
    <mergeCell ref="E29:H29"/>
    <mergeCell ref="A26:D26"/>
    <mergeCell ref="E26:H26"/>
    <mergeCell ref="A19:B19"/>
    <mergeCell ref="C19:D19"/>
    <mergeCell ref="E19:F19"/>
    <mergeCell ref="G19:H19"/>
    <mergeCell ref="A30:D30"/>
    <mergeCell ref="E30:H30"/>
    <mergeCell ref="A27:D27"/>
    <mergeCell ref="A23:D24"/>
    <mergeCell ref="E23:H24"/>
    <mergeCell ref="F33:H33"/>
    <mergeCell ref="A25:D25"/>
    <mergeCell ref="E25:H25"/>
    <mergeCell ref="E20:F20"/>
    <mergeCell ref="G20:H20"/>
    <mergeCell ref="A21:B21"/>
    <mergeCell ref="C21:D21"/>
    <mergeCell ref="E21:F21"/>
    <mergeCell ref="G21:H21"/>
    <mergeCell ref="A31:D31"/>
    <mergeCell ref="E31:H31"/>
    <mergeCell ref="A32:D32"/>
    <mergeCell ref="E32:H32"/>
    <mergeCell ref="A28:D28"/>
    <mergeCell ref="E28:H28"/>
    <mergeCell ref="A22:B22"/>
    <mergeCell ref="C22:D22"/>
    <mergeCell ref="A20:B20"/>
    <mergeCell ref="C20:D20"/>
    <mergeCell ref="A17:B17"/>
    <mergeCell ref="A14:D14"/>
    <mergeCell ref="E14:H14"/>
    <mergeCell ref="A15:D15"/>
    <mergeCell ref="A11:D11"/>
    <mergeCell ref="E11:H11"/>
    <mergeCell ref="A8:D8"/>
    <mergeCell ref="E8:H8"/>
    <mergeCell ref="E15:H15"/>
    <mergeCell ref="A16:B16"/>
    <mergeCell ref="C16:H16"/>
    <mergeCell ref="C17:H17"/>
    <mergeCell ref="A12:D12"/>
    <mergeCell ref="E12:H12"/>
    <mergeCell ref="A13:D13"/>
    <mergeCell ref="E13:H13"/>
    <mergeCell ref="A1:H1"/>
    <mergeCell ref="A2:H2"/>
    <mergeCell ref="A3:D3"/>
    <mergeCell ref="E3:H3"/>
    <mergeCell ref="A4:D4"/>
    <mergeCell ref="A9:D9"/>
    <mergeCell ref="E9:H9"/>
    <mergeCell ref="A10:D10"/>
    <mergeCell ref="E10:H10"/>
    <mergeCell ref="E4:H4"/>
    <mergeCell ref="A5:D5"/>
    <mergeCell ref="E5:H5"/>
    <mergeCell ref="A6:D6"/>
    <mergeCell ref="E6:H6"/>
    <mergeCell ref="A7:D7"/>
    <mergeCell ref="E7:H7"/>
    <mergeCell ref="A805:H807"/>
    <mergeCell ref="A804:B804"/>
    <mergeCell ref="E804:F804"/>
    <mergeCell ref="C804:D804"/>
    <mergeCell ref="G804:H804"/>
    <mergeCell ref="A158:H158"/>
    <mergeCell ref="A155:E155"/>
    <mergeCell ref="F155:H155"/>
    <mergeCell ref="A156:E156"/>
    <mergeCell ref="F156:H156"/>
    <mergeCell ref="A271:H271"/>
    <mergeCell ref="A167:B167"/>
    <mergeCell ref="A556:B556"/>
    <mergeCell ref="A162:B162"/>
    <mergeCell ref="A800:H800"/>
    <mergeCell ref="A165:H165"/>
    <mergeCell ref="A803:H803"/>
    <mergeCell ref="A801:H801"/>
    <mergeCell ref="B777:H777"/>
    <mergeCell ref="B778:H778"/>
    <mergeCell ref="C167:D167"/>
    <mergeCell ref="G475:H480"/>
    <mergeCell ref="A164:B164"/>
    <mergeCell ref="A559:B559"/>
    <mergeCell ref="D85:H85"/>
    <mergeCell ref="A91:B91"/>
    <mergeCell ref="G90:H90"/>
    <mergeCell ref="D86:H86"/>
    <mergeCell ref="A81:C81"/>
    <mergeCell ref="D80:H80"/>
    <mergeCell ref="E91:F100"/>
    <mergeCell ref="G91:H100"/>
    <mergeCell ref="A99:B99"/>
    <mergeCell ref="A100:B100"/>
    <mergeCell ref="D81:H81"/>
    <mergeCell ref="A802:H802"/>
    <mergeCell ref="A799:H799"/>
    <mergeCell ref="D266:D267"/>
    <mergeCell ref="E266:E267"/>
    <mergeCell ref="G266:H267"/>
    <mergeCell ref="A797:H797"/>
    <mergeCell ref="A798:H798"/>
    <mergeCell ref="A423:H423"/>
    <mergeCell ref="A424:H424"/>
    <mergeCell ref="G482:H487"/>
    <mergeCell ref="G490:H495"/>
    <mergeCell ref="A541:B541"/>
    <mergeCell ref="B790:H790"/>
    <mergeCell ref="A730:H730"/>
    <mergeCell ref="A732:H732"/>
    <mergeCell ref="G733:H738"/>
    <mergeCell ref="B782:H782"/>
    <mergeCell ref="G724:H729"/>
    <mergeCell ref="B724:F725"/>
    <mergeCell ref="B729:F729"/>
    <mergeCell ref="A569:H569"/>
    <mergeCell ref="G570:H575"/>
    <mergeCell ref="A615:H615"/>
    <mergeCell ref="G616:H621"/>
    <mergeCell ref="A154:E154"/>
    <mergeCell ref="G173:H173"/>
    <mergeCell ref="C163:D163"/>
    <mergeCell ref="E163:F163"/>
    <mergeCell ref="G163:H163"/>
    <mergeCell ref="G171:H171"/>
    <mergeCell ref="G211:H212"/>
    <mergeCell ref="G160:H160"/>
    <mergeCell ref="G161:H161"/>
    <mergeCell ref="G164:H164"/>
    <mergeCell ref="G170:H170"/>
    <mergeCell ref="G166:H166"/>
    <mergeCell ref="G167:H167"/>
    <mergeCell ref="C172:D172"/>
    <mergeCell ref="E172:F172"/>
    <mergeCell ref="A174:H174"/>
    <mergeCell ref="A175:B175"/>
    <mergeCell ref="C175:D175"/>
    <mergeCell ref="E175:F175"/>
    <mergeCell ref="A176:B176"/>
    <mergeCell ref="C176:D176"/>
    <mergeCell ref="E176:F176"/>
    <mergeCell ref="A177:B177"/>
    <mergeCell ref="C177:D177"/>
    <mergeCell ref="L221:M221"/>
    <mergeCell ref="A227:B227"/>
    <mergeCell ref="L222:M222"/>
    <mergeCell ref="A228:B228"/>
    <mergeCell ref="L223:M223"/>
    <mergeCell ref="A229:B229"/>
    <mergeCell ref="L224:M224"/>
    <mergeCell ref="A233:B233"/>
    <mergeCell ref="L228:M228"/>
    <mergeCell ref="A230:B230"/>
    <mergeCell ref="L225:M225"/>
    <mergeCell ref="A231:B231"/>
    <mergeCell ref="L226:M226"/>
    <mergeCell ref="A232:B232"/>
    <mergeCell ref="L227:M227"/>
    <mergeCell ref="L232:M232"/>
    <mergeCell ref="L233:M233"/>
    <mergeCell ref="G226:H233"/>
    <mergeCell ref="A225:H225"/>
    <mergeCell ref="A226:B226"/>
    <mergeCell ref="L234:M234"/>
    <mergeCell ref="A240:B240"/>
    <mergeCell ref="L235:M235"/>
    <mergeCell ref="A241:B241"/>
    <mergeCell ref="L236:M236"/>
    <mergeCell ref="A237:B237"/>
    <mergeCell ref="L237:M237"/>
    <mergeCell ref="L238:M238"/>
    <mergeCell ref="L239:M239"/>
    <mergeCell ref="L240:M240"/>
    <mergeCell ref="G237:H245"/>
    <mergeCell ref="A234:H234"/>
    <mergeCell ref="A235:H235"/>
    <mergeCell ref="A236:H236"/>
    <mergeCell ref="L446:M446"/>
    <mergeCell ref="A278:H278"/>
    <mergeCell ref="L271:M271"/>
    <mergeCell ref="G307:H312"/>
    <mergeCell ref="G318:H323"/>
    <mergeCell ref="G325:H330"/>
    <mergeCell ref="G332:H337"/>
    <mergeCell ref="G339:H344"/>
    <mergeCell ref="G346:H351"/>
    <mergeCell ref="G353:H358"/>
    <mergeCell ref="G360:H365"/>
    <mergeCell ref="G367:H372"/>
    <mergeCell ref="G374:H379"/>
    <mergeCell ref="G381:H386"/>
    <mergeCell ref="G388:H393"/>
    <mergeCell ref="G395:H400"/>
    <mergeCell ref="L278:M278"/>
    <mergeCell ref="L418:M418"/>
    <mergeCell ref="A422:H422"/>
    <mergeCell ref="A331:H331"/>
    <mergeCell ref="A338:H338"/>
    <mergeCell ref="A373:H373"/>
    <mergeCell ref="L387:M387"/>
    <mergeCell ref="L380:M380"/>
    <mergeCell ref="L247:M247"/>
    <mergeCell ref="A313:H313"/>
    <mergeCell ref="A292:H292"/>
    <mergeCell ref="L285:M285"/>
    <mergeCell ref="A299:H299"/>
    <mergeCell ref="L292:M292"/>
    <mergeCell ref="L309:M309"/>
    <mergeCell ref="A317:H317"/>
    <mergeCell ref="L310:M310"/>
    <mergeCell ref="G272:H277"/>
    <mergeCell ref="G279:H284"/>
    <mergeCell ref="G286:H291"/>
    <mergeCell ref="G293:H298"/>
    <mergeCell ref="G300:H305"/>
    <mergeCell ref="A265:H265"/>
    <mergeCell ref="A266:A267"/>
    <mergeCell ref="A259:H259"/>
    <mergeCell ref="L259:M259"/>
    <mergeCell ref="A260:H260"/>
    <mergeCell ref="L260:M260"/>
    <mergeCell ref="A261:B261"/>
    <mergeCell ref="L261:M261"/>
    <mergeCell ref="A262:B262"/>
    <mergeCell ref="L262:M262"/>
    <mergeCell ref="L359:M359"/>
    <mergeCell ref="L352:M352"/>
    <mergeCell ref="A359:H359"/>
    <mergeCell ref="L373:M373"/>
    <mergeCell ref="L366:M366"/>
    <mergeCell ref="G409:H414"/>
    <mergeCell ref="C364:F365"/>
    <mergeCell ref="C413:F414"/>
    <mergeCell ref="A408:H408"/>
    <mergeCell ref="L423:M423"/>
    <mergeCell ref="L408:M408"/>
    <mergeCell ref="A387:H387"/>
    <mergeCell ref="L401:M401"/>
    <mergeCell ref="L394:M394"/>
    <mergeCell ref="A401:H401"/>
    <mergeCell ref="A394:H394"/>
    <mergeCell ref="G416:H421"/>
    <mergeCell ref="L433:M433"/>
    <mergeCell ref="A415:H415"/>
    <mergeCell ref="G426:H429"/>
    <mergeCell ref="L489:M489"/>
    <mergeCell ref="A503:H503"/>
    <mergeCell ref="L496:M496"/>
    <mergeCell ref="L474:M474"/>
    <mergeCell ref="L510:M510"/>
    <mergeCell ref="A380:H380"/>
    <mergeCell ref="G431:H434"/>
    <mergeCell ref="A445:H445"/>
    <mergeCell ref="A446:H446"/>
    <mergeCell ref="L439:M439"/>
    <mergeCell ref="L482:M482"/>
    <mergeCell ref="L453:M453"/>
    <mergeCell ref="A467:H467"/>
    <mergeCell ref="L460:M460"/>
    <mergeCell ref="A474:H474"/>
    <mergeCell ref="L467:M467"/>
    <mergeCell ref="A489:H489"/>
    <mergeCell ref="G497:H502"/>
    <mergeCell ref="G504:H509"/>
    <mergeCell ref="G436:H439"/>
    <mergeCell ref="G441:H444"/>
    <mergeCell ref="A430:H430"/>
    <mergeCell ref="A440:H440"/>
    <mergeCell ref="A435:H435"/>
    <mergeCell ref="L517:M517"/>
    <mergeCell ref="A547:B547"/>
    <mergeCell ref="A548:B548"/>
    <mergeCell ref="A549:B549"/>
    <mergeCell ref="L428:M428"/>
    <mergeCell ref="L331:M331"/>
    <mergeCell ref="L299:M299"/>
    <mergeCell ref="C308:F309"/>
    <mergeCell ref="L317:M317"/>
    <mergeCell ref="A324:H324"/>
    <mergeCell ref="A352:H352"/>
    <mergeCell ref="L345:M345"/>
    <mergeCell ref="A345:H345"/>
    <mergeCell ref="L338:M338"/>
    <mergeCell ref="A314:H314"/>
    <mergeCell ref="A315:H315"/>
    <mergeCell ref="A316:H316"/>
    <mergeCell ref="L324:M324"/>
    <mergeCell ref="A306:H306"/>
    <mergeCell ref="L525:M525"/>
    <mergeCell ref="A510:H510"/>
    <mergeCell ref="L503:M503"/>
    <mergeCell ref="A535:B535"/>
    <mergeCell ref="A536:B536"/>
    <mergeCell ref="L546:M546"/>
    <mergeCell ref="C518:F519"/>
    <mergeCell ref="C525:F526"/>
    <mergeCell ref="A524:H524"/>
    <mergeCell ref="A552:B552"/>
    <mergeCell ref="A550:B550"/>
    <mergeCell ref="C550:F551"/>
    <mergeCell ref="A544:B544"/>
    <mergeCell ref="A545:B545"/>
    <mergeCell ref="A538:B538"/>
    <mergeCell ref="A539:H539"/>
    <mergeCell ref="A533:B533"/>
    <mergeCell ref="A534:B534"/>
    <mergeCell ref="A551:B551"/>
    <mergeCell ref="L532:M532"/>
    <mergeCell ref="A540:B540"/>
    <mergeCell ref="L539:M539"/>
    <mergeCell ref="A537:B537"/>
    <mergeCell ref="G533:H538"/>
    <mergeCell ref="G540:H545"/>
    <mergeCell ref="A531:H531"/>
    <mergeCell ref="A532:H532"/>
    <mergeCell ref="G518:H523"/>
    <mergeCell ref="A546:H546"/>
    <mergeCell ref="A53:D53"/>
    <mergeCell ref="E53:H53"/>
    <mergeCell ref="A54:D54"/>
    <mergeCell ref="E54:H54"/>
    <mergeCell ref="A63:B63"/>
    <mergeCell ref="C63:E63"/>
    <mergeCell ref="G63:H63"/>
    <mergeCell ref="A64:B64"/>
    <mergeCell ref="C64:E64"/>
    <mergeCell ref="A58:B58"/>
    <mergeCell ref="C58:E58"/>
    <mergeCell ref="G58:H58"/>
    <mergeCell ref="G60:H60"/>
    <mergeCell ref="C60:E60"/>
    <mergeCell ref="C59:E59"/>
    <mergeCell ref="A59:B59"/>
    <mergeCell ref="G64:H64"/>
    <mergeCell ref="A55:H55"/>
    <mergeCell ref="A57:H57"/>
    <mergeCell ref="A62:H62"/>
    <mergeCell ref="C61:H61"/>
    <mergeCell ref="A56:B56"/>
    <mergeCell ref="C56:H56"/>
    <mergeCell ref="C39:H39"/>
    <mergeCell ref="A48:H48"/>
    <mergeCell ref="A49:D49"/>
    <mergeCell ref="E49:H49"/>
    <mergeCell ref="A50:D50"/>
    <mergeCell ref="E50:H50"/>
    <mergeCell ref="A51:D51"/>
    <mergeCell ref="E51:H51"/>
    <mergeCell ref="A52:D52"/>
    <mergeCell ref="E52:H52"/>
    <mergeCell ref="E43:H43"/>
    <mergeCell ref="A43:D43"/>
    <mergeCell ref="A46:D46"/>
    <mergeCell ref="A42:D42"/>
    <mergeCell ref="E42:H42"/>
    <mergeCell ref="A41:H41"/>
    <mergeCell ref="A39:B39"/>
    <mergeCell ref="A40:B40"/>
    <mergeCell ref="C40:H40"/>
    <mergeCell ref="A44:D44"/>
    <mergeCell ref="E44:H44"/>
    <mergeCell ref="E45:H45"/>
    <mergeCell ref="E46:H46"/>
    <mergeCell ref="A45:D45"/>
    <mergeCell ref="A65:B67"/>
    <mergeCell ref="A207:H207"/>
    <mergeCell ref="C117:H117"/>
    <mergeCell ref="A118:B118"/>
    <mergeCell ref="E118:F118"/>
    <mergeCell ref="G118:H118"/>
    <mergeCell ref="D79:H79"/>
    <mergeCell ref="A96:B96"/>
    <mergeCell ref="D73:H73"/>
    <mergeCell ref="D76:H76"/>
    <mergeCell ref="D77:H77"/>
    <mergeCell ref="G65:H65"/>
    <mergeCell ref="A85:C85"/>
    <mergeCell ref="D78:H78"/>
    <mergeCell ref="F154:H154"/>
    <mergeCell ref="F152:H152"/>
    <mergeCell ref="A204:H204"/>
    <mergeCell ref="A76:C79"/>
    <mergeCell ref="D74:H74"/>
    <mergeCell ref="G66:H66"/>
    <mergeCell ref="A70:B70"/>
    <mergeCell ref="C70:E70"/>
    <mergeCell ref="E205:E206"/>
    <mergeCell ref="G205:H206"/>
    <mergeCell ref="A71:H71"/>
    <mergeCell ref="A73:C73"/>
    <mergeCell ref="A74:C74"/>
    <mergeCell ref="A246:H246"/>
    <mergeCell ref="A157:H157"/>
    <mergeCell ref="A460:H460"/>
    <mergeCell ref="C443:F443"/>
    <mergeCell ref="C476:F477"/>
    <mergeCell ref="G468:H473"/>
    <mergeCell ref="A425:H425"/>
    <mergeCell ref="A98:B98"/>
    <mergeCell ref="F150:H150"/>
    <mergeCell ref="A144:E144"/>
    <mergeCell ref="A101:B101"/>
    <mergeCell ref="C101:H101"/>
    <mergeCell ref="A95:B95"/>
    <mergeCell ref="F151:H151"/>
    <mergeCell ref="C159:D159"/>
    <mergeCell ref="C103:H103"/>
    <mergeCell ref="A104:B104"/>
    <mergeCell ref="E105:F114"/>
    <mergeCell ref="F143:H143"/>
    <mergeCell ref="A105:B105"/>
    <mergeCell ref="A210:H210"/>
    <mergeCell ref="G70:H70"/>
    <mergeCell ref="B786:H786"/>
    <mergeCell ref="B787:H787"/>
    <mergeCell ref="B788:H788"/>
    <mergeCell ref="A561:H561"/>
    <mergeCell ref="A772:H772"/>
    <mergeCell ref="B784:H784"/>
    <mergeCell ref="C557:F558"/>
    <mergeCell ref="A558:B558"/>
    <mergeCell ref="A481:H481"/>
    <mergeCell ref="C483:F484"/>
    <mergeCell ref="A517:H517"/>
    <mergeCell ref="A496:H496"/>
    <mergeCell ref="A488:H488"/>
    <mergeCell ref="G525:H530"/>
    <mergeCell ref="B783:H783"/>
    <mergeCell ref="G511:H516"/>
    <mergeCell ref="B780:H780"/>
    <mergeCell ref="B776:H776"/>
    <mergeCell ref="G554:H559"/>
    <mergeCell ref="A753:H753"/>
    <mergeCell ref="G754:H759"/>
    <mergeCell ref="B757:F758"/>
    <mergeCell ref="A709:H709"/>
    <mergeCell ref="B789:H789"/>
    <mergeCell ref="A657:H657"/>
    <mergeCell ref="A658:H658"/>
    <mergeCell ref="B774:H774"/>
    <mergeCell ref="B785:H785"/>
    <mergeCell ref="B775:H775"/>
    <mergeCell ref="B781:H781"/>
    <mergeCell ref="B779:H779"/>
    <mergeCell ref="G630:H635"/>
    <mergeCell ref="B633:F634"/>
    <mergeCell ref="A766:H766"/>
    <mergeCell ref="G767:H771"/>
    <mergeCell ref="B770:F770"/>
    <mergeCell ref="A773:H773"/>
    <mergeCell ref="A746:H746"/>
    <mergeCell ref="A663:H663"/>
    <mergeCell ref="G659:H662"/>
    <mergeCell ref="G637:H642"/>
    <mergeCell ref="A673:H673"/>
    <mergeCell ref="G674:H677"/>
    <mergeCell ref="A668:H668"/>
    <mergeCell ref="G669:H672"/>
    <mergeCell ref="B671:F672"/>
    <mergeCell ref="G664:H667"/>
    <mergeCell ref="C67:H67"/>
    <mergeCell ref="C65:E66"/>
    <mergeCell ref="B791:H791"/>
    <mergeCell ref="B793:H793"/>
    <mergeCell ref="B792:H792"/>
    <mergeCell ref="A129:B129"/>
    <mergeCell ref="C129:H129"/>
    <mergeCell ref="A131:B131"/>
    <mergeCell ref="C131:H131"/>
    <mergeCell ref="A132:B132"/>
    <mergeCell ref="E132:F132"/>
    <mergeCell ref="G132:H132"/>
    <mergeCell ref="A133:B133"/>
    <mergeCell ref="E133:F142"/>
    <mergeCell ref="G133:H142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</mergeCells>
  <hyperlinks>
    <hyperlink ref="C40" r:id="rId1"/>
    <hyperlink ref="I83" r:id="rId2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3"/>
  <headerFooter>
    <oddHeader>&amp;C&amp;G</oddHeader>
    <oddFooter>&amp;L&amp;"Times New Roman,Bold"&amp;12Ref No: &amp;F&amp;C&amp;G&amp;R&amp;"Times New Roman,Bold"&amp;12&amp;P</oddFooter>
  </headerFooter>
  <rowBreaks count="6" manualBreakCount="6">
    <brk id="54" max="16383" man="1"/>
    <brk id="67" max="16383" man="1"/>
    <brk id="86" max="16383" man="1"/>
    <brk id="807" max="7" man="1"/>
    <brk id="848" max="7" man="1"/>
    <brk id="881" max="7" man="1"/>
  </rowBreaks>
  <drawing r:id="rId4"/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topLeftCell="A52" zoomScale="85" zoomScaleNormal="85" workbookViewId="0">
      <selection activeCell="G56" sqref="G56"/>
    </sheetView>
  </sheetViews>
  <sheetFormatPr defaultColWidth="8.6328125" defaultRowHeight="14.5" x14ac:dyDescent="0.35"/>
  <cols>
    <col min="1" max="1" width="8.6328125" style="1"/>
    <col min="2" max="2" width="22.089843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63281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203" t="s">
        <v>105</v>
      </c>
      <c r="C3" s="203"/>
      <c r="D3" s="203"/>
      <c r="E3" s="203"/>
      <c r="F3" s="203"/>
      <c r="G3" s="203"/>
      <c r="H3" s="203"/>
    </row>
    <row r="4" spans="1:9" x14ac:dyDescent="0.35">
      <c r="A4" s="2"/>
      <c r="B4" s="3" t="s">
        <v>106</v>
      </c>
      <c r="C4" s="3" t="s">
        <v>107</v>
      </c>
      <c r="D4" s="3" t="s">
        <v>68</v>
      </c>
      <c r="E4" s="3" t="s">
        <v>108</v>
      </c>
      <c r="F4" s="3" t="s">
        <v>114</v>
      </c>
      <c r="G4" s="3" t="s">
        <v>115</v>
      </c>
      <c r="H4" s="3" t="s">
        <v>109</v>
      </c>
    </row>
    <row r="5" spans="1:9" ht="15" customHeight="1" x14ac:dyDescent="0.35">
      <c r="A5" s="2"/>
      <c r="B5" s="5" t="s">
        <v>110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110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110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110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110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111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111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112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113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2025-09-30T12:23:36Z</cp:lastPrinted>
  <dcterms:created xsi:type="dcterms:W3CDTF">2019-07-16T09:29:46Z</dcterms:created>
  <dcterms:modified xsi:type="dcterms:W3CDTF">2025-09-30T12:29:20Z</dcterms:modified>
</cp:coreProperties>
</file>