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Old\"/>
    </mc:Choice>
  </mc:AlternateContent>
  <bookViews>
    <workbookView xWindow="-120" yWindow="-120" windowWidth="20730" windowHeight="11160"/>
  </bookViews>
  <sheets>
    <sheet name="Report" sheetId="3" r:id="rId1"/>
    <sheet name="Construction table" sheetId="4" r:id="rId2"/>
    <sheet name="Remarks" sheetId="5" r:id="rId3"/>
    <sheet name="Area Calculation" sheetId="6" r:id="rId4"/>
  </sheets>
  <definedNames>
    <definedName name="_xlnm.Print_Area" localSheetId="0">Report!$A$1:$H$375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 l="1"/>
  <c r="I139" i="3" l="1"/>
  <c r="G101" i="3" l="1"/>
  <c r="G100" i="3"/>
  <c r="I149" i="3"/>
  <c r="I147" i="3"/>
  <c r="I58" i="3" l="1"/>
  <c r="C20" i="3"/>
  <c r="F211" i="3" l="1"/>
  <c r="E214" i="3"/>
  <c r="H214" i="3" s="1"/>
  <c r="I166" i="3"/>
  <c r="E111" i="3"/>
  <c r="I222" i="3"/>
  <c r="I219" i="3"/>
  <c r="I216" i="3"/>
  <c r="I215" i="3"/>
  <c r="I212" i="3"/>
  <c r="I209" i="3"/>
  <c r="I206" i="3"/>
  <c r="I205" i="3"/>
  <c r="I192" i="3"/>
  <c r="I179" i="3"/>
  <c r="E224" i="3"/>
  <c r="F224" i="3"/>
  <c r="F221" i="3"/>
  <c r="F220" i="3"/>
  <c r="E221" i="3"/>
  <c r="H221" i="3" s="1"/>
  <c r="K221" i="3" s="1"/>
  <c r="E220" i="3"/>
  <c r="E218" i="3"/>
  <c r="H218" i="3" s="1"/>
  <c r="K218" i="3" s="1"/>
  <c r="E217" i="3"/>
  <c r="H217" i="3" s="1"/>
  <c r="E208" i="3"/>
  <c r="E207" i="3"/>
  <c r="E211" i="3"/>
  <c r="H211" i="3" s="1"/>
  <c r="F208" i="3"/>
  <c r="F207" i="3"/>
  <c r="E204" i="3"/>
  <c r="H204" i="3" s="1"/>
  <c r="E203" i="3"/>
  <c r="H203" i="3" s="1"/>
  <c r="E202" i="3"/>
  <c r="H202" i="3" s="1"/>
  <c r="E201" i="3"/>
  <c r="E200" i="3"/>
  <c r="H200" i="3" s="1"/>
  <c r="E199" i="3"/>
  <c r="H199" i="3" s="1"/>
  <c r="E198" i="3"/>
  <c r="H198" i="3" s="1"/>
  <c r="E197" i="3"/>
  <c r="H197" i="3" s="1"/>
  <c r="F196" i="3"/>
  <c r="E196" i="3"/>
  <c r="F195" i="3"/>
  <c r="E195" i="3"/>
  <c r="E194" i="3"/>
  <c r="H194" i="3" s="1"/>
  <c r="E193" i="3"/>
  <c r="H193" i="3" s="1"/>
  <c r="H201" i="3"/>
  <c r="G111" i="3" s="1"/>
  <c r="E188" i="3"/>
  <c r="H188" i="3" s="1"/>
  <c r="E187" i="3"/>
  <c r="H187" i="3" s="1"/>
  <c r="E186" i="3"/>
  <c r="H186" i="3" s="1"/>
  <c r="E185" i="3"/>
  <c r="H185" i="3" s="1"/>
  <c r="E184" i="3"/>
  <c r="H184" i="3" s="1"/>
  <c r="F183" i="3"/>
  <c r="E183" i="3"/>
  <c r="F182" i="3"/>
  <c r="E182" i="3"/>
  <c r="E181" i="3"/>
  <c r="H181" i="3" s="1"/>
  <c r="F170" i="3"/>
  <c r="F169" i="3"/>
  <c r="E178" i="3"/>
  <c r="E177" i="3"/>
  <c r="H177" i="3" s="1"/>
  <c r="E176" i="3"/>
  <c r="H176" i="3" s="1"/>
  <c r="E175" i="3"/>
  <c r="H175" i="3" s="1"/>
  <c r="E174" i="3"/>
  <c r="H174" i="3" s="1"/>
  <c r="E173" i="3"/>
  <c r="H173" i="3" s="1"/>
  <c r="E172" i="3"/>
  <c r="H172" i="3" s="1"/>
  <c r="E171" i="3"/>
  <c r="H171" i="3" s="1"/>
  <c r="E170" i="3"/>
  <c r="E169" i="3"/>
  <c r="E168" i="3"/>
  <c r="H168" i="3" s="1"/>
  <c r="E167" i="3"/>
  <c r="H167" i="3" s="1"/>
  <c r="H178" i="3"/>
  <c r="F156" i="3"/>
  <c r="E143" i="3"/>
  <c r="E140" i="3"/>
  <c r="E139" i="3"/>
  <c r="E156" i="3"/>
  <c r="F143" i="3"/>
  <c r="E153" i="3"/>
  <c r="E152" i="3"/>
  <c r="E150" i="3"/>
  <c r="E149" i="3"/>
  <c r="E137" i="3"/>
  <c r="E136" i="3"/>
  <c r="E133" i="3"/>
  <c r="E130" i="3"/>
  <c r="E127" i="3"/>
  <c r="E126" i="3"/>
  <c r="H156" i="3"/>
  <c r="I154" i="3"/>
  <c r="I151" i="3"/>
  <c r="I148" i="3"/>
  <c r="I144" i="3"/>
  <c r="I141" i="3"/>
  <c r="I138" i="3"/>
  <c r="I135" i="3"/>
  <c r="I134" i="3"/>
  <c r="I131" i="3"/>
  <c r="I128" i="3"/>
  <c r="I125" i="3"/>
  <c r="F153" i="3"/>
  <c r="A153" i="3"/>
  <c r="F152" i="3"/>
  <c r="F150" i="3"/>
  <c r="F149" i="3"/>
  <c r="H149" i="3" s="1"/>
  <c r="A150" i="3"/>
  <c r="F146" i="3"/>
  <c r="H146" i="3" s="1"/>
  <c r="E146" i="3"/>
  <c r="F140" i="3"/>
  <c r="A140" i="3"/>
  <c r="F139" i="3"/>
  <c r="F137" i="3"/>
  <c r="F136" i="3"/>
  <c r="H137" i="3"/>
  <c r="A137" i="3"/>
  <c r="F133" i="3"/>
  <c r="F130" i="3"/>
  <c r="F127" i="3"/>
  <c r="F126" i="3"/>
  <c r="I115" i="3"/>
  <c r="V145" i="3"/>
  <c r="U132" i="3"/>
  <c r="U142" i="3"/>
  <c r="V142" i="3"/>
  <c r="U145" i="3"/>
  <c r="V132" i="3"/>
  <c r="H224" i="3" l="1"/>
  <c r="I224" i="3" s="1"/>
  <c r="I217" i="3"/>
  <c r="K217" i="3"/>
  <c r="H170" i="3"/>
  <c r="H183" i="3"/>
  <c r="E105" i="3"/>
  <c r="H136" i="3"/>
  <c r="E110" i="3"/>
  <c r="E112" i="3" s="1"/>
  <c r="H182" i="3"/>
  <c r="H139" i="3"/>
  <c r="H133" i="3"/>
  <c r="E106" i="3"/>
  <c r="H152" i="3"/>
  <c r="I152" i="3" s="1"/>
  <c r="H220" i="3"/>
  <c r="H169" i="3"/>
  <c r="H195" i="3"/>
  <c r="H207" i="3"/>
  <c r="H208" i="3"/>
  <c r="H196" i="3"/>
  <c r="H153" i="3"/>
  <c r="H150" i="3"/>
  <c r="V146" i="3"/>
  <c r="U146" i="3"/>
  <c r="T145" i="3"/>
  <c r="H140" i="3"/>
  <c r="H143" i="3"/>
  <c r="T142" i="3"/>
  <c r="U143" i="3"/>
  <c r="V143" i="3"/>
  <c r="T132" i="3"/>
  <c r="U133" i="3"/>
  <c r="V133" i="3"/>
  <c r="K220" i="3" l="1"/>
  <c r="I220" i="3"/>
  <c r="J151" i="3"/>
  <c r="I150" i="3"/>
  <c r="E107" i="3"/>
  <c r="E113" i="3" s="1"/>
  <c r="G110" i="3"/>
  <c r="G112" i="3" s="1"/>
  <c r="G106" i="3"/>
  <c r="T146" i="3"/>
  <c r="T143" i="3"/>
  <c r="T133" i="3"/>
  <c r="D239" i="3" l="1"/>
  <c r="D237" i="3"/>
  <c r="H126" i="3"/>
  <c r="H127" i="3"/>
  <c r="A63"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7" i="3" l="1"/>
  <c r="C19" i="3"/>
  <c r="H130" i="3"/>
  <c r="G105" i="3" s="1"/>
  <c r="G107" i="3" s="1"/>
  <c r="G113" i="3" s="1"/>
  <c r="A79" i="3" l="1"/>
  <c r="D80" i="3" s="1"/>
  <c r="D64"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80" i="3"/>
  <c r="F38" i="4" l="1"/>
  <c r="G38" i="4"/>
  <c r="E18" i="4"/>
  <c r="E15" i="4"/>
  <c r="E17" i="4"/>
  <c r="E11" i="4"/>
  <c r="K6" i="4"/>
  <c r="E9" i="4"/>
  <c r="K8" i="4"/>
  <c r="C7" i="4" s="1"/>
  <c r="E14" i="4"/>
  <c r="E12" i="4"/>
  <c r="E16" i="4"/>
  <c r="E10" i="4"/>
  <c r="K9" i="4"/>
  <c r="K10" i="4" s="1"/>
  <c r="K11" i="4" s="1"/>
  <c r="E13" i="4"/>
  <c r="K7" i="4"/>
  <c r="J91" i="3"/>
  <c r="J90" i="3"/>
  <c r="K12" i="4" l="1"/>
  <c r="K16" i="4" s="1"/>
  <c r="C8" i="4" s="1"/>
  <c r="E8" i="4" s="1"/>
  <c r="E7" i="4"/>
  <c r="A127" i="3"/>
  <c r="F7" i="4" l="1"/>
  <c r="J4" i="4" s="1"/>
  <c r="H7" i="4" s="1"/>
  <c r="G4" i="3" l="1"/>
  <c r="D238" i="3" l="1"/>
  <c r="G102" i="3"/>
  <c r="J75" i="3"/>
  <c r="J74" i="3"/>
  <c r="H64" i="3"/>
  <c r="J70" i="3" l="1"/>
  <c r="D73" i="3"/>
  <c r="D70" i="3"/>
  <c r="D68" i="3"/>
  <c r="J68" i="3"/>
  <c r="C66" i="3" s="1"/>
  <c r="D77" i="3"/>
  <c r="D75" i="3"/>
  <c r="D72" i="3"/>
  <c r="D69" i="3"/>
  <c r="J69" i="3"/>
  <c r="J67" i="3"/>
  <c r="D76" i="3"/>
  <c r="D74" i="3"/>
  <c r="D71" i="3"/>
  <c r="D93" i="3" l="1"/>
  <c r="D85" i="3"/>
  <c r="D88" i="3"/>
  <c r="J84" i="3"/>
  <c r="D92" i="3"/>
  <c r="D86" i="3"/>
  <c r="J83" i="3"/>
  <c r="D91" i="3"/>
  <c r="J86" i="3"/>
  <c r="D90" i="3"/>
  <c r="D84" i="3"/>
  <c r="J85" i="3"/>
  <c r="C82" i="3" s="1"/>
  <c r="D89" i="3"/>
  <c r="D87" i="3"/>
  <c r="J71" i="3"/>
  <c r="J76" i="3" s="1"/>
  <c r="C67" i="3" s="1"/>
  <c r="J87" i="3" l="1"/>
  <c r="J88" i="3" s="1"/>
  <c r="C83" i="3" s="1"/>
  <c r="D82" i="3"/>
  <c r="J92" i="3"/>
  <c r="J89" i="3"/>
  <c r="J72" i="3"/>
  <c r="J93" i="3" l="1"/>
  <c r="J73" i="3"/>
  <c r="D83" i="3" l="1"/>
  <c r="E82" i="3"/>
  <c r="I81" i="3" s="1"/>
  <c r="G82" i="3" s="1"/>
  <c r="J77" i="3"/>
  <c r="V129" i="3"/>
  <c r="U129" i="3"/>
  <c r="D66" i="3" l="1"/>
  <c r="E66" i="3"/>
  <c r="G94" i="3" s="1"/>
  <c r="V130" i="3"/>
  <c r="U130" i="3"/>
  <c r="T129" i="3"/>
  <c r="D67" i="3" l="1"/>
  <c r="I65" i="3"/>
  <c r="G66" i="3" s="1"/>
  <c r="T130" i="3"/>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8" authorId="0" shapeId="0">
      <text>
        <r>
          <rPr>
            <b/>
            <sz val="12"/>
            <color indexed="81"/>
            <rFont val="Tahoma"/>
            <family val="2"/>
          </rPr>
          <t>Maybe same as RERA Registration Validity or different</t>
        </r>
      </text>
    </comment>
    <comment ref="G18" authorId="0" shapeId="0">
      <text>
        <r>
          <rPr>
            <b/>
            <sz val="18"/>
            <color indexed="81"/>
            <rFont val="Tahoma"/>
            <family val="2"/>
          </rPr>
          <t>From Rera</t>
        </r>
      </text>
    </comment>
    <comment ref="C21" authorId="0" shapeId="0">
      <text>
        <r>
          <rPr>
            <b/>
            <sz val="16"/>
            <color indexed="81"/>
            <rFont val="Tahoma"/>
            <family val="2"/>
          </rPr>
          <t>From RERA</t>
        </r>
      </text>
    </comment>
    <comment ref="G21" authorId="0" shapeId="0">
      <text>
        <r>
          <rPr>
            <b/>
            <sz val="16"/>
            <color indexed="81"/>
            <rFont val="Tahoma"/>
            <family val="2"/>
          </rPr>
          <t>From RERA</t>
        </r>
      </text>
    </comment>
    <comment ref="G22" authorId="0" shapeId="0">
      <text>
        <r>
          <rPr>
            <b/>
            <sz val="16"/>
            <color indexed="81"/>
            <rFont val="Tahoma"/>
            <family val="2"/>
          </rPr>
          <t>From RERA</t>
        </r>
      </text>
    </comment>
    <comment ref="G28" authorId="0" shapeId="0">
      <text>
        <r>
          <rPr>
            <b/>
            <sz val="12"/>
            <color indexed="81"/>
            <rFont val="Tahoma"/>
            <family val="2"/>
          </rPr>
          <t>SACHIN:</t>
        </r>
        <r>
          <rPr>
            <sz val="12"/>
            <color indexed="81"/>
            <rFont val="Tahoma"/>
            <family val="2"/>
          </rPr>
          <t xml:space="preserve">
Road size should be in metre</t>
        </r>
      </text>
    </comment>
    <comment ref="G100"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<sst xmlns="http://schemas.openxmlformats.org/spreadsheetml/2006/main" count="786" uniqueCount="413">
  <si>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</si>
  <si>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</si>
  <si>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</si>
  <si>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</si>
  <si>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</si>
  <si>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</si>
  <si>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</si>
  <si>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</si>
  <si>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</si>
  <si>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</si>
  <si>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</si>
  <si>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</si>
  <si>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</si>
  <si>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</si>
  <si>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</si>
  <si>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</si>
  <si>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</si>
  <si>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</si>
  <si>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</si>
  <si>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</si>
  <si>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</si>
  <si>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</si>
  <si>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</si>
  <si>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</si>
  <si>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</si>
  <si>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</si>
  <si>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</si>
  <si>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</si>
  <si>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</si>
  <si>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</si>
  <si>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</si>
  <si>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</si>
  <si>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</si>
  <si>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</si>
  <si>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</si>
  <si>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</si>
  <si>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</si>
  <si>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</si>
  <si>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</si>
  <si>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</si>
  <si>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</si>
  <si>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</si>
  <si>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</si>
  <si>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</si>
  <si>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</si>
  <si>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</si>
  <si>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</si>
  <si>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</si>
  <si>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</si>
  <si>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</si>
  <si>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</si>
  <si>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</si>
  <si>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</si>
  <si>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</si>
  <si>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</si>
  <si>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</si>
  <si>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</si>
  <si>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</si>
  <si>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</si>
  <si>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</si>
  <si>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</si>
  <si>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</si>
  <si>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</si>
  <si>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</si>
  <si>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</si>
  <si>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</si>
  <si>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</si>
  <si>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</si>
  <si>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</si>
  <si>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</si>
  <si>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</si>
  <si>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</si>
  <si>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</si>
  <si>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</si>
  <si>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</si>
  <si>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</si>
  <si>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</si>
  <si>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</si>
  <si>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</si>
  <si>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</si>
  <si>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</si>
  <si>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</si>
  <si>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</si>
  <si>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</si>
  <si>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</si>
  <si>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</si>
  <si>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</si>
  <si>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</si>
  <si>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</si>
  <si>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</si>
  <si>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</si>
  <si>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</si>
  <si>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</si>
  <si>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</si>
  <si>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</si>
  <si>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</si>
  <si>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</si>
  <si>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</si>
  <si>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</si>
  <si>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</si>
  <si>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</si>
  <si>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</si>
  <si>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</si>
  <si>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</si>
  <si>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</si>
  <si>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</si>
  <si>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</si>
  <si>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</si>
  <si>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</si>
  <si>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</si>
  <si>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</si>
  <si>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</si>
  <si>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</si>
  <si>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</si>
  <si>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</si>
  <si>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</si>
  <si>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</si>
  <si>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</si>
  <si>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</si>
  <si>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</si>
  <si>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</si>
  <si>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</si>
  <si>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</si>
  <si>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</si>
  <si>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</si>
  <si>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</si>
  <si>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</si>
  <si>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</si>
  <si>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</si>
  <si>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</si>
  <si>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</si>
  <si>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</si>
  <si>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</si>
  <si>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</si>
  <si>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</si>
  <si>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</si>
  <si>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</si>
  <si>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</si>
  <si>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</si>
  <si>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</si>
  <si>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</si>
  <si>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</si>
  <si>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</si>
  <si>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</si>
  <si>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</si>
  <si>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</si>
  <si>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</si>
  <si>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</si>
  <si>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</si>
  <si>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</si>
  <si>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</si>
  <si>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</si>
  <si>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</si>
  <si>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</si>
  <si>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</si>
  <si>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</si>
  <si>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</si>
  <si>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</si>
  <si>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</si>
  <si>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</si>
  <si>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</si>
  <si>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</si>
  <si>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</si>
  <si>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</si>
  <si>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</si>
  <si>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</si>
  <si>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</si>
  <si>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</si>
  <si>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</si>
  <si>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</si>
  <si>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</si>
  <si>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</si>
  <si>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</si>
  <si>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</si>
  <si>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</si>
  <si>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</si>
  <si>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</si>
  <si>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</si>
  <si>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</si>
  <si>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</si>
  <si>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</si>
  <si>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</si>
  <si>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</si>
  <si>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</si>
  <si>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</si>
  <si>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</si>
  <si>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</si>
  <si>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</si>
  <si>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</si>
  <si>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</si>
  <si>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</si>
  <si>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</si>
  <si>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</si>
  <si>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</si>
  <si>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</si>
  <si>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</si>
  <si>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</si>
  <si>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</si>
  <si>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</si>
  <si>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</si>
  <si>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</si>
  <si>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</si>
  <si>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</si>
  <si>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</si>
  <si>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</si>
  <si>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</si>
  <si>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</si>
  <si>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</si>
  <si>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</si>
  <si>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</si>
  <si>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</si>
  <si>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</si>
  <si>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</si>
  <si>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</si>
  <si>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</si>
  <si>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</si>
  <si>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</si>
  <si>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</si>
  <si>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</si>
  <si>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</si>
  <si>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</si>
  <si>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</si>
  <si>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</si>
  <si>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</si>
  <si>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</si>
  <si>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</si>
  <si>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</si>
  <si>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</si>
  <si>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</si>
  <si>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</si>
  <si>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</si>
  <si>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</si>
  <si>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</si>
  <si>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</si>
  <si>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</si>
  <si>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Valid Upto 
Date</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</si>
  <si>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</si>
  <si>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</si>
  <si>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</si>
  <si>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</si>
  <si>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</si>
  <si>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</si>
  <si>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</si>
  <si>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</si>
  <si>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</si>
  <si>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</si>
  <si>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</si>
  <si>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</si>
  <si>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</si>
  <si>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</si>
  <si>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</si>
  <si>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</si>
  <si>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</si>
  <si>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</si>
  <si>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</si>
  <si>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</si>
  <si>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</si>
  <si>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</si>
  <si>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</si>
  <si>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</si>
  <si>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</si>
  <si>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</si>
  <si>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</si>
  <si>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</si>
  <si>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</si>
  <si>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</si>
  <si>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</si>
  <si>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</si>
  <si>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</si>
  <si>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</si>
  <si>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</si>
  <si>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</si>
  <si>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</si>
  <si>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</si>
  <si>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</si>
  <si>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</si>
  <si>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</si>
  <si>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</si>
  <si>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</si>
  <si>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</si>
  <si>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</si>
  <si>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</si>
  <si>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</si>
  <si>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</si>
  <si>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</si>
  <si>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</si>
  <si>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</si>
  <si>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</si>
  <si>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</si>
  <si>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</si>
  <si>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</si>
  <si>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</si>
  <si>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</si>
  <si>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Upper</t>
  </si>
  <si>
    <t>Bitumen</t>
  </si>
  <si>
    <t>7 RCC
3Brick 
2 plaster</t>
  </si>
  <si>
    <t>Tower 1</t>
  </si>
  <si>
    <t>Mr. Suraj Khare</t>
  </si>
  <si>
    <t>Prestige Ocean Towers - North &amp; South</t>
  </si>
  <si>
    <t>M/s. Prestige Projects Private Limited</t>
  </si>
  <si>
    <t>1005, 10th Floor, Godrej BKC, Plot C-68, G-Block, Bandra Kurla Complex, Village Kolekalyan, Tal. Andheri, Mumbai 400051.</t>
  </si>
  <si>
    <t>Prestige Ocean Towers - North &amp; South, Plot No 2193, Charni Road, Girgaon, Mumbai South, Maharashtra, 400004.</t>
  </si>
  <si>
    <t>Prestige Ocean Towers - North &amp; South, Maharshi Karve Rd, Hemraj Wadi, Thakurdwar, Girgaon, Mumbai, Maharashtra 400002.</t>
  </si>
  <si>
    <t>Approved Layout &amp; Floor Plans, CC, RERA certificate, Airport NOC, CRZ NOC, EC</t>
  </si>
  <si>
    <t>Municipal Corporation of Greater Mumbai (MCGM)</t>
  </si>
  <si>
    <t>North Tower = 30/06/2030
South Tower = 31/12/2030</t>
  </si>
  <si>
    <t>ICICI Bank Limited</t>
  </si>
  <si>
    <t>18.9504333,72.8212283</t>
  </si>
  <si>
    <t>https://maps.app.goo.gl/VDqWpHFyMroYq5E86</t>
  </si>
  <si>
    <t>S.K. Patil Garden</t>
  </si>
  <si>
    <t>Kids Play Area, Multipurpose court, Amphitheater, Club House, Indoor Games, Landscape Garden, Senior Citizen Area, Banquet Hall, Gym, Swimming Pool etc.</t>
  </si>
  <si>
    <t>12m</t>
  </si>
  <si>
    <t>Other Plot</t>
  </si>
  <si>
    <t>27.44 M.W. Maharshi Karve Road</t>
  </si>
  <si>
    <t>12.20 M.W. S.K.Patil</t>
  </si>
  <si>
    <t>Slum</t>
  </si>
  <si>
    <t>Bhai Jivanji Ln</t>
  </si>
  <si>
    <t>0.35 KM from Charni Road Railway Station Bus Stop</t>
  </si>
  <si>
    <t>0.35 KM from Charni Road Railway Station
0.50 KM from Marine Lines Railway Station</t>
  </si>
  <si>
    <t>About 0.80 KM from Conwest &amp; Manjula S Badani Hospital</t>
  </si>
  <si>
    <t>1. Approx. 0.75 KM from Vegetable Market.
2. Approx. 2.00 KM from Crawford Market.</t>
  </si>
  <si>
    <t>About 0.65 KM from St. Sebastian Goan High School</t>
  </si>
  <si>
    <t>2B + G + 1st to 51st Floor</t>
  </si>
  <si>
    <t>2B + G + 1st to 52nd Floor</t>
  </si>
  <si>
    <t>2B + G + 1st to 55th Floor</t>
  </si>
  <si>
    <t>EB/1525/C/A/337/9/Amend</t>
  </si>
  <si>
    <t>EB/1525/C/A/FCC/1/New</t>
  </si>
  <si>
    <t>This C.C. is endorsed up to plinth i.e. up to the top slab of 3rd Podium Floor as per approved plan dated 12.9.2023.</t>
  </si>
  <si>
    <t>SNCR/WEST/B/102122/713099</t>
  </si>
  <si>
    <t>Site Elevation (AMSL) = 4.65 Mtrs
Permissible Top Elevation (AMSL) = 275.37 Mtrs</t>
  </si>
  <si>
    <t>EB/1525/C/A-CFO</t>
  </si>
  <si>
    <t>Tower 2</t>
  </si>
  <si>
    <t>Sale / AH/RR</t>
  </si>
  <si>
    <t>Wing 1 / Tower 1 (North Tower)</t>
  </si>
  <si>
    <t>2nd &amp; 1st Basement Floor for Parking</t>
  </si>
  <si>
    <t>7th Floor for Fitness Center</t>
  </si>
  <si>
    <t>1st Floor for Podium Parking, Meter Room &amp; Panel Room</t>
  </si>
  <si>
    <t xml:space="preserve">2nd &amp; 3rd Floor for Podium Parking &amp; Society Office </t>
  </si>
  <si>
    <t>4th &amp; 5th Floor For Podium Parking</t>
  </si>
  <si>
    <t>6th Podium Floor for Garden, Meeting Room, Kids Play Area (Part Refuge Area)</t>
  </si>
  <si>
    <t>8th Floor As Service Floor</t>
  </si>
  <si>
    <t>9th to 13th &amp; 15th to 20th &amp; 24th Floor for Residential</t>
  </si>
  <si>
    <t xml:space="preserve"> - </t>
  </si>
  <si>
    <t>Deck Area</t>
  </si>
  <si>
    <t>4BHK</t>
  </si>
  <si>
    <t>14th Floor For Residential (Part Refuge Area)</t>
  </si>
  <si>
    <t>5BHK</t>
  </si>
  <si>
    <t>Refuge Area</t>
  </si>
  <si>
    <t>21st Floor For Residential (Part Refuge Area)</t>
  </si>
  <si>
    <t>23rd Floor For Residential</t>
  </si>
  <si>
    <t>25th to 28th, 30th to 35th, 37th to 42nd, 46th &amp; 47th Floor</t>
  </si>
  <si>
    <t>29th &amp; 36th Floor For Residential (Part Refuge Area)</t>
  </si>
  <si>
    <t>43rd Floor For Residential (Part Refuge Area)</t>
  </si>
  <si>
    <t>44th Floor as Service Floor</t>
  </si>
  <si>
    <t>22nd Floor as Service Floor</t>
  </si>
  <si>
    <t>45th Floor For Residential</t>
  </si>
  <si>
    <t>48th to 50th Floor</t>
  </si>
  <si>
    <t>51st Floor For Residential (Part Terrace Area Treated as Refuge)</t>
  </si>
  <si>
    <t>Terrace Area</t>
  </si>
  <si>
    <t>Wing 2 / Tower 2 (South Tower)</t>
  </si>
  <si>
    <t>OK</t>
  </si>
  <si>
    <t>9th to 13th &amp; 15th to 20th &amp; 22nd Floor for Residential</t>
  </si>
  <si>
    <t>AH/RR</t>
  </si>
  <si>
    <t>MP Room</t>
  </si>
  <si>
    <t>14th &amp; 21st Floor For Residential (Part Refuge Area)</t>
  </si>
  <si>
    <t>24th Floor as Service Floor</t>
  </si>
  <si>
    <t xml:space="preserve"> -</t>
  </si>
  <si>
    <t>48th to 50th &amp; 52nd Floor</t>
  </si>
  <si>
    <t>51st Floor For Residential (Part Refuge Area)</t>
  </si>
  <si>
    <t xml:space="preserve"> Diff of 3 Sq Ft</t>
  </si>
  <si>
    <t>Ground Floor for Entrance Lobby &amp; Control Room</t>
  </si>
  <si>
    <t xml:space="preserve">We considered Gross carpet area = Net carpet + Deck Area.
</t>
  </si>
  <si>
    <t>Mr. Karan Misal</t>
  </si>
  <si>
    <t>CRZ NOC:</t>
  </si>
  <si>
    <t>CRZ 2014 /CR 157/TC 4</t>
  </si>
  <si>
    <t>Mumbai-RO Thane</t>
  </si>
  <si>
    <t xml:space="preserve">Proposed Development On Plot Bearing C.S. No.2193 (Pt) Of Bhuleshwar Division 'C' Ward, Situated at the Junction of Babasaheb Jaykar Marg &amp; Maharshi Karve Road, Mumbai. </t>
  </si>
  <si>
    <t>North Tower = 18/12/2023
South Tower = 11/06/2024</t>
  </si>
  <si>
    <t>North Tower = Oct-24
South Tower = Aug-24</t>
  </si>
  <si>
    <t xml:space="preserve"> 
P51900053993</t>
  </si>
  <si>
    <t xml:space="preserve"> 
P51900066470</t>
  </si>
  <si>
    <t xml:space="preserve">North Tower - 
(Wing 1/ Tower 1) </t>
  </si>
  <si>
    <t>South Tower 
(Wing 2/ Tower 2)</t>
  </si>
  <si>
    <t>Maharshi Karve Road</t>
  </si>
  <si>
    <t>Dr. Babasaheb Jaykar Marg</t>
  </si>
  <si>
    <t>18.30 Mt. Wide Dr. Babasaheb Jaykar Marg</t>
  </si>
  <si>
    <t>North Tower
Wing 1 (Tower 1)</t>
  </si>
  <si>
    <t xml:space="preserve">CC Details
Valid Up to: </t>
  </si>
  <si>
    <t>SEIAA-EC-0000002180
CS No. 2193
Proposed Builtup Area =193926.87 sq.m</t>
  </si>
  <si>
    <t xml:space="preserve">Environmental Clearance Details
Valid Up to: </t>
  </si>
  <si>
    <t xml:space="preserve">Airport Authority Clearance Details
Valid Up to: </t>
  </si>
  <si>
    <t xml:space="preserve">Fire NOC
Valid Up to: </t>
  </si>
  <si>
    <t>Wing 1 (Tower 1) = 2B + Gr/Stilt + P1 to P6 + 7th Floor + 8th to 51st Floor
(Height = 205.90M)
Wing 2 (Tower 2) = 2B + Gr/Stilt + P1 to P6 + 7th Floor + 8th to 55th Floor
(Height = 221.50M)</t>
  </si>
  <si>
    <t>Construction work is in process at the time of Visit.</t>
  </si>
  <si>
    <t>South Tower
Wing 2 (Tower 2)</t>
  </si>
  <si>
    <t>Sale /AH/RR</t>
  </si>
  <si>
    <t>16.02.2025.</t>
  </si>
  <si>
    <t>Validity Date of CC is expired on 16/02/2025. Provide revised approved CC.</t>
  </si>
  <si>
    <t>Grand Total</t>
  </si>
  <si>
    <t>8th Floor For Service Floor</t>
  </si>
  <si>
    <t>7th Floor For Fitness Center</t>
  </si>
  <si>
    <t>As per approved floor plan flat type AH/RR to be handed over to MCGM</t>
  </si>
  <si>
    <t>We have given Valuation for Sale Flats only.</t>
  </si>
  <si>
    <t>Sale Flats = 126
AH/RR MP Rooms = 170 Sale MP Rooms  = 2</t>
  </si>
  <si>
    <t>As per RERA Site Flats = Flat - 126
AH/RR MP Rooms = 170</t>
  </si>
  <si>
    <t>We have referred Fire Noc from MCGM site on 05/07/2025</t>
  </si>
  <si>
    <t>93000 to 94000</t>
  </si>
  <si>
    <t>as per book</t>
  </si>
  <si>
    <t>Unit Details, Nomenclature and Area Details (Flat)</t>
  </si>
  <si>
    <t>Unit Details, Nomenclature and Area Details (MP Room)</t>
  </si>
  <si>
    <t>Wing 2 (Tower 2) ground floor shop numbering is not mentioned in the approved floor plan. Therefore we are unable to draft the commercial area for Wing 2 (Tower 2).</t>
  </si>
  <si>
    <t xml:space="preserve">01/10/2025 at 02:52PM </t>
  </si>
  <si>
    <t>Ms. Manisha 8904004107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</si>
</sst>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2"/>
      <color theme="10"/>
      <name val="Calibri"/>
      <family val="2"/>
    </font>
    <font>
      <sz val="12"/>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1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7" fillId="0" borderId="0" xfId="1" applyNumberFormat="1" applyFont="1" applyAlignment="1">
      <alignment horizontal="center" vertical="center"/>
    </xf>
    <xf numFmtId="0" fontId="3" fillId="0" borderId="1" xfId="0" applyFont="1" applyBorder="1" applyAlignment="1">
      <alignment vertical="top"/>
    </xf>
    <xf numFmtId="1" fontId="3" fillId="0" borderId="0" xfId="0" applyNumberFormat="1" applyFont="1" applyAlignment="1">
      <alignment vertical="top"/>
    </xf>
    <xf numFmtId="0" fontId="9" fillId="0" borderId="0" xfId="0" applyFont="1" applyAlignment="1">
      <alignment vertical="top"/>
    </xf>
    <xf numFmtId="0" fontId="4" fillId="4" borderId="1" xfId="0" applyFont="1" applyFill="1" applyBorder="1" applyAlignment="1">
      <alignment horizontal="left"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8" fillId="0" borderId="0" xfId="0" applyFont="1" applyAlignment="1">
      <alignment vertical="top"/>
    </xf>
    <xf numFmtId="0" fontId="5" fillId="4" borderId="1" xfId="1" applyFont="1" applyFill="1" applyBorder="1" applyAlignment="1">
      <alignment horizontal="center" vertical="center" wrapText="1"/>
    </xf>
    <xf numFmtId="0" fontId="4" fillId="0" borderId="0" xfId="0" applyFont="1" applyAlignment="1">
      <alignment vertical="top"/>
    </xf>
    <xf numFmtId="14" fontId="3" fillId="0" borderId="0" xfId="0" applyNumberFormat="1" applyFont="1" applyAlignment="1">
      <alignment vertical="top"/>
    </xf>
    <xf numFmtId="0" fontId="3" fillId="0" borderId="0" xfId="0" applyNumberFormat="1" applyFont="1" applyAlignment="1">
      <alignmen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left" vertical="center"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9" fontId="4" fillId="4" borderId="2" xfId="1" applyNumberFormat="1" applyFont="1" applyFill="1" applyBorder="1" applyAlignment="1" applyProtection="1">
      <alignment horizontal="center" vertical="top" wrapText="1"/>
      <protection hidden="1"/>
    </xf>
    <xf numFmtId="9" fontId="4" fillId="4" borderId="5" xfId="1" applyNumberFormat="1" applyFont="1" applyFill="1" applyBorder="1" applyAlignment="1" applyProtection="1">
      <alignment horizontal="center" vertical="top" wrapText="1"/>
      <protection hidden="1"/>
    </xf>
    <xf numFmtId="164" fontId="4" fillId="4" borderId="2" xfId="0" applyNumberFormat="1" applyFont="1" applyFill="1" applyBorder="1" applyAlignment="1">
      <alignment horizontal="left" vertical="top" wrapText="1"/>
    </xf>
    <xf numFmtId="164" fontId="4" fillId="4" borderId="5" xfId="0" applyNumberFormat="1" applyFont="1" applyFill="1" applyBorder="1" applyAlignment="1">
      <alignment horizontal="left" vertical="top" wrapText="1"/>
    </xf>
    <xf numFmtId="0" fontId="26" fillId="4" borderId="1" xfId="2" applyFont="1" applyFill="1" applyBorder="1" applyAlignment="1">
      <alignment horizontal="center" vertical="top" wrapText="1"/>
    </xf>
    <xf numFmtId="0" fontId="27" fillId="4" borderId="1" xfId="0" applyFont="1" applyFill="1" applyBorder="1" applyAlignment="1">
      <alignment horizontal="center" vertical="top" wrapText="1"/>
    </xf>
    <xf numFmtId="14" fontId="4" fillId="4" borderId="2" xfId="0" applyNumberFormat="1"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13" xfId="0" applyFont="1" applyFill="1" applyBorder="1" applyAlignment="1">
      <alignment horizontal="left"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8</xdr:col>
      <xdr:colOff>285750</xdr:colOff>
      <xdr:row>9</xdr:row>
      <xdr:rowOff>38100</xdr:rowOff>
    </xdr:from>
    <xdr:to>
      <xdr:col>10</xdr:col>
      <xdr:colOff>398753</xdr:colOff>
      <xdr:row>9</xdr:row>
      <xdr:rowOff>715737</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658350" y="4505325"/>
          <a:ext cx="3431725" cy="677637"/>
        </a:xfrm>
        <a:prstGeom prst="rect">
          <a:avLst/>
        </a:prstGeom>
        <a:ln>
          <a:solidFill>
            <a:schemeClr val="tx1"/>
          </a:solidFill>
        </a:ln>
      </xdr:spPr>
    </xdr:pic>
    <xdr:clientData/>
  </xdr:twoCellAnchor>
  <xdr:twoCellAnchor>
    <xdr:from>
      <xdr:col>0</xdr:col>
      <xdr:colOff>1053352</xdr:colOff>
      <xdr:row>284</xdr:row>
      <xdr:rowOff>134472</xdr:rowOff>
    </xdr:from>
    <xdr:to>
      <xdr:col>7</xdr:col>
      <xdr:colOff>829235</xdr:colOff>
      <xdr:row>330</xdr:row>
      <xdr:rowOff>22413</xdr:rowOff>
    </xdr:to>
    <xdr:grpSp>
      <xdr:nvGrpSpPr>
        <xdr:cNvPr id="4" name="Group 3"/>
        <xdr:cNvGrpSpPr/>
      </xdr:nvGrpSpPr>
      <xdr:grpSpPr>
        <a:xfrm>
          <a:off x="1053352" y="90213758"/>
          <a:ext cx="8089847" cy="11780584"/>
          <a:chOff x="733425" y="63150750"/>
          <a:chExt cx="4781550" cy="8147325"/>
        </a:xfrm>
      </xdr:grpSpPr>
      <xdr:pic>
        <xdr:nvPicPr>
          <xdr:cNvPr id="5" name="Picture 4">
            <a:extLst>
              <a:ext uri="{FF2B5EF4-FFF2-40B4-BE49-F238E27FC236}">
                <a16:creationId xmlns="" xmlns:a16="http://schemas.microsoft.com/office/drawing/2014/main" id="{FD3B529F-2C6D-5C81-9411-366C1A3602C3}"/>
              </a:ext>
            </a:extLst>
          </xdr:cNvPr>
          <xdr:cNvPicPr>
            <a:picLocks noChangeAspect="1"/>
          </xdr:cNvPicPr>
        </xdr:nvPicPr>
        <xdr:blipFill>
          <a:blip xmlns:r="http://schemas.openxmlformats.org/officeDocument/2006/relationships" r:embed="rId2"/>
          <a:stretch>
            <a:fillRect/>
          </a:stretch>
        </xdr:blipFill>
        <xdr:spPr>
          <a:xfrm>
            <a:off x="1938337" y="68418075"/>
            <a:ext cx="2380000" cy="2880000"/>
          </a:xfrm>
          <a:prstGeom prst="rect">
            <a:avLst/>
          </a:prstGeom>
          <a:ln>
            <a:solidFill>
              <a:schemeClr val="tx1"/>
            </a:solidFill>
          </a:ln>
        </xdr:spPr>
      </xdr:pic>
      <xdr:grpSp>
        <xdr:nvGrpSpPr>
          <xdr:cNvPr id="6" name="Group 5">
            <a:extLst>
              <a:ext uri="{FF2B5EF4-FFF2-40B4-BE49-F238E27FC236}">
                <a16:creationId xmlns="" xmlns:a16="http://schemas.microsoft.com/office/drawing/2014/main" id="{CDC5C70A-3792-048A-21C2-A1499F453A92}"/>
              </a:ext>
            </a:extLst>
          </xdr:cNvPr>
          <xdr:cNvGrpSpPr/>
        </xdr:nvGrpSpPr>
        <xdr:grpSpPr>
          <a:xfrm>
            <a:off x="733425" y="63150750"/>
            <a:ext cx="4781550" cy="5057775"/>
            <a:chOff x="2108994" y="1381125"/>
            <a:chExt cx="4781550" cy="5057775"/>
          </a:xfrm>
        </xdr:grpSpPr>
        <xdr:pic>
          <xdr:nvPicPr>
            <xdr:cNvPr id="7" name="Picture 6">
              <a:extLst>
                <a:ext uri="{FF2B5EF4-FFF2-40B4-BE49-F238E27FC236}">
                  <a16:creationId xmlns="" xmlns:a16="http://schemas.microsoft.com/office/drawing/2014/main" id="{57F9A513-1E6E-7FA3-5ED5-E24B6573324A}"/>
                </a:ext>
              </a:extLst>
            </xdr:cNvPr>
            <xdr:cNvPicPr>
              <a:picLocks noChangeAspect="1"/>
            </xdr:cNvPicPr>
          </xdr:nvPicPr>
          <xdr:blipFill>
            <a:blip xmlns:r="http://schemas.openxmlformats.org/officeDocument/2006/relationships" r:embed="rId3"/>
            <a:stretch>
              <a:fillRect/>
            </a:stretch>
          </xdr:blipFill>
          <xdr:spPr>
            <a:xfrm>
              <a:off x="2108994" y="1381125"/>
              <a:ext cx="4781550" cy="5057775"/>
            </a:xfrm>
            <a:prstGeom prst="rect">
              <a:avLst/>
            </a:prstGeom>
            <a:ln>
              <a:solidFill>
                <a:schemeClr val="tx1"/>
              </a:solidFill>
            </a:ln>
          </xdr:spPr>
        </xdr:pic>
        <xdr:sp macro="" textlink="">
          <xdr:nvSpPr>
            <xdr:cNvPr id="8" name="Freeform: Shape 15">
              <a:extLst>
                <a:ext uri="{FF2B5EF4-FFF2-40B4-BE49-F238E27FC236}">
                  <a16:creationId xmlns="" xmlns:a16="http://schemas.microsoft.com/office/drawing/2014/main" id="{0E457403-830C-9FEC-114D-1875586163A9}"/>
                </a:ext>
              </a:extLst>
            </xdr:cNvPr>
            <xdr:cNvSpPr/>
          </xdr:nvSpPr>
          <xdr:spPr>
            <a:xfrm>
              <a:off x="4095750" y="4391025"/>
              <a:ext cx="1114425" cy="1466850"/>
            </a:xfrm>
            <a:custGeom>
              <a:avLst/>
              <a:gdLst>
                <a:gd name="connsiteX0" fmla="*/ 0 w 1114425"/>
                <a:gd name="connsiteY0" fmla="*/ 28575 h 1466850"/>
                <a:gd name="connsiteX1" fmla="*/ 19050 w 1114425"/>
                <a:gd name="connsiteY1" fmla="*/ 1457325 h 1466850"/>
                <a:gd name="connsiteX2" fmla="*/ 561975 w 1114425"/>
                <a:gd name="connsiteY2" fmla="*/ 1466850 h 1466850"/>
                <a:gd name="connsiteX3" fmla="*/ 533400 w 1114425"/>
                <a:gd name="connsiteY3" fmla="*/ 1057275 h 1466850"/>
                <a:gd name="connsiteX4" fmla="*/ 1114425 w 1114425"/>
                <a:gd name="connsiteY4" fmla="*/ 1028700 h 1466850"/>
                <a:gd name="connsiteX5" fmla="*/ 1104900 w 1114425"/>
                <a:gd name="connsiteY5" fmla="*/ 409575 h 1466850"/>
                <a:gd name="connsiteX6" fmla="*/ 476250 w 1114425"/>
                <a:gd name="connsiteY6" fmla="*/ 390525 h 1466850"/>
                <a:gd name="connsiteX7" fmla="*/ 476250 w 1114425"/>
                <a:gd name="connsiteY7" fmla="*/ 0 h 1466850"/>
                <a:gd name="connsiteX8" fmla="*/ 0 w 1114425"/>
                <a:gd name="connsiteY8" fmla="*/ 28575 h 1466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14425" h="1466850">
                  <a:moveTo>
                    <a:pt x="0" y="28575"/>
                  </a:moveTo>
                  <a:lnTo>
                    <a:pt x="19050" y="1457325"/>
                  </a:lnTo>
                  <a:lnTo>
                    <a:pt x="561975" y="1466850"/>
                  </a:lnTo>
                  <a:lnTo>
                    <a:pt x="533400" y="1057275"/>
                  </a:lnTo>
                  <a:lnTo>
                    <a:pt x="1114425" y="1028700"/>
                  </a:lnTo>
                  <a:lnTo>
                    <a:pt x="1104900" y="409575"/>
                  </a:lnTo>
                  <a:lnTo>
                    <a:pt x="476250" y="390525"/>
                  </a:lnTo>
                  <a:lnTo>
                    <a:pt x="476250" y="0"/>
                  </a:lnTo>
                  <a:lnTo>
                    <a:pt x="0" y="28575"/>
                  </a:lnTo>
                  <a:close/>
                </a:path>
              </a:pathLst>
            </a:cu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Freeform: Shape 16">
              <a:extLst>
                <a:ext uri="{FF2B5EF4-FFF2-40B4-BE49-F238E27FC236}">
                  <a16:creationId xmlns="" xmlns:a16="http://schemas.microsoft.com/office/drawing/2014/main" id="{3C5886D1-A771-33D5-06D8-6FD9DCC04AEF}"/>
                </a:ext>
              </a:extLst>
            </xdr:cNvPr>
            <xdr:cNvSpPr/>
          </xdr:nvSpPr>
          <xdr:spPr>
            <a:xfrm>
              <a:off x="4295775" y="3000375"/>
              <a:ext cx="1504950" cy="1552575"/>
            </a:xfrm>
            <a:custGeom>
              <a:avLst/>
              <a:gdLst>
                <a:gd name="connsiteX0" fmla="*/ 0 w 1504950"/>
                <a:gd name="connsiteY0" fmla="*/ 981075 h 1552575"/>
                <a:gd name="connsiteX1" fmla="*/ 1000125 w 1504950"/>
                <a:gd name="connsiteY1" fmla="*/ 0 h 1552575"/>
                <a:gd name="connsiteX2" fmla="*/ 1400175 w 1504950"/>
                <a:gd name="connsiteY2" fmla="*/ 371475 h 1552575"/>
                <a:gd name="connsiteX3" fmla="*/ 1143000 w 1504950"/>
                <a:gd name="connsiteY3" fmla="*/ 628650 h 1552575"/>
                <a:gd name="connsiteX4" fmla="*/ 1504950 w 1504950"/>
                <a:gd name="connsiteY4" fmla="*/ 1057275 h 1552575"/>
                <a:gd name="connsiteX5" fmla="*/ 981075 w 1504950"/>
                <a:gd name="connsiteY5" fmla="*/ 1552575 h 1552575"/>
                <a:gd name="connsiteX6" fmla="*/ 542925 w 1504950"/>
                <a:gd name="connsiteY6" fmla="*/ 1133475 h 1552575"/>
                <a:gd name="connsiteX7" fmla="*/ 323850 w 1504950"/>
                <a:gd name="connsiteY7" fmla="*/ 1371600 h 1552575"/>
                <a:gd name="connsiteX8" fmla="*/ 0 w 1504950"/>
                <a:gd name="connsiteY8" fmla="*/ 981075 h 1552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504950" h="1552575">
                  <a:moveTo>
                    <a:pt x="0" y="981075"/>
                  </a:moveTo>
                  <a:lnTo>
                    <a:pt x="1000125" y="0"/>
                  </a:lnTo>
                  <a:lnTo>
                    <a:pt x="1400175" y="371475"/>
                  </a:lnTo>
                  <a:lnTo>
                    <a:pt x="1143000" y="628650"/>
                  </a:lnTo>
                  <a:lnTo>
                    <a:pt x="1504950" y="1057275"/>
                  </a:lnTo>
                  <a:lnTo>
                    <a:pt x="981075" y="1552575"/>
                  </a:lnTo>
                  <a:lnTo>
                    <a:pt x="542925" y="1133475"/>
                  </a:lnTo>
                  <a:lnTo>
                    <a:pt x="323850" y="1371600"/>
                  </a:lnTo>
                  <a:lnTo>
                    <a:pt x="0" y="981075"/>
                  </a:lnTo>
                  <a:close/>
                </a:path>
              </a:pathLst>
            </a:cu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TextBox 10">
              <a:extLst>
                <a:ext uri="{FF2B5EF4-FFF2-40B4-BE49-F238E27FC236}">
                  <a16:creationId xmlns="" xmlns:a16="http://schemas.microsoft.com/office/drawing/2014/main" id="{962D77D7-7864-6830-335B-B4D9603A951B}"/>
                </a:ext>
              </a:extLst>
            </xdr:cNvPr>
            <xdr:cNvSpPr txBox="1"/>
          </xdr:nvSpPr>
          <xdr:spPr>
            <a:xfrm>
              <a:off x="4069387" y="4566434"/>
              <a:ext cx="885179" cy="48649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rgbClr val="FF0000"/>
                  </a:solidFill>
                </a:rPr>
                <a:t>Wing 2</a:t>
              </a:r>
              <a:endParaRPr lang="en-IN" b="1">
                <a:solidFill>
                  <a:srgbClr val="FF0000"/>
                </a:solidFill>
              </a:endParaRPr>
            </a:p>
          </xdr:txBody>
        </xdr:sp>
        <xdr:sp macro="" textlink="">
          <xdr:nvSpPr>
            <xdr:cNvPr id="11" name="TextBox 11">
              <a:extLst>
                <a:ext uri="{FF2B5EF4-FFF2-40B4-BE49-F238E27FC236}">
                  <a16:creationId xmlns="" xmlns:a16="http://schemas.microsoft.com/office/drawing/2014/main" id="{AE6D5708-02E5-9C8A-5BEC-748D7D689AA2}"/>
                </a:ext>
              </a:extLst>
            </xdr:cNvPr>
            <xdr:cNvSpPr txBox="1"/>
          </xdr:nvSpPr>
          <xdr:spPr>
            <a:xfrm>
              <a:off x="4850064" y="3350206"/>
              <a:ext cx="885179"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rgbClr val="FF0000"/>
                  </a:solidFill>
                </a:rPr>
                <a:t>Wing 1</a:t>
              </a:r>
              <a:endParaRPr lang="en-IN" b="1">
                <a:solidFill>
                  <a:srgbClr val="FF0000"/>
                </a:solidFill>
              </a:endParaRPr>
            </a:p>
          </xdr:txBody>
        </xdr:sp>
      </xdr:grpSp>
    </xdr:grpSp>
    <xdr:clientData/>
  </xdr:twoCellAnchor>
  <xdr:twoCellAnchor>
    <xdr:from>
      <xdr:col>1</xdr:col>
      <xdr:colOff>705970</xdr:colOff>
      <xdr:row>334</xdr:row>
      <xdr:rowOff>134471</xdr:rowOff>
    </xdr:from>
    <xdr:to>
      <xdr:col>6</xdr:col>
      <xdr:colOff>806823</xdr:colOff>
      <xdr:row>362</xdr:row>
      <xdr:rowOff>224118</xdr:rowOff>
    </xdr:to>
    <xdr:grpSp>
      <xdr:nvGrpSpPr>
        <xdr:cNvPr id="12" name="Group 11"/>
        <xdr:cNvGrpSpPr/>
      </xdr:nvGrpSpPr>
      <xdr:grpSpPr>
        <a:xfrm>
          <a:off x="1876184" y="103140542"/>
          <a:ext cx="6074389" cy="7328647"/>
          <a:chOff x="393700" y="71798406"/>
          <a:chExt cx="5664287" cy="8087769"/>
        </a:xfrm>
      </xdr:grpSpPr>
      <xdr:pic>
        <xdr:nvPicPr>
          <xdr:cNvPr id="13" name="Picture 12">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605218" y="71798406"/>
            <a:ext cx="5126950" cy="3531644"/>
          </a:xfrm>
          <a:prstGeom prst="rect">
            <a:avLst/>
          </a:prstGeom>
          <a:ln>
            <a:solidFill>
              <a:schemeClr val="tx1"/>
            </a:solidFill>
          </a:ln>
        </xdr:spPr>
      </xdr:pic>
      <xdr:grpSp>
        <xdr:nvGrpSpPr>
          <xdr:cNvPr id="14" name="Group 13">
            <a:extLst>
              <a:ext uri="{FF2B5EF4-FFF2-40B4-BE49-F238E27FC236}">
                <a16:creationId xmlns="" xmlns:a16="http://schemas.microsoft.com/office/drawing/2014/main" id="{3392897F-C6C3-428C-8663-A24120D663E0}"/>
              </a:ext>
            </a:extLst>
          </xdr:cNvPr>
          <xdr:cNvGrpSpPr/>
        </xdr:nvGrpSpPr>
        <xdr:grpSpPr>
          <a:xfrm>
            <a:off x="393700" y="75545950"/>
            <a:ext cx="5664287" cy="4340225"/>
            <a:chOff x="565150" y="72898000"/>
            <a:chExt cx="5664287" cy="4594921"/>
          </a:xfrm>
        </xdr:grpSpPr>
        <xdr:pic>
          <xdr:nvPicPr>
            <xdr:cNvPr id="15" name="Picture 14">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565150" y="72898000"/>
              <a:ext cx="5664287" cy="4594921"/>
            </a:xfrm>
            <a:prstGeom prst="rect">
              <a:avLst/>
            </a:prstGeom>
            <a:ln>
              <a:solidFill>
                <a:schemeClr val="tx1"/>
              </a:solidFill>
            </a:ln>
          </xdr:spPr>
        </xdr:pic>
        <xdr:sp macro="" textlink="">
          <xdr:nvSpPr>
            <xdr:cNvPr id="16" name="Rectangle 15">
              <a:extLst>
                <a:ext uri="{FF2B5EF4-FFF2-40B4-BE49-F238E27FC236}">
                  <a16:creationId xmlns="" xmlns:a16="http://schemas.microsoft.com/office/drawing/2014/main" id="{00000000-0008-0000-0000-000007000000}"/>
                </a:ext>
              </a:extLst>
            </xdr:cNvPr>
            <xdr:cNvSpPr/>
          </xdr:nvSpPr>
          <xdr:spPr>
            <a:xfrm rot="20258903">
              <a:off x="2544590" y="74454822"/>
              <a:ext cx="1412513" cy="1503552"/>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grpSp>
    <xdr:clientData/>
  </xdr:twoCellAnchor>
  <xdr:twoCellAnchor editAs="oneCell">
    <xdr:from>
      <xdr:col>10</xdr:col>
      <xdr:colOff>557893</xdr:colOff>
      <xdr:row>53</xdr:row>
      <xdr:rowOff>54427</xdr:rowOff>
    </xdr:from>
    <xdr:to>
      <xdr:col>16</xdr:col>
      <xdr:colOff>88085</xdr:colOff>
      <xdr:row>62</xdr:row>
      <xdr:rowOff>362579</xdr:rowOff>
    </xdr:to>
    <xdr:pic>
      <xdr:nvPicPr>
        <xdr:cNvPr id="25" name="Picture 24"/>
        <xdr:cNvPicPr>
          <a:picLocks noChangeAspect="1"/>
        </xdr:cNvPicPr>
      </xdr:nvPicPr>
      <xdr:blipFill>
        <a:blip xmlns:r="http://schemas.openxmlformats.org/officeDocument/2006/relationships" r:embed="rId6"/>
        <a:stretch>
          <a:fillRect/>
        </a:stretch>
      </xdr:blipFill>
      <xdr:spPr>
        <a:xfrm>
          <a:off x="13103679" y="25282070"/>
          <a:ext cx="3885714" cy="4834382"/>
        </a:xfrm>
        <a:prstGeom prst="rect">
          <a:avLst/>
        </a:prstGeom>
      </xdr:spPr>
    </xdr:pic>
    <xdr:clientData/>
  </xdr:twoCellAnchor>
  <xdr:twoCellAnchor editAs="oneCell">
    <xdr:from>
      <xdr:col>8</xdr:col>
      <xdr:colOff>316674</xdr:colOff>
      <xdr:row>5</xdr:row>
      <xdr:rowOff>195446</xdr:rowOff>
    </xdr:from>
    <xdr:to>
      <xdr:col>22</xdr:col>
      <xdr:colOff>366157</xdr:colOff>
      <xdr:row>8</xdr:row>
      <xdr:rowOff>318546</xdr:rowOff>
    </xdr:to>
    <xdr:pic>
      <xdr:nvPicPr>
        <xdr:cNvPr id="3" name="Picture 2"/>
        <xdr:cNvPicPr>
          <a:picLocks noChangeAspect="1"/>
        </xdr:cNvPicPr>
      </xdr:nvPicPr>
      <xdr:blipFill>
        <a:blip xmlns:r="http://schemas.openxmlformats.org/officeDocument/2006/relationships" r:embed="rId7"/>
        <a:stretch>
          <a:fillRect/>
        </a:stretch>
      </xdr:blipFill>
      <xdr:spPr>
        <a:xfrm>
          <a:off x="9858992" y="2342901"/>
          <a:ext cx="9486874" cy="1889554"/>
        </a:xfrm>
        <a:prstGeom prst="rect">
          <a:avLst/>
        </a:prstGeom>
      </xdr:spPr>
    </xdr:pic>
    <xdr:clientData/>
  </xdr:twoCellAnchor>
  <xdr:twoCellAnchor editAs="oneCell">
    <xdr:from>
      <xdr:col>8</xdr:col>
      <xdr:colOff>324969</xdr:colOff>
      <xdr:row>12</xdr:row>
      <xdr:rowOff>156883</xdr:rowOff>
    </xdr:from>
    <xdr:to>
      <xdr:col>13</xdr:col>
      <xdr:colOff>445342</xdr:colOff>
      <xdr:row>16</xdr:row>
      <xdr:rowOff>3953</xdr:rowOff>
    </xdr:to>
    <xdr:pic>
      <xdr:nvPicPr>
        <xdr:cNvPr id="26" name="Picture 25"/>
        <xdr:cNvPicPr>
          <a:picLocks noChangeAspect="1"/>
        </xdr:cNvPicPr>
      </xdr:nvPicPr>
      <xdr:blipFill>
        <a:blip xmlns:r="http://schemas.openxmlformats.org/officeDocument/2006/relationships" r:embed="rId8"/>
        <a:stretch>
          <a:fillRect/>
        </a:stretch>
      </xdr:blipFill>
      <xdr:spPr>
        <a:xfrm>
          <a:off x="9737910" y="6510618"/>
          <a:ext cx="5915851" cy="2410161"/>
        </a:xfrm>
        <a:prstGeom prst="rect">
          <a:avLst/>
        </a:prstGeom>
      </xdr:spPr>
    </xdr:pic>
    <xdr:clientData/>
  </xdr:twoCellAnchor>
  <xdr:twoCellAnchor editAs="oneCell">
    <xdr:from>
      <xdr:col>8</xdr:col>
      <xdr:colOff>597113</xdr:colOff>
      <xdr:row>16</xdr:row>
      <xdr:rowOff>134470</xdr:rowOff>
    </xdr:from>
    <xdr:to>
      <xdr:col>13</xdr:col>
      <xdr:colOff>126854</xdr:colOff>
      <xdr:row>21</xdr:row>
      <xdr:rowOff>478754</xdr:rowOff>
    </xdr:to>
    <xdr:pic>
      <xdr:nvPicPr>
        <xdr:cNvPr id="27" name="Picture 26"/>
        <xdr:cNvPicPr>
          <a:picLocks noChangeAspect="1"/>
        </xdr:cNvPicPr>
      </xdr:nvPicPr>
      <xdr:blipFill>
        <a:blip xmlns:r="http://schemas.openxmlformats.org/officeDocument/2006/relationships" r:embed="rId9"/>
        <a:stretch>
          <a:fillRect/>
        </a:stretch>
      </xdr:blipFill>
      <xdr:spPr>
        <a:xfrm>
          <a:off x="10081292" y="9060756"/>
          <a:ext cx="5367640" cy="2997677"/>
        </a:xfrm>
        <a:prstGeom prst="rect">
          <a:avLst/>
        </a:prstGeom>
      </xdr:spPr>
    </xdr:pic>
    <xdr:clientData/>
  </xdr:twoCellAnchor>
  <xdr:twoCellAnchor editAs="oneCell">
    <xdr:from>
      <xdr:col>8</xdr:col>
      <xdr:colOff>0</xdr:colOff>
      <xdr:row>247</xdr:row>
      <xdr:rowOff>0</xdr:rowOff>
    </xdr:from>
    <xdr:to>
      <xdr:col>8</xdr:col>
      <xdr:colOff>304800</xdr:colOff>
      <xdr:row>248</xdr:row>
      <xdr:rowOff>47627</xdr:rowOff>
    </xdr:to>
    <xdr:sp macro="" textlink="">
      <xdr:nvSpPr>
        <xdr:cNvPr id="1062" name="AutoShape 38" descr="blob:https://web.whatsapp.com/5adbd5b3-bc24-40e1-ac63-7ea0fe3484dc"/>
        <xdr:cNvSpPr>
          <a:spLocks noChangeAspect="1" noChangeArrowheads="1"/>
        </xdr:cNvSpPr>
      </xdr:nvSpPr>
      <xdr:spPr bwMode="auto">
        <a:xfrm>
          <a:off x="9372600" y="780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13608</xdr:colOff>
      <xdr:row>49</xdr:row>
      <xdr:rowOff>149678</xdr:rowOff>
    </xdr:from>
    <xdr:to>
      <xdr:col>15</xdr:col>
      <xdr:colOff>508812</xdr:colOff>
      <xdr:row>54</xdr:row>
      <xdr:rowOff>904655</xdr:rowOff>
    </xdr:to>
    <xdr:pic>
      <xdr:nvPicPr>
        <xdr:cNvPr id="28" name="Picture 27"/>
        <xdr:cNvPicPr>
          <a:picLocks noChangeAspect="1"/>
        </xdr:cNvPicPr>
      </xdr:nvPicPr>
      <xdr:blipFill>
        <a:blip xmlns:r="http://schemas.openxmlformats.org/officeDocument/2006/relationships" r:embed="rId10"/>
        <a:stretch>
          <a:fillRect/>
        </a:stretch>
      </xdr:blipFill>
      <xdr:spPr>
        <a:xfrm>
          <a:off x="11756572" y="24057428"/>
          <a:ext cx="5306165" cy="2857899"/>
        </a:xfrm>
        <a:prstGeom prst="rect">
          <a:avLst/>
        </a:prstGeom>
      </xdr:spPr>
    </xdr:pic>
    <xdr:clientData/>
  </xdr:twoCellAnchor>
  <xdr:twoCellAnchor>
    <xdr:from>
      <xdr:col>8</xdr:col>
      <xdr:colOff>1376287</xdr:colOff>
      <xdr:row>239</xdr:row>
      <xdr:rowOff>78732</xdr:rowOff>
    </xdr:from>
    <xdr:to>
      <xdr:col>23</xdr:col>
      <xdr:colOff>331292</xdr:colOff>
      <xdr:row>276</xdr:row>
      <xdr:rowOff>11127</xdr:rowOff>
    </xdr:to>
    <xdr:grpSp>
      <xdr:nvGrpSpPr>
        <xdr:cNvPr id="33" name="Group 32"/>
        <xdr:cNvGrpSpPr/>
      </xdr:nvGrpSpPr>
      <xdr:grpSpPr>
        <a:xfrm>
          <a:off x="10860466" y="78523911"/>
          <a:ext cx="9051505" cy="9498216"/>
          <a:chOff x="406978" y="78319003"/>
          <a:chExt cx="8949852" cy="9498216"/>
        </a:xfrm>
      </xdr:grpSpPr>
      <xdr:grpSp>
        <xdr:nvGrpSpPr>
          <xdr:cNvPr id="32" name="Group 31"/>
          <xdr:cNvGrpSpPr/>
        </xdr:nvGrpSpPr>
        <xdr:grpSpPr>
          <a:xfrm>
            <a:off x="406978" y="78319003"/>
            <a:ext cx="8949852" cy="9498216"/>
            <a:chOff x="964871" y="78427860"/>
            <a:chExt cx="8949852" cy="9498216"/>
          </a:xfrm>
        </xdr:grpSpPr>
        <xdr:pic>
          <xdr:nvPicPr>
            <xdr:cNvPr id="30" name="Picture 29"/>
            <xdr:cNvPicPr>
              <a:picLocks noChangeAspect="1"/>
            </xdr:cNvPicPr>
          </xdr:nvPicPr>
          <xdr:blipFill>
            <a:blip xmlns:r="http://schemas.openxmlformats.org/officeDocument/2006/relationships" r:embed="rId11"/>
            <a:stretch>
              <a:fillRect/>
            </a:stretch>
          </xdr:blipFill>
          <xdr:spPr>
            <a:xfrm>
              <a:off x="5604904" y="78427860"/>
              <a:ext cx="3993448" cy="5536418"/>
            </a:xfrm>
            <a:prstGeom prst="rect">
              <a:avLst/>
            </a:prstGeom>
            <a:ln>
              <a:solidFill>
                <a:schemeClr val="tx1"/>
              </a:solidFill>
            </a:ln>
          </xdr:spPr>
        </xdr:pic>
        <xdr:grpSp>
          <xdr:nvGrpSpPr>
            <xdr:cNvPr id="29" name="Group 28"/>
            <xdr:cNvGrpSpPr/>
          </xdr:nvGrpSpPr>
          <xdr:grpSpPr>
            <a:xfrm>
              <a:off x="964871" y="78436975"/>
              <a:ext cx="8949852" cy="9489101"/>
              <a:chOff x="311728" y="78304676"/>
              <a:chExt cx="9000570" cy="9534805"/>
            </a:xfrm>
          </xdr:grpSpPr>
          <xdr:grpSp>
            <xdr:nvGrpSpPr>
              <xdr:cNvPr id="17" name="Group 16"/>
              <xdr:cNvGrpSpPr/>
            </xdr:nvGrpSpPr>
            <xdr:grpSpPr>
              <a:xfrm>
                <a:off x="311728" y="84057364"/>
                <a:ext cx="9000570" cy="3782117"/>
                <a:chOff x="607220" y="6301074"/>
                <a:chExt cx="5652649" cy="2563736"/>
              </a:xfrm>
            </xdr:grpSpPr>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7220" y="6301074"/>
                  <a:ext cx="1806472" cy="2563736"/>
                </a:xfrm>
                <a:prstGeom prst="rect">
                  <a:avLst/>
                </a:prstGeom>
                <a:ln>
                  <a:solidFill>
                    <a:schemeClr val="tx1"/>
                  </a:solidFill>
                </a:ln>
              </xdr:spPr>
            </xdr:pic>
            <xdr:grpSp>
              <xdr:nvGrpSpPr>
                <xdr:cNvPr id="19" name="Group 18"/>
                <xdr:cNvGrpSpPr/>
              </xdr:nvGrpSpPr>
              <xdr:grpSpPr>
                <a:xfrm>
                  <a:off x="2525607" y="6304084"/>
                  <a:ext cx="3734262" cy="2559600"/>
                  <a:chOff x="2455729" y="6304084"/>
                  <a:chExt cx="3734262" cy="2559600"/>
                </a:xfrm>
              </xdr:grpSpPr>
              <xdr:pic>
                <xdr:nvPicPr>
                  <xdr:cNvPr id="20" name="Picture 1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7012" y="6304084"/>
                    <a:ext cx="1802979" cy="25596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55729" y="6304084"/>
                    <a:ext cx="1806784" cy="2559600"/>
                  </a:xfrm>
                  <a:prstGeom prst="rect">
                    <a:avLst/>
                  </a:prstGeom>
                  <a:ln>
                    <a:solidFill>
                      <a:schemeClr val="tx1"/>
                    </a:solidFill>
                  </a:ln>
                </xdr:spPr>
              </xdr:pic>
            </xdr:grpSp>
          </xdr:grpSp>
          <xdr:pic>
            <xdr:nvPicPr>
              <xdr:cNvPr id="31" name="Picture 3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69202" y="78304676"/>
                <a:ext cx="4172725" cy="5563633"/>
              </a:xfrm>
              <a:prstGeom prst="rect">
                <a:avLst/>
              </a:prstGeom>
              <a:ln>
                <a:solidFill>
                  <a:schemeClr val="tx1"/>
                </a:solidFill>
              </a:ln>
            </xdr:spPr>
          </xdr:pic>
        </xdr:grpSp>
      </xdr:grpSp>
      <xdr:sp macro="" textlink="">
        <xdr:nvSpPr>
          <xdr:cNvPr id="34" name="TextBox 48"/>
          <xdr:cNvSpPr txBox="1"/>
        </xdr:nvSpPr>
        <xdr:spPr>
          <a:xfrm>
            <a:off x="3457815" y="80735181"/>
            <a:ext cx="1121370" cy="329095"/>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Tower 1</a:t>
            </a:r>
            <a:endParaRPr lang="en-IN" sz="1600" b="1">
              <a:latin typeface="Times New Roman" panose="02020603050405020304" pitchFamily="18" charset="0"/>
              <a:cs typeface="Times New Roman" panose="02020603050405020304" pitchFamily="18" charset="0"/>
            </a:endParaRPr>
          </a:p>
        </xdr:txBody>
      </xdr:sp>
      <xdr:sp macro="" textlink="">
        <xdr:nvSpPr>
          <xdr:cNvPr id="35" name="TextBox 48"/>
          <xdr:cNvSpPr txBox="1"/>
        </xdr:nvSpPr>
        <xdr:spPr>
          <a:xfrm>
            <a:off x="7441924" y="81127560"/>
            <a:ext cx="1121370" cy="328295"/>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latin typeface="Times New Roman" panose="02020603050405020304" pitchFamily="18" charset="0"/>
                <a:cs typeface="Times New Roman" panose="02020603050405020304" pitchFamily="18" charset="0"/>
              </a:rPr>
              <a:t>Tower 2</a:t>
            </a:r>
            <a:endParaRPr lang="en-IN" sz="1600" b="1">
              <a:latin typeface="Times New Roman" panose="02020603050405020304" pitchFamily="18" charset="0"/>
              <a:cs typeface="Times New Roman" panose="02020603050405020304" pitchFamily="18" charset="0"/>
            </a:endParaRPr>
          </a:p>
        </xdr:txBody>
      </xdr:sp>
    </xdr:grpSp>
    <xdr:clientData/>
  </xdr:twoCellAnchor>
  <xdr:twoCellAnchor editAs="oneCell">
    <xdr:from>
      <xdr:col>8</xdr:col>
      <xdr:colOff>979714</xdr:colOff>
      <xdr:row>49</xdr:row>
      <xdr:rowOff>122464</xdr:rowOff>
    </xdr:from>
    <xdr:to>
      <xdr:col>13</xdr:col>
      <xdr:colOff>602723</xdr:colOff>
      <xdr:row>59</xdr:row>
      <xdr:rowOff>694629</xdr:rowOff>
    </xdr:to>
    <xdr:pic>
      <xdr:nvPicPr>
        <xdr:cNvPr id="36" name="Picture 35"/>
        <xdr:cNvPicPr>
          <a:picLocks noChangeAspect="1"/>
        </xdr:cNvPicPr>
      </xdr:nvPicPr>
      <xdr:blipFill>
        <a:blip xmlns:r="http://schemas.openxmlformats.org/officeDocument/2006/relationships" r:embed="rId16"/>
        <a:stretch>
          <a:fillRect/>
        </a:stretch>
      </xdr:blipFill>
      <xdr:spPr>
        <a:xfrm>
          <a:off x="10463893" y="24030214"/>
          <a:ext cx="5468113" cy="4763165"/>
        </a:xfrm>
        <a:prstGeom prst="rect">
          <a:avLst/>
        </a:prstGeom>
      </xdr:spPr>
    </xdr:pic>
    <xdr:clientData/>
  </xdr:twoCellAnchor>
  <xdr:twoCellAnchor editAs="oneCell">
    <xdr:from>
      <xdr:col>8</xdr:col>
      <xdr:colOff>259774</xdr:colOff>
      <xdr:row>114</xdr:row>
      <xdr:rowOff>69273</xdr:rowOff>
    </xdr:from>
    <xdr:to>
      <xdr:col>23</xdr:col>
      <xdr:colOff>115121</xdr:colOff>
      <xdr:row>122</xdr:row>
      <xdr:rowOff>144121</xdr:rowOff>
    </xdr:to>
    <xdr:pic>
      <xdr:nvPicPr>
        <xdr:cNvPr id="37" name="Picture 36"/>
        <xdr:cNvPicPr>
          <a:picLocks noChangeAspect="1"/>
        </xdr:cNvPicPr>
      </xdr:nvPicPr>
      <xdr:blipFill>
        <a:blip xmlns:r="http://schemas.openxmlformats.org/officeDocument/2006/relationships" r:embed="rId17"/>
        <a:stretch>
          <a:fillRect/>
        </a:stretch>
      </xdr:blipFill>
      <xdr:spPr>
        <a:xfrm>
          <a:off x="9802092" y="45027273"/>
          <a:ext cx="9897856" cy="2724530"/>
        </a:xfrm>
        <a:prstGeom prst="rect">
          <a:avLst/>
        </a:prstGeom>
      </xdr:spPr>
    </xdr:pic>
    <xdr:clientData/>
  </xdr:twoCellAnchor>
  <xdr:twoCellAnchor editAs="oneCell">
    <xdr:from>
      <xdr:col>9</xdr:col>
      <xdr:colOff>121228</xdr:colOff>
      <xdr:row>103</xdr:row>
      <xdr:rowOff>86589</xdr:rowOff>
    </xdr:from>
    <xdr:to>
      <xdr:col>24</xdr:col>
      <xdr:colOff>164276</xdr:colOff>
      <xdr:row>108</xdr:row>
      <xdr:rowOff>35674</xdr:rowOff>
    </xdr:to>
    <xdr:pic>
      <xdr:nvPicPr>
        <xdr:cNvPr id="38" name="Picture 37"/>
        <xdr:cNvPicPr>
          <a:picLocks noChangeAspect="1"/>
        </xdr:cNvPicPr>
      </xdr:nvPicPr>
      <xdr:blipFill>
        <a:blip xmlns:r="http://schemas.openxmlformats.org/officeDocument/2006/relationships" r:embed="rId18"/>
        <a:stretch>
          <a:fillRect/>
        </a:stretch>
      </xdr:blipFill>
      <xdr:spPr>
        <a:xfrm>
          <a:off x="11914910" y="41788771"/>
          <a:ext cx="8440328" cy="1247949"/>
        </a:xfrm>
        <a:prstGeom prst="rect">
          <a:avLst/>
        </a:prstGeom>
      </xdr:spPr>
    </xdr:pic>
    <xdr:clientData/>
  </xdr:twoCellAnchor>
  <xdr:twoCellAnchor editAs="oneCell">
    <xdr:from>
      <xdr:col>10</xdr:col>
      <xdr:colOff>415638</xdr:colOff>
      <xdr:row>133</xdr:row>
      <xdr:rowOff>119991</xdr:rowOff>
    </xdr:from>
    <xdr:to>
      <xdr:col>17</xdr:col>
      <xdr:colOff>395298</xdr:colOff>
      <xdr:row>151</xdr:row>
      <xdr:rowOff>181881</xdr:rowOff>
    </xdr:to>
    <xdr:pic>
      <xdr:nvPicPr>
        <xdr:cNvPr id="39" name="Picture 38"/>
        <xdr:cNvPicPr>
          <a:picLocks noChangeAspect="1"/>
        </xdr:cNvPicPr>
      </xdr:nvPicPr>
      <xdr:blipFill>
        <a:blip xmlns:r="http://schemas.openxmlformats.org/officeDocument/2006/relationships" r:embed="rId19"/>
        <a:stretch>
          <a:fillRect/>
        </a:stretch>
      </xdr:blipFill>
      <xdr:spPr>
        <a:xfrm>
          <a:off x="13005956" y="50186855"/>
          <a:ext cx="4898025" cy="4737799"/>
        </a:xfrm>
        <a:prstGeom prst="rect">
          <a:avLst/>
        </a:prstGeom>
      </xdr:spPr>
    </xdr:pic>
    <xdr:clientData/>
  </xdr:twoCellAnchor>
  <xdr:twoCellAnchor editAs="oneCell">
    <xdr:from>
      <xdr:col>13</xdr:col>
      <xdr:colOff>261007</xdr:colOff>
      <xdr:row>153</xdr:row>
      <xdr:rowOff>233796</xdr:rowOff>
    </xdr:from>
    <xdr:to>
      <xdr:col>28</xdr:col>
      <xdr:colOff>134228</xdr:colOff>
      <xdr:row>171</xdr:row>
      <xdr:rowOff>141355</xdr:rowOff>
    </xdr:to>
    <xdr:pic>
      <xdr:nvPicPr>
        <xdr:cNvPr id="40" name="Picture 39"/>
        <xdr:cNvPicPr>
          <a:picLocks noChangeAspect="1"/>
        </xdr:cNvPicPr>
      </xdr:nvPicPr>
      <xdr:blipFill>
        <a:blip xmlns:r="http://schemas.openxmlformats.org/officeDocument/2006/relationships" r:embed="rId20"/>
        <a:stretch>
          <a:fillRect/>
        </a:stretch>
      </xdr:blipFill>
      <xdr:spPr>
        <a:xfrm>
          <a:off x="14669734" y="55496114"/>
          <a:ext cx="7060268" cy="4583468"/>
        </a:xfrm>
        <a:prstGeom prst="rect">
          <a:avLst/>
        </a:prstGeom>
      </xdr:spPr>
    </xdr:pic>
    <xdr:clientData/>
  </xdr:twoCellAnchor>
  <xdr:twoCellAnchor editAs="oneCell">
    <xdr:from>
      <xdr:col>13</xdr:col>
      <xdr:colOff>519546</xdr:colOff>
      <xdr:row>207</xdr:row>
      <xdr:rowOff>34636</xdr:rowOff>
    </xdr:from>
    <xdr:to>
      <xdr:col>34</xdr:col>
      <xdr:colOff>482982</xdr:colOff>
      <xdr:row>223</xdr:row>
      <xdr:rowOff>120959</xdr:rowOff>
    </xdr:to>
    <xdr:pic>
      <xdr:nvPicPr>
        <xdr:cNvPr id="43" name="Picture 42"/>
        <xdr:cNvPicPr>
          <a:picLocks noChangeAspect="1"/>
        </xdr:cNvPicPr>
      </xdr:nvPicPr>
      <xdr:blipFill>
        <a:blip xmlns:r="http://schemas.openxmlformats.org/officeDocument/2006/relationships" r:embed="rId21"/>
        <a:stretch>
          <a:fillRect/>
        </a:stretch>
      </xdr:blipFill>
      <xdr:spPr>
        <a:xfrm>
          <a:off x="14928273" y="69324681"/>
          <a:ext cx="10787301" cy="4242686"/>
        </a:xfrm>
        <a:prstGeom prst="rect">
          <a:avLst/>
        </a:prstGeom>
      </xdr:spPr>
    </xdr:pic>
    <xdr:clientData/>
  </xdr:twoCellAnchor>
  <xdr:twoCellAnchor editAs="oneCell">
    <xdr:from>
      <xdr:col>8</xdr:col>
      <xdr:colOff>1061357</xdr:colOff>
      <xdr:row>53</xdr:row>
      <xdr:rowOff>136071</xdr:rowOff>
    </xdr:from>
    <xdr:to>
      <xdr:col>14</xdr:col>
      <xdr:colOff>10215</xdr:colOff>
      <xdr:row>59</xdr:row>
      <xdr:rowOff>912583</xdr:rowOff>
    </xdr:to>
    <xdr:pic>
      <xdr:nvPicPr>
        <xdr:cNvPr id="18" name="Picture 17"/>
        <xdr:cNvPicPr>
          <a:picLocks noChangeAspect="1"/>
        </xdr:cNvPicPr>
      </xdr:nvPicPr>
      <xdr:blipFill>
        <a:blip xmlns:r="http://schemas.openxmlformats.org/officeDocument/2006/relationships" r:embed="rId22"/>
        <a:stretch>
          <a:fillRect/>
        </a:stretch>
      </xdr:blipFill>
      <xdr:spPr>
        <a:xfrm>
          <a:off x="10545536" y="24955500"/>
          <a:ext cx="5371429" cy="3647619"/>
        </a:xfrm>
        <a:prstGeom prst="rect">
          <a:avLst/>
        </a:prstGeom>
      </xdr:spPr>
    </xdr:pic>
    <xdr:clientData/>
  </xdr:twoCellAnchor>
  <xdr:twoCellAnchor>
    <xdr:from>
      <xdr:col>0</xdr:col>
      <xdr:colOff>68035</xdr:colOff>
      <xdr:row>239</xdr:row>
      <xdr:rowOff>108857</xdr:rowOff>
    </xdr:from>
    <xdr:to>
      <xdr:col>7</xdr:col>
      <xdr:colOff>1100075</xdr:colOff>
      <xdr:row>281</xdr:row>
      <xdr:rowOff>114299</xdr:rowOff>
    </xdr:to>
    <xdr:grpSp>
      <xdr:nvGrpSpPr>
        <xdr:cNvPr id="62" name="Group 61"/>
        <xdr:cNvGrpSpPr/>
      </xdr:nvGrpSpPr>
      <xdr:grpSpPr>
        <a:xfrm>
          <a:off x="68035" y="78554036"/>
          <a:ext cx="9346004" cy="10863942"/>
          <a:chOff x="68035" y="78554036"/>
          <a:chExt cx="9346004" cy="10863942"/>
        </a:xfrm>
      </xdr:grpSpPr>
      <xdr:grpSp>
        <xdr:nvGrpSpPr>
          <xdr:cNvPr id="21" name="Group 20"/>
          <xdr:cNvGrpSpPr/>
        </xdr:nvGrpSpPr>
        <xdr:grpSpPr>
          <a:xfrm>
            <a:off x="68035" y="78554036"/>
            <a:ext cx="9346004" cy="10863942"/>
            <a:chOff x="68035" y="78145821"/>
            <a:chExt cx="9346004" cy="10863942"/>
          </a:xfrm>
        </xdr:grpSpPr>
        <xdr:pic>
          <xdr:nvPicPr>
            <xdr:cNvPr id="41" name="Picture 40" descr="https://vsjcllp.vsjadon.com/upload/insp-249710-1525.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6232073" y="85820250"/>
              <a:ext cx="2385566" cy="31840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9710-844.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2808515" y="82709658"/>
              <a:ext cx="2244371" cy="29956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9710-8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5170713" y="82688565"/>
              <a:ext cx="3990453" cy="29956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9710-851.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443592" y="82698771"/>
              <a:ext cx="2244371" cy="29956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9710-862.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6090557" y="78145821"/>
              <a:ext cx="3323482" cy="4435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9710-871.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68035" y="78149221"/>
              <a:ext cx="5909093" cy="4435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49710-919.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1186544" y="85822972"/>
              <a:ext cx="2385566" cy="31840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49710-1512.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a:ext>
              </a:extLst>
            </a:blip>
            <a:srcRect/>
            <a:stretch>
              <a:fillRect/>
            </a:stretch>
          </xdr:blipFill>
          <xdr:spPr bwMode="auto">
            <a:xfrm>
              <a:off x="3706585" y="85825692"/>
              <a:ext cx="2385566" cy="31840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2" name="TextBox 48"/>
          <xdr:cNvSpPr txBox="1"/>
        </xdr:nvSpPr>
        <xdr:spPr>
          <a:xfrm>
            <a:off x="2299606" y="80146072"/>
            <a:ext cx="1134107" cy="329095"/>
          </a:xfrm>
          <a:prstGeom prst="rect">
            <a:avLst/>
          </a:prstGeom>
          <a:solidFill>
            <a:schemeClr val="bg1"/>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ysClr val="windowText" lastClr="000000"/>
                </a:solidFill>
                <a:latin typeface="Times New Roman" panose="02020603050405020304" pitchFamily="18" charset="0"/>
                <a:cs typeface="Times New Roman" panose="02020603050405020304" pitchFamily="18" charset="0"/>
              </a:rPr>
              <a:t>Tower 1</a:t>
            </a:r>
            <a:endParaRPr lang="en-IN" sz="1600" b="1">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53" name="TextBox 48"/>
          <xdr:cNvSpPr txBox="1"/>
        </xdr:nvSpPr>
        <xdr:spPr>
          <a:xfrm>
            <a:off x="4027713" y="80431821"/>
            <a:ext cx="1134107" cy="329095"/>
          </a:xfrm>
          <a:prstGeom prst="rect">
            <a:avLst/>
          </a:prstGeom>
          <a:solidFill>
            <a:schemeClr val="bg1"/>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ysClr val="windowText" lastClr="000000"/>
                </a:solidFill>
                <a:latin typeface="Times New Roman" panose="02020603050405020304" pitchFamily="18" charset="0"/>
                <a:cs typeface="Times New Roman" panose="02020603050405020304" pitchFamily="18" charset="0"/>
              </a:rPr>
              <a:t>Tower 2</a:t>
            </a:r>
            <a:endParaRPr lang="en-IN" sz="1600" b="1">
              <a:solidFill>
                <a:sysClr val="windowText" lastClr="000000"/>
              </a:solidFill>
              <a:latin typeface="Times New Roman" panose="02020603050405020304" pitchFamily="18" charset="0"/>
              <a:cs typeface="Times New Roman" panose="02020603050405020304" pitchFamily="18" charset="0"/>
            </a:endParaRPr>
          </a:p>
        </xdr:txBody>
      </xdr:sp>
      <xdr:cxnSp macro="">
        <xdr:nvCxnSpPr>
          <xdr:cNvPr id="54" name="Straight Arrow Connector 53"/>
          <xdr:cNvCxnSpPr/>
        </xdr:nvCxnSpPr>
        <xdr:spPr>
          <a:xfrm flipH="1">
            <a:off x="2653393" y="80540679"/>
            <a:ext cx="326571" cy="102053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Straight Arrow Connector 59"/>
          <xdr:cNvCxnSpPr/>
        </xdr:nvCxnSpPr>
        <xdr:spPr>
          <a:xfrm>
            <a:off x="4381500" y="80772000"/>
            <a:ext cx="449036" cy="100692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TextBox 48"/>
          <xdr:cNvSpPr txBox="1"/>
        </xdr:nvSpPr>
        <xdr:spPr>
          <a:xfrm>
            <a:off x="6694713" y="80091643"/>
            <a:ext cx="1134107" cy="329095"/>
          </a:xfrm>
          <a:prstGeom prst="rect">
            <a:avLst/>
          </a:prstGeom>
          <a:solidFill>
            <a:schemeClr val="bg1"/>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ysClr val="windowText" lastClr="000000"/>
                </a:solidFill>
                <a:latin typeface="Times New Roman" panose="02020603050405020304" pitchFamily="18" charset="0"/>
                <a:cs typeface="Times New Roman" panose="02020603050405020304" pitchFamily="18" charset="0"/>
              </a:rPr>
              <a:t>Tower 2</a:t>
            </a:r>
            <a:endParaRPr lang="en-IN" sz="1600" b="1">
              <a:solidFill>
                <a:sysClr val="windowText" lastClr="000000"/>
              </a:solidFill>
              <a:latin typeface="Times New Roman" panose="02020603050405020304" pitchFamily="18" charset="0"/>
              <a:cs typeface="Times New Roman" panose="02020603050405020304" pitchFamily="18"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DqWpHFyMroYq5E8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75"/>
  <sheetViews>
    <sheetView tabSelected="1" view="pageBreakPreview" topLeftCell="A286" zoomScale="70" zoomScaleNormal="85" zoomScaleSheetLayoutView="70" zoomScalePageLayoutView="70" workbookViewId="0">
      <selection activeCell="K291" sqref="K291"/>
    </sheetView>
  </sheetViews>
  <sheetFormatPr defaultColWidth="9.140625" defaultRowHeight="17.100000000000001" customHeight="1" x14ac:dyDescent="0.25"/>
  <cols>
    <col min="1" max="1" width="17.5703125" style="1" customWidth="1"/>
    <col min="2" max="2" width="17.28515625" style="1" customWidth="1"/>
    <col min="3" max="3" width="18.85546875" style="1" customWidth="1"/>
    <col min="4" max="4" width="18.42578125" style="1" customWidth="1"/>
    <col min="5" max="7" width="17.5703125" style="1" customWidth="1"/>
    <col min="8" max="8" width="17.5703125" style="4" customWidth="1"/>
    <col min="9" max="9" width="33.85546875" style="1" customWidth="1"/>
    <col min="10" max="10" width="15.7109375" style="1" bestFit="1" customWidth="1"/>
    <col min="11" max="11" width="19.140625" style="1" bestFit="1" customWidth="1"/>
    <col min="12" max="19" width="9.140625" style="1"/>
    <col min="20" max="22" width="0" style="1" hidden="1" customWidth="1"/>
    <col min="23" max="25" width="9.140625" style="1"/>
    <col min="26" max="26" width="7.85546875" style="1" customWidth="1"/>
    <col min="27" max="16384" width="9.140625" style="1"/>
  </cols>
  <sheetData>
    <row r="1" spans="1:11" ht="20.25" x14ac:dyDescent="0.25">
      <c r="A1" s="145" t="s">
        <v>38</v>
      </c>
      <c r="B1" s="146"/>
      <c r="C1" s="146"/>
      <c r="D1" s="146"/>
      <c r="E1" s="146"/>
      <c r="F1" s="146"/>
      <c r="G1" s="146"/>
      <c r="H1" s="147"/>
    </row>
    <row r="2" spans="1:11" ht="42" customHeight="1" x14ac:dyDescent="0.25">
      <c r="A2" s="142" t="s">
        <v>10</v>
      </c>
      <c r="B2" s="142"/>
      <c r="C2" s="99" t="s">
        <v>84</v>
      </c>
      <c r="D2" s="99"/>
      <c r="E2" s="142" t="s">
        <v>12</v>
      </c>
      <c r="F2" s="142"/>
      <c r="G2" s="178">
        <v>45929</v>
      </c>
      <c r="H2" s="178"/>
      <c r="J2" s="175">
        <v>45842</v>
      </c>
      <c r="K2" s="176"/>
    </row>
    <row r="3" spans="1:11" ht="42.75" customHeight="1" x14ac:dyDescent="0.25">
      <c r="A3" s="142" t="s">
        <v>39</v>
      </c>
      <c r="B3" s="142"/>
      <c r="C3" s="177" t="s">
        <v>298</v>
      </c>
      <c r="D3" s="177"/>
      <c r="E3" s="142" t="s">
        <v>153</v>
      </c>
      <c r="F3" s="142"/>
      <c r="G3" s="99" t="s">
        <v>411</v>
      </c>
      <c r="H3" s="99"/>
      <c r="J3" s="89">
        <v>45931</v>
      </c>
    </row>
    <row r="4" spans="1:11" ht="43.5" customHeight="1" x14ac:dyDescent="0.25">
      <c r="A4" s="142" t="s">
        <v>36</v>
      </c>
      <c r="B4" s="142"/>
      <c r="C4" s="99" t="s">
        <v>412</v>
      </c>
      <c r="D4" s="99"/>
      <c r="E4" s="142" t="s">
        <v>33</v>
      </c>
      <c r="F4" s="142"/>
      <c r="G4" s="99" t="str">
        <f ca="1">TEXT(TODAY(),"DD/MM/YYYY")</f>
        <v>03/10/2025</v>
      </c>
      <c r="H4" s="99"/>
      <c r="J4" s="90">
        <f>J3-J2</f>
        <v>89</v>
      </c>
    </row>
    <row r="5" spans="1:11" ht="20.25" x14ac:dyDescent="0.25">
      <c r="A5" s="132" t="s">
        <v>40</v>
      </c>
      <c r="B5" s="132"/>
      <c r="C5" s="132"/>
      <c r="D5" s="132"/>
      <c r="E5" s="132"/>
      <c r="F5" s="132"/>
      <c r="G5" s="132"/>
      <c r="H5" s="132"/>
    </row>
    <row r="6" spans="1:11" ht="43.5" customHeight="1" x14ac:dyDescent="0.25">
      <c r="A6" s="142" t="s">
        <v>29</v>
      </c>
      <c r="B6" s="142"/>
      <c r="C6" s="99" t="s">
        <v>375</v>
      </c>
      <c r="D6" s="99"/>
      <c r="E6" s="142" t="s">
        <v>35</v>
      </c>
      <c r="F6" s="142"/>
      <c r="G6" s="99" t="s">
        <v>297</v>
      </c>
      <c r="H6" s="99"/>
    </row>
    <row r="7" spans="1:11" ht="45.75" customHeight="1" x14ac:dyDescent="0.25">
      <c r="A7" s="142" t="s">
        <v>42</v>
      </c>
      <c r="B7" s="142"/>
      <c r="C7" s="99" t="s">
        <v>299</v>
      </c>
      <c r="D7" s="99"/>
      <c r="E7" s="142" t="s">
        <v>43</v>
      </c>
      <c r="F7" s="142"/>
      <c r="G7" s="99" t="s">
        <v>299</v>
      </c>
      <c r="H7" s="99"/>
    </row>
    <row r="8" spans="1:11" ht="48.75" customHeight="1" x14ac:dyDescent="0.25">
      <c r="A8" s="142" t="s">
        <v>44</v>
      </c>
      <c r="B8" s="142"/>
      <c r="C8" s="99" t="s">
        <v>300</v>
      </c>
      <c r="D8" s="99"/>
      <c r="E8" s="99"/>
      <c r="F8" s="99"/>
      <c r="G8" s="99"/>
      <c r="H8" s="99"/>
    </row>
    <row r="9" spans="1:11" ht="45" customHeight="1" x14ac:dyDescent="0.25">
      <c r="A9" s="140" t="s">
        <v>144</v>
      </c>
      <c r="B9" s="34" t="s">
        <v>41</v>
      </c>
      <c r="C9" s="99" t="s">
        <v>301</v>
      </c>
      <c r="D9" s="99"/>
      <c r="E9" s="99"/>
      <c r="F9" s="99"/>
      <c r="G9" s="99"/>
      <c r="H9" s="99"/>
    </row>
    <row r="10" spans="1:11" ht="66" customHeight="1" x14ac:dyDescent="0.25">
      <c r="A10" s="140"/>
      <c r="B10" s="34" t="s">
        <v>11</v>
      </c>
      <c r="C10" s="99" t="s">
        <v>376</v>
      </c>
      <c r="D10" s="99"/>
      <c r="E10" s="99"/>
      <c r="F10" s="99"/>
      <c r="G10" s="99"/>
      <c r="H10" s="99"/>
    </row>
    <row r="11" spans="1:11" ht="42" customHeight="1" x14ac:dyDescent="0.25">
      <c r="A11" s="140"/>
      <c r="B11" s="34" t="s">
        <v>5</v>
      </c>
      <c r="C11" s="99" t="s">
        <v>302</v>
      </c>
      <c r="D11" s="99"/>
      <c r="E11" s="99"/>
      <c r="F11" s="99"/>
      <c r="G11" s="99"/>
      <c r="H11" s="99"/>
    </row>
    <row r="12" spans="1:11" ht="40.5" customHeight="1" x14ac:dyDescent="0.25">
      <c r="A12" s="142" t="s">
        <v>34</v>
      </c>
      <c r="B12" s="142"/>
      <c r="C12" s="99" t="s">
        <v>303</v>
      </c>
      <c r="D12" s="99"/>
      <c r="E12" s="99"/>
      <c r="F12" s="99"/>
      <c r="G12" s="99"/>
      <c r="H12" s="99"/>
    </row>
    <row r="13" spans="1:11" ht="20.100000000000001" customHeight="1" x14ac:dyDescent="0.25">
      <c r="A13" s="132" t="s">
        <v>45</v>
      </c>
      <c r="B13" s="132"/>
      <c r="C13" s="132"/>
      <c r="D13" s="132"/>
      <c r="E13" s="132"/>
      <c r="F13" s="132"/>
      <c r="G13" s="132"/>
      <c r="H13" s="132"/>
    </row>
    <row r="14" spans="1:11" ht="41.25" customHeight="1" x14ac:dyDescent="0.25">
      <c r="A14" s="142" t="s">
        <v>27</v>
      </c>
      <c r="B14" s="142" t="s">
        <v>4</v>
      </c>
      <c r="C14" s="99" t="s">
        <v>85</v>
      </c>
      <c r="D14" s="99"/>
      <c r="E14" s="142" t="s">
        <v>46</v>
      </c>
      <c r="F14" s="142" t="s">
        <v>4</v>
      </c>
      <c r="G14" s="99" t="s">
        <v>304</v>
      </c>
      <c r="H14" s="99"/>
    </row>
    <row r="15" spans="1:11" ht="70.5" customHeight="1" x14ac:dyDescent="0.25">
      <c r="A15" s="125" t="s">
        <v>47</v>
      </c>
      <c r="B15" s="126"/>
      <c r="C15" s="81" t="s">
        <v>381</v>
      </c>
      <c r="D15" s="35" t="s">
        <v>379</v>
      </c>
      <c r="E15" s="125" t="s">
        <v>48</v>
      </c>
      <c r="F15" s="126"/>
      <c r="G15" s="182" t="s">
        <v>305</v>
      </c>
      <c r="H15" s="183"/>
    </row>
    <row r="16" spans="1:11" ht="69" customHeight="1" x14ac:dyDescent="0.25">
      <c r="A16" s="127"/>
      <c r="B16" s="128"/>
      <c r="C16" s="81" t="s">
        <v>382</v>
      </c>
      <c r="D16" s="35" t="s">
        <v>380</v>
      </c>
      <c r="E16" s="127"/>
      <c r="F16" s="128"/>
      <c r="G16" s="184"/>
      <c r="H16" s="185"/>
    </row>
    <row r="17" spans="1:8" ht="41.25" customHeight="1" x14ac:dyDescent="0.25">
      <c r="A17" s="142" t="s">
        <v>49</v>
      </c>
      <c r="B17" s="142" t="s">
        <v>4</v>
      </c>
      <c r="C17" s="99" t="s">
        <v>377</v>
      </c>
      <c r="D17" s="99"/>
      <c r="E17" s="142" t="s">
        <v>50</v>
      </c>
      <c r="F17" s="142" t="s">
        <v>4</v>
      </c>
      <c r="G17" s="99" t="s">
        <v>378</v>
      </c>
      <c r="H17" s="99"/>
    </row>
    <row r="18" spans="1:8" ht="41.25" customHeight="1" x14ac:dyDescent="0.25">
      <c r="A18" s="142" t="s">
        <v>51</v>
      </c>
      <c r="B18" s="142" t="s">
        <v>4</v>
      </c>
      <c r="C18" s="129" t="s">
        <v>305</v>
      </c>
      <c r="D18" s="131"/>
      <c r="E18" s="142" t="s">
        <v>52</v>
      </c>
      <c r="F18" s="142" t="s">
        <v>4</v>
      </c>
      <c r="G18" s="99" t="s">
        <v>306</v>
      </c>
      <c r="H18" s="99"/>
    </row>
    <row r="19" spans="1:8" ht="41.25" customHeight="1" x14ac:dyDescent="0.25">
      <c r="A19" s="142" t="s">
        <v>53</v>
      </c>
      <c r="B19" s="142" t="s">
        <v>4</v>
      </c>
      <c r="C19" s="99" t="str">
        <f>IF(AND(ISNUMBER(SEARCH("Flat",G22)),ISNUMBER(SEARCH("Shop",G22)),ISNUMBER(SEARCH("Office",G22))),"Residential + Commercial",IF(AND(ISNUMBER(SEARCH("Flat",G22)),ISNUMBER(SEARCH("Shop",G22))),"Residential + Commercial",IF(AND(ISNUMBER(SEARCH("Flat",G22)),ISNUMBER(SEARCH("Office",G22))),"Residential + Commercial",IF(AND(ISNUMBER(SEARCH("Shop",G22)),ISNUMBER(SEARCH("Office",G22))),"Commercial",IF(ISNUMBER(SEARCH("Shop",G22)),"Commercial",IF(ISNUMBER(SEARCH("Office",G22)),"Commercial",IF(ISNUMBER(SEARCH("Flat",G22)),"Residential")))))))</f>
        <v>Residential</v>
      </c>
      <c r="D19" s="99"/>
      <c r="E19" s="142" t="s">
        <v>92</v>
      </c>
      <c r="F19" s="142" t="s">
        <v>4</v>
      </c>
      <c r="G19" s="99">
        <v>9309.93</v>
      </c>
      <c r="H19" s="99"/>
    </row>
    <row r="20" spans="1:8" ht="41.25" customHeight="1" x14ac:dyDescent="0.25">
      <c r="A20" s="142" t="s">
        <v>54</v>
      </c>
      <c r="B20" s="142" t="s">
        <v>4</v>
      </c>
      <c r="C20" s="171">
        <f>11399.87/G20</f>
        <v>1.3300001283348093</v>
      </c>
      <c r="D20" s="172"/>
      <c r="E20" s="142" t="s">
        <v>234</v>
      </c>
      <c r="F20" s="142" t="s">
        <v>4</v>
      </c>
      <c r="G20" s="99">
        <v>8571.33</v>
      </c>
      <c r="H20" s="99"/>
    </row>
    <row r="21" spans="1:8" ht="41.25" customHeight="1" x14ac:dyDescent="0.25">
      <c r="A21" s="142" t="s">
        <v>90</v>
      </c>
      <c r="B21" s="142" t="s">
        <v>4</v>
      </c>
      <c r="C21" s="99">
        <v>44125</v>
      </c>
      <c r="D21" s="99"/>
      <c r="E21" s="142" t="s">
        <v>91</v>
      </c>
      <c r="F21" s="142" t="s">
        <v>4</v>
      </c>
      <c r="G21" s="99">
        <v>44125</v>
      </c>
      <c r="H21" s="99"/>
    </row>
    <row r="22" spans="1:8" ht="67.5" customHeight="1" x14ac:dyDescent="0.25">
      <c r="A22" s="142" t="s">
        <v>56</v>
      </c>
      <c r="B22" s="142" t="s">
        <v>4</v>
      </c>
      <c r="C22" s="99" t="s">
        <v>403</v>
      </c>
      <c r="D22" s="99"/>
      <c r="E22" s="142" t="s">
        <v>55</v>
      </c>
      <c r="F22" s="142" t="s">
        <v>4</v>
      </c>
      <c r="G22" s="99" t="s">
        <v>404</v>
      </c>
      <c r="H22" s="99"/>
    </row>
    <row r="23" spans="1:8" ht="20.25" x14ac:dyDescent="0.25">
      <c r="A23" s="142" t="s">
        <v>157</v>
      </c>
      <c r="B23" s="142" t="s">
        <v>4</v>
      </c>
      <c r="C23" s="99" t="s">
        <v>307</v>
      </c>
      <c r="D23" s="99"/>
      <c r="E23" s="142" t="s">
        <v>158</v>
      </c>
      <c r="F23" s="142" t="s">
        <v>4</v>
      </c>
      <c r="G23" s="99" t="s">
        <v>309</v>
      </c>
      <c r="H23" s="99"/>
    </row>
    <row r="24" spans="1:8" ht="24.75" customHeight="1" x14ac:dyDescent="0.25">
      <c r="A24" s="142" t="s">
        <v>155</v>
      </c>
      <c r="B24" s="142" t="s">
        <v>4</v>
      </c>
      <c r="C24" s="173" t="s">
        <v>308</v>
      </c>
      <c r="D24" s="174"/>
      <c r="E24" s="174"/>
      <c r="F24" s="174"/>
      <c r="G24" s="174"/>
      <c r="H24" s="174"/>
    </row>
    <row r="25" spans="1:8" ht="41.25" customHeight="1" x14ac:dyDescent="0.25">
      <c r="A25" s="142" t="s">
        <v>25</v>
      </c>
      <c r="B25" s="142" t="s">
        <v>4</v>
      </c>
      <c r="C25" s="99" t="s">
        <v>310</v>
      </c>
      <c r="D25" s="99"/>
      <c r="E25" s="99"/>
      <c r="F25" s="99"/>
      <c r="G25" s="99"/>
      <c r="H25" s="99"/>
    </row>
    <row r="26" spans="1:8" ht="24" customHeight="1" x14ac:dyDescent="0.25">
      <c r="A26" s="132" t="s">
        <v>20</v>
      </c>
      <c r="B26" s="132"/>
      <c r="C26" s="132"/>
      <c r="D26" s="132"/>
      <c r="E26" s="132"/>
      <c r="F26" s="132"/>
      <c r="G26" s="132"/>
      <c r="H26" s="132"/>
    </row>
    <row r="27" spans="1:8" ht="20.25" x14ac:dyDescent="0.25">
      <c r="A27" s="142" t="s">
        <v>26</v>
      </c>
      <c r="B27" s="142" t="s">
        <v>4</v>
      </c>
      <c r="C27" s="99" t="str">
        <f>IF(AND(G27="Upper"),"Developed","Developing")</f>
        <v>Developed</v>
      </c>
      <c r="D27" s="99"/>
      <c r="E27" s="142" t="s">
        <v>13</v>
      </c>
      <c r="F27" s="142" t="s">
        <v>4</v>
      </c>
      <c r="G27" s="99" t="s">
        <v>293</v>
      </c>
      <c r="H27" s="99"/>
    </row>
    <row r="28" spans="1:8" ht="20.25" x14ac:dyDescent="0.25">
      <c r="A28" s="142" t="s">
        <v>14</v>
      </c>
      <c r="B28" s="142" t="s">
        <v>4</v>
      </c>
      <c r="C28" s="99" t="s">
        <v>294</v>
      </c>
      <c r="D28" s="99"/>
      <c r="E28" s="142" t="s">
        <v>145</v>
      </c>
      <c r="F28" s="142" t="s">
        <v>4</v>
      </c>
      <c r="G28" s="99" t="s">
        <v>311</v>
      </c>
      <c r="H28" s="99"/>
    </row>
    <row r="29" spans="1:8" ht="43.5" customHeight="1" x14ac:dyDescent="0.25">
      <c r="A29" s="142" t="s">
        <v>23</v>
      </c>
      <c r="B29" s="142" t="s">
        <v>4</v>
      </c>
      <c r="C29" s="99" t="s">
        <v>94</v>
      </c>
      <c r="D29" s="99"/>
      <c r="E29" s="142" t="s">
        <v>16</v>
      </c>
      <c r="F29" s="142" t="s">
        <v>4</v>
      </c>
      <c r="G29" s="99" t="s">
        <v>317</v>
      </c>
      <c r="H29" s="99"/>
    </row>
    <row r="30" spans="1:8" ht="63" customHeight="1" x14ac:dyDescent="0.25">
      <c r="A30" s="142" t="s">
        <v>103</v>
      </c>
      <c r="B30" s="142" t="s">
        <v>4</v>
      </c>
      <c r="C30" s="99" t="s">
        <v>321</v>
      </c>
      <c r="D30" s="99"/>
      <c r="E30" s="142" t="s">
        <v>104</v>
      </c>
      <c r="F30" s="142" t="s">
        <v>4</v>
      </c>
      <c r="G30" s="99" t="s">
        <v>319</v>
      </c>
      <c r="H30" s="99"/>
    </row>
    <row r="31" spans="1:8" ht="84" customHeight="1" x14ac:dyDescent="0.25">
      <c r="A31" s="142" t="s">
        <v>17</v>
      </c>
      <c r="B31" s="142" t="s">
        <v>4</v>
      </c>
      <c r="C31" s="99" t="s">
        <v>320</v>
      </c>
      <c r="D31" s="99"/>
      <c r="E31" s="142" t="s">
        <v>15</v>
      </c>
      <c r="F31" s="142" t="s">
        <v>4</v>
      </c>
      <c r="G31" s="99" t="s">
        <v>318</v>
      </c>
      <c r="H31" s="99"/>
    </row>
    <row r="32" spans="1:8" ht="20.25" x14ac:dyDescent="0.25">
      <c r="A32" s="142" t="s">
        <v>109</v>
      </c>
      <c r="B32" s="142" t="s">
        <v>4</v>
      </c>
      <c r="C32" s="99" t="s">
        <v>110</v>
      </c>
      <c r="D32" s="99"/>
      <c r="E32" s="142" t="s">
        <v>111</v>
      </c>
      <c r="F32" s="142" t="s">
        <v>4</v>
      </c>
      <c r="G32" s="99" t="s">
        <v>110</v>
      </c>
      <c r="H32" s="99"/>
    </row>
    <row r="33" spans="1:15" ht="21.75" customHeight="1" x14ac:dyDescent="0.25">
      <c r="A33" s="142" t="s">
        <v>112</v>
      </c>
      <c r="B33" s="142" t="s">
        <v>4</v>
      </c>
      <c r="C33" s="99" t="s">
        <v>110</v>
      </c>
      <c r="D33" s="99"/>
      <c r="E33" s="99"/>
      <c r="F33" s="99"/>
      <c r="G33" s="99"/>
      <c r="H33" s="99"/>
    </row>
    <row r="34" spans="1:15" ht="20.25" x14ac:dyDescent="0.25">
      <c r="A34" s="149" t="s">
        <v>37</v>
      </c>
      <c r="B34" s="149"/>
      <c r="C34" s="149"/>
      <c r="D34" s="149"/>
      <c r="E34" s="149"/>
      <c r="F34" s="149"/>
      <c r="G34" s="149"/>
      <c r="H34" s="149"/>
    </row>
    <row r="35" spans="1:15" ht="43.5" customHeight="1" x14ac:dyDescent="0.25">
      <c r="A35" s="142" t="s">
        <v>18</v>
      </c>
      <c r="B35" s="142"/>
      <c r="C35" s="99" t="s">
        <v>95</v>
      </c>
      <c r="D35" s="99"/>
      <c r="E35" s="142" t="s">
        <v>19</v>
      </c>
      <c r="F35" s="142" t="s">
        <v>4</v>
      </c>
      <c r="G35" s="99" t="s">
        <v>96</v>
      </c>
      <c r="H35" s="99"/>
    </row>
    <row r="36" spans="1:15" ht="43.5" customHeight="1" x14ac:dyDescent="0.25">
      <c r="A36" s="142" t="s">
        <v>22</v>
      </c>
      <c r="B36" s="142"/>
      <c r="C36" s="99" t="s">
        <v>96</v>
      </c>
      <c r="D36" s="99"/>
      <c r="E36" s="142" t="s">
        <v>32</v>
      </c>
      <c r="F36" s="142" t="s">
        <v>4</v>
      </c>
      <c r="G36" s="99" t="s">
        <v>94</v>
      </c>
      <c r="H36" s="99"/>
    </row>
    <row r="37" spans="1:15" ht="20.25" x14ac:dyDescent="0.25">
      <c r="A37" s="142" t="s">
        <v>31</v>
      </c>
      <c r="B37" s="142"/>
      <c r="C37" s="99" t="s">
        <v>97</v>
      </c>
      <c r="D37" s="99"/>
      <c r="E37" s="142" t="s">
        <v>21</v>
      </c>
      <c r="F37" s="142" t="s">
        <v>4</v>
      </c>
      <c r="G37" s="99" t="s">
        <v>98</v>
      </c>
      <c r="H37" s="99"/>
    </row>
    <row r="38" spans="1:15" ht="20.25" x14ac:dyDescent="0.25">
      <c r="A38" s="132" t="s">
        <v>0</v>
      </c>
      <c r="B38" s="132"/>
      <c r="C38" s="132"/>
      <c r="D38" s="132"/>
      <c r="E38" s="132"/>
      <c r="F38" s="132"/>
      <c r="G38" s="132"/>
      <c r="H38" s="132"/>
    </row>
    <row r="39" spans="1:15" ht="20.25" x14ac:dyDescent="0.25">
      <c r="A39" s="139" t="s">
        <v>0</v>
      </c>
      <c r="B39" s="139"/>
      <c r="C39" s="139" t="s">
        <v>223</v>
      </c>
      <c r="D39" s="139"/>
      <c r="E39" s="139"/>
      <c r="F39" s="139" t="s">
        <v>7</v>
      </c>
      <c r="G39" s="139"/>
      <c r="H39" s="139"/>
      <c r="J39" s="179" t="s">
        <v>1</v>
      </c>
      <c r="K39" s="180"/>
      <c r="L39" s="2" t="s">
        <v>6</v>
      </c>
      <c r="M39" s="179" t="s">
        <v>2</v>
      </c>
      <c r="N39" s="180"/>
      <c r="O39" s="2" t="s">
        <v>3</v>
      </c>
    </row>
    <row r="40" spans="1:15" ht="20.25" x14ac:dyDescent="0.25">
      <c r="A40" s="140" t="s">
        <v>2</v>
      </c>
      <c r="B40" s="140"/>
      <c r="C40" s="181" t="s">
        <v>312</v>
      </c>
      <c r="D40" s="181"/>
      <c r="E40" s="181"/>
      <c r="F40" s="181" t="s">
        <v>315</v>
      </c>
      <c r="G40" s="181"/>
      <c r="H40" s="181"/>
    </row>
    <row r="41" spans="1:15" ht="20.25" x14ac:dyDescent="0.25">
      <c r="A41" s="140" t="s">
        <v>3</v>
      </c>
      <c r="B41" s="140"/>
      <c r="C41" s="181" t="s">
        <v>313</v>
      </c>
      <c r="D41" s="181"/>
      <c r="E41" s="181"/>
      <c r="F41" s="181" t="s">
        <v>383</v>
      </c>
      <c r="G41" s="181"/>
      <c r="H41" s="181"/>
    </row>
    <row r="42" spans="1:15" ht="48.75" customHeight="1" x14ac:dyDescent="0.25">
      <c r="A42" s="140" t="s">
        <v>1</v>
      </c>
      <c r="B42" s="140"/>
      <c r="C42" s="150" t="s">
        <v>385</v>
      </c>
      <c r="D42" s="150"/>
      <c r="E42" s="150"/>
      <c r="F42" s="150" t="s">
        <v>384</v>
      </c>
      <c r="G42" s="150"/>
      <c r="H42" s="150"/>
    </row>
    <row r="43" spans="1:15" ht="20.25" x14ac:dyDescent="0.25">
      <c r="A43" s="140" t="s">
        <v>6</v>
      </c>
      <c r="B43" s="140"/>
      <c r="C43" s="181" t="s">
        <v>314</v>
      </c>
      <c r="D43" s="181"/>
      <c r="E43" s="181"/>
      <c r="F43" s="181" t="s">
        <v>316</v>
      </c>
      <c r="G43" s="181"/>
      <c r="H43" s="181"/>
    </row>
    <row r="44" spans="1:15" ht="66" customHeight="1" x14ac:dyDescent="0.25">
      <c r="A44" s="142" t="s">
        <v>224</v>
      </c>
      <c r="B44" s="142"/>
      <c r="C44" s="99" t="s">
        <v>94</v>
      </c>
      <c r="D44" s="99"/>
      <c r="E44" s="99"/>
      <c r="F44" s="99"/>
      <c r="G44" s="99"/>
      <c r="H44" s="99"/>
    </row>
    <row r="45" spans="1:15" ht="20.25" x14ac:dyDescent="0.25">
      <c r="A45" s="132" t="s">
        <v>57</v>
      </c>
      <c r="B45" s="132"/>
      <c r="C45" s="132"/>
      <c r="D45" s="132"/>
      <c r="E45" s="132"/>
      <c r="F45" s="132"/>
      <c r="G45" s="132"/>
      <c r="H45" s="132"/>
    </row>
    <row r="46" spans="1:15" ht="21" customHeight="1" x14ac:dyDescent="0.25">
      <c r="A46" s="139" t="s">
        <v>58</v>
      </c>
      <c r="B46" s="139"/>
      <c r="C46" s="2" t="s">
        <v>59</v>
      </c>
      <c r="D46" s="139" t="s">
        <v>143</v>
      </c>
      <c r="E46" s="139"/>
      <c r="F46" s="139"/>
      <c r="G46" s="139" t="s">
        <v>60</v>
      </c>
      <c r="H46" s="139"/>
    </row>
    <row r="47" spans="1:15" ht="39.75" customHeight="1" x14ac:dyDescent="0.25">
      <c r="A47" s="140" t="s">
        <v>386</v>
      </c>
      <c r="B47" s="140"/>
      <c r="C47" s="85" t="s">
        <v>86</v>
      </c>
      <c r="D47" s="141" t="s">
        <v>324</v>
      </c>
      <c r="E47" s="141"/>
      <c r="F47" s="141"/>
      <c r="G47" s="141" t="s">
        <v>322</v>
      </c>
      <c r="H47" s="141"/>
    </row>
    <row r="48" spans="1:15" ht="39.75" customHeight="1" x14ac:dyDescent="0.25">
      <c r="A48" s="140" t="s">
        <v>394</v>
      </c>
      <c r="B48" s="140"/>
      <c r="C48" s="85" t="s">
        <v>86</v>
      </c>
      <c r="D48" s="141" t="s">
        <v>324</v>
      </c>
      <c r="E48" s="141"/>
      <c r="F48" s="141"/>
      <c r="G48" s="141" t="s">
        <v>323</v>
      </c>
      <c r="H48" s="141"/>
    </row>
    <row r="49" spans="1:14" ht="20.25" x14ac:dyDescent="0.25">
      <c r="A49" s="132" t="s">
        <v>61</v>
      </c>
      <c r="B49" s="132"/>
      <c r="C49" s="132"/>
      <c r="D49" s="132"/>
      <c r="E49" s="132"/>
      <c r="F49" s="132"/>
      <c r="G49" s="132"/>
      <c r="H49" s="132"/>
    </row>
    <row r="50" spans="1:14" ht="42.75" customHeight="1" x14ac:dyDescent="0.25">
      <c r="A50" s="142" t="s">
        <v>62</v>
      </c>
      <c r="B50" s="142" t="s">
        <v>4</v>
      </c>
      <c r="C50" s="99" t="s">
        <v>94</v>
      </c>
      <c r="D50" s="99"/>
      <c r="E50" s="99"/>
      <c r="F50" s="99"/>
      <c r="G50" s="99"/>
      <c r="H50" s="99"/>
    </row>
    <row r="51" spans="1:14" ht="20.25" x14ac:dyDescent="0.25">
      <c r="A51" s="142" t="s">
        <v>63</v>
      </c>
      <c r="B51" s="142" t="s">
        <v>4</v>
      </c>
      <c r="C51" s="99" t="s">
        <v>325</v>
      </c>
      <c r="D51" s="99"/>
      <c r="E51" s="99"/>
      <c r="F51" s="99"/>
      <c r="G51" s="50" t="s">
        <v>225</v>
      </c>
      <c r="H51" s="83">
        <v>45594</v>
      </c>
    </row>
    <row r="52" spans="1:14" ht="20.25" x14ac:dyDescent="0.25">
      <c r="A52" s="142" t="s">
        <v>64</v>
      </c>
      <c r="B52" s="142" t="s">
        <v>4</v>
      </c>
      <c r="C52" s="99" t="s">
        <v>325</v>
      </c>
      <c r="D52" s="99"/>
      <c r="E52" s="99"/>
      <c r="F52" s="99"/>
      <c r="G52" s="50" t="s">
        <v>225</v>
      </c>
      <c r="H52" s="83">
        <v>45594</v>
      </c>
    </row>
    <row r="53" spans="1:14" ht="20.25" x14ac:dyDescent="0.25">
      <c r="A53" s="142" t="s">
        <v>387</v>
      </c>
      <c r="B53" s="142"/>
      <c r="C53" s="99" t="s">
        <v>326</v>
      </c>
      <c r="D53" s="99"/>
      <c r="E53" s="99"/>
      <c r="F53" s="99"/>
      <c r="G53" s="50" t="s">
        <v>225</v>
      </c>
      <c r="H53" s="83">
        <v>45189</v>
      </c>
    </row>
    <row r="54" spans="1:14" ht="62.25" customHeight="1" x14ac:dyDescent="0.25">
      <c r="A54" s="142"/>
      <c r="B54" s="142"/>
      <c r="C54" s="99" t="s">
        <v>327</v>
      </c>
      <c r="D54" s="99"/>
      <c r="E54" s="99"/>
      <c r="F54" s="99"/>
      <c r="G54" s="50" t="s">
        <v>235</v>
      </c>
      <c r="H54" s="83">
        <v>46069</v>
      </c>
    </row>
    <row r="55" spans="1:14" ht="75" customHeight="1" x14ac:dyDescent="0.25">
      <c r="A55" s="142" t="s">
        <v>389</v>
      </c>
      <c r="B55" s="142" t="s">
        <v>4</v>
      </c>
      <c r="C55" s="99" t="s">
        <v>388</v>
      </c>
      <c r="D55" s="99"/>
      <c r="E55" s="99"/>
      <c r="F55" s="99"/>
      <c r="G55" s="50" t="s">
        <v>226</v>
      </c>
      <c r="H55" s="76">
        <v>43903</v>
      </c>
      <c r="I55" t="s">
        <v>396</v>
      </c>
    </row>
    <row r="56" spans="1:14" ht="45" hidden="1" customHeight="1" x14ac:dyDescent="0.25">
      <c r="A56" s="142" t="s">
        <v>65</v>
      </c>
      <c r="B56" s="142" t="s">
        <v>4</v>
      </c>
      <c r="C56" s="99"/>
      <c r="D56" s="99"/>
      <c r="E56" s="99"/>
      <c r="F56" s="99"/>
      <c r="G56" s="50" t="s">
        <v>226</v>
      </c>
      <c r="H56" s="35"/>
    </row>
    <row r="57" spans="1:14" ht="24" customHeight="1" x14ac:dyDescent="0.25">
      <c r="A57" s="125" t="s">
        <v>390</v>
      </c>
      <c r="B57" s="126"/>
      <c r="C57" s="99" t="s">
        <v>328</v>
      </c>
      <c r="D57" s="99"/>
      <c r="E57" s="99"/>
      <c r="F57" s="99"/>
      <c r="G57" s="50" t="s">
        <v>226</v>
      </c>
      <c r="H57" s="76">
        <v>44876</v>
      </c>
      <c r="N57" s="71" t="s">
        <v>295</v>
      </c>
    </row>
    <row r="58" spans="1:14" ht="46.5" customHeight="1" x14ac:dyDescent="0.25">
      <c r="A58" s="127"/>
      <c r="B58" s="128"/>
      <c r="C58" s="99" t="s">
        <v>329</v>
      </c>
      <c r="D58" s="99"/>
      <c r="E58" s="99"/>
      <c r="F58" s="99"/>
      <c r="G58" s="50" t="s">
        <v>226</v>
      </c>
      <c r="H58" s="76">
        <v>47797</v>
      </c>
      <c r="I58" s="86">
        <f>275.37-4.65</f>
        <v>270.72000000000003</v>
      </c>
      <c r="N58" s="71" t="s">
        <v>295</v>
      </c>
    </row>
    <row r="59" spans="1:14" ht="19.5" customHeight="1" x14ac:dyDescent="0.25">
      <c r="A59" s="125" t="s">
        <v>391</v>
      </c>
      <c r="B59" s="126"/>
      <c r="C59" s="99" t="s">
        <v>330</v>
      </c>
      <c r="D59" s="99"/>
      <c r="E59" s="99"/>
      <c r="F59" s="99"/>
      <c r="G59" s="50" t="s">
        <v>226</v>
      </c>
      <c r="H59" s="83">
        <v>45163</v>
      </c>
    </row>
    <row r="60" spans="1:14" ht="89.25" customHeight="1" x14ac:dyDescent="0.25">
      <c r="A60" s="127"/>
      <c r="B60" s="128"/>
      <c r="C60" s="129" t="s">
        <v>392</v>
      </c>
      <c r="D60" s="130"/>
      <c r="E60" s="130"/>
      <c r="F60" s="130"/>
      <c r="G60" s="130"/>
      <c r="H60" s="131"/>
    </row>
    <row r="61" spans="1:14" ht="21" customHeight="1" x14ac:dyDescent="0.25">
      <c r="A61" s="100" t="s">
        <v>373</v>
      </c>
      <c r="B61" s="101"/>
      <c r="C61" s="99" t="s">
        <v>374</v>
      </c>
      <c r="D61" s="99"/>
      <c r="E61" s="99"/>
      <c r="F61" s="99"/>
      <c r="G61" s="50" t="s">
        <v>226</v>
      </c>
      <c r="H61" s="83">
        <v>42027</v>
      </c>
    </row>
    <row r="62" spans="1:14" ht="20.25" x14ac:dyDescent="0.25">
      <c r="A62" s="132" t="s">
        <v>66</v>
      </c>
      <c r="B62" s="132"/>
      <c r="C62" s="132"/>
      <c r="D62" s="132"/>
      <c r="E62" s="132"/>
      <c r="F62" s="132"/>
      <c r="G62" s="132"/>
      <c r="H62" s="132"/>
    </row>
    <row r="63" spans="1:14" ht="39.75" customHeight="1" x14ac:dyDescent="0.25">
      <c r="A63" s="133" t="str">
        <f>CONCATENATE((IF(OR(A47="",A47="NA"),"",A47)),"= ",(IF(OR(D47="",D47="NA"),"",D47)),".")</f>
        <v>North Tower
Wing 1 (Tower 1)= 2B + G + 1st to 55th Floor.</v>
      </c>
      <c r="B63" s="133"/>
      <c r="C63" s="133"/>
      <c r="D63" s="30" t="s">
        <v>113</v>
      </c>
      <c r="E63" s="134" t="s">
        <v>100</v>
      </c>
      <c r="F63" s="134"/>
      <c r="G63" s="30" t="s">
        <v>114</v>
      </c>
      <c r="H63" s="30" t="s">
        <v>115</v>
      </c>
    </row>
    <row r="64" spans="1:14" ht="21" thickBot="1" x14ac:dyDescent="0.3">
      <c r="A64" s="133"/>
      <c r="B64" s="133"/>
      <c r="C64" s="133"/>
      <c r="D64" s="72">
        <f>IF(AND(ISNUMBER(SEARCH("1B",A63))),1,IF(AND(ISNUMBER(SEARCH("2B",A63))),2,IF(AND(ISNUMBER(SEARCH("3B",A63))),3,IF(AND(ISNUMBER(SEARCH("4B",A63))),4,IF(ISNUMBER(SEARCH("5B",A63)),5,0)))))</f>
        <v>2</v>
      </c>
      <c r="E64" s="134">
        <v>1</v>
      </c>
      <c r="F64" s="134"/>
      <c r="G64" s="72">
        <v>0</v>
      </c>
      <c r="H64" s="30">
        <f ca="1">--TRIM(RIGHT(SUBSTITUTE(LEFT(A63,_xlfn.AGGREGATE(16,6,FIND({0,1,2,3,4,5,6,7,8,9},A63,ROW(INDIRECT("1:"&amp;LEN(A63)))),1))," ",REPT(" ",LEN(A63))),LEN(A63)))</f>
        <v>55</v>
      </c>
    </row>
    <row r="65" spans="1:10" ht="20.25" customHeight="1" x14ac:dyDescent="0.3">
      <c r="A65" s="136" t="s">
        <v>117</v>
      </c>
      <c r="B65" s="136"/>
      <c r="C65" s="28" t="s">
        <v>127</v>
      </c>
      <c r="D65" s="28" t="s">
        <v>128</v>
      </c>
      <c r="E65" s="136" t="s">
        <v>118</v>
      </c>
      <c r="F65" s="136"/>
      <c r="G65" s="29" t="s">
        <v>116</v>
      </c>
      <c r="H65" s="29"/>
      <c r="I65" s="16" t="str">
        <f ca="1">(IF(E66&gt;99%,"All work completed. Please provide OC.",IF(E66&gt;89.8%,"Plinth, RCC, Brick, Plaster, Flooring, Wooden, Plumbing, Electrification, etc., work Completed. Finishing work is in process.",IF(E66&lt;94%,(IF(C66=0,"Work not yet Started.",IF(D66=25%,"Piling work in process",IF(D66=50%,"Excavation work in process",IF(D66=100%,"Excavation work Completed. ","0")))&amp;(IF(C67=0%,"",IF(C67=J70,"Footing work is process",IF(C67=J71,"Footing work Completed",IF(C67=J72,"1st Basement Completed",IF(C67=J73,"1st &amp; 2nd Basement Completed",IF(C67=J74,"1st to 3rd Basement Completed",IF(C67=J75,"1st to 4th Basement Completed",IF(C67=J76,"Plinth work is process",IF(C67=J77,"Plinth work completed","0")))))))))))&amp;(IF(C68=(E64+G64+H64),", RCC Slab",IF(C68&gt;0,", RCC upto "&amp;C68&amp;" Slab",""))&amp;(IF(C69=H64,", Brickwork",IF(C69&gt;0,", Brickwork upto "&amp;C69&amp;" Floor",""))&amp;(IF(C70=H64,", Internal Plaster",IF(C70&gt;0,", Internal Plaster upto "&amp;C70&amp;" Floor",""))&amp;(IF(C71=H64,", External Plaster",IF(C71&gt;0,", External Plaster upto "&amp;C71&amp;" Floor",""))&amp;(IF(C72=H64,", External Plumbing, Elevation and Waterproofing",IF(C72&gt;0,", External Plumbing, Elevation and Waterproofing upto "&amp;C72&amp;" Floor",""))&amp;(IF(C73=H64,", Flooring &amp; Fitting",IF(C73&gt;0,", Flooring &amp; Fitting upto "&amp;C73&amp;" Floor",""))&amp;(IF(C74=H64,", Wooden Work",IF(C74&gt;0,", Wooden Work upto "&amp;C74&amp;" Floor",""))&amp;(IF(C75=H64,", Electrical &amp; Sanitary fittings",IF(C75&gt;0,", Electrical &amp; Sanitary fittings upto "&amp;C75&amp;" Floor",""))&amp;(IF(C76&gt;0,", Finishing upto "&amp;C76&amp;" Floor","")&amp;(IF(C68&gt;0.5," Completed",""))))))))))))))))</f>
        <v>Excavation work in process</v>
      </c>
      <c r="J65" s="18"/>
    </row>
    <row r="66" spans="1:10" ht="20.25" customHeight="1" x14ac:dyDescent="0.3">
      <c r="A66" s="135" t="s">
        <v>130</v>
      </c>
      <c r="B66" s="135"/>
      <c r="C66" s="72">
        <f ca="1">J68</f>
        <v>27.5</v>
      </c>
      <c r="D66" s="5">
        <f ca="1">((100/H64)*C66)/100</f>
        <v>0.5</v>
      </c>
      <c r="E66" s="162">
        <f ca="1">(((C66/H64*10)+(C67/H64*15)+(25/(E64+G64+H64)*C68)+(5/(H64)*C69)+(2.5/(H64)*C70)+(2.5/(H64)*C71)+(5/H64*C72)+(10/H64*C73)+(2.5/H64*C74)+(2.5/H64*C75)+(10/H64*C76)+(10/H64*C77))/100)</f>
        <v>0.05</v>
      </c>
      <c r="F66" s="163"/>
      <c r="G66" s="135" t="str">
        <f ca="1">I65</f>
        <v>Excavation work in process</v>
      </c>
      <c r="H66" s="135"/>
      <c r="I66" s="17" t="s">
        <v>119</v>
      </c>
      <c r="J66" s="18"/>
    </row>
    <row r="67" spans="1:10" ht="20.25" x14ac:dyDescent="0.3">
      <c r="A67" s="135" t="s">
        <v>101</v>
      </c>
      <c r="B67" s="135"/>
      <c r="C67" s="75">
        <f>J76</f>
        <v>0</v>
      </c>
      <c r="D67" s="5">
        <f ca="1">((100/H64)*C67)/100</f>
        <v>0</v>
      </c>
      <c r="E67" s="164"/>
      <c r="F67" s="165"/>
      <c r="G67" s="135"/>
      <c r="H67" s="135"/>
      <c r="I67" s="20" t="s">
        <v>129</v>
      </c>
      <c r="J67" s="19">
        <f ca="1">H64*25%</f>
        <v>13.75</v>
      </c>
    </row>
    <row r="68" spans="1:10" ht="21" customHeight="1" x14ac:dyDescent="0.3">
      <c r="A68" s="135" t="s">
        <v>131</v>
      </c>
      <c r="B68" s="135"/>
      <c r="C68" s="72">
        <v>0</v>
      </c>
      <c r="D68" s="5">
        <f ca="1">((100/(E64+G64+H64))*C68)/100</f>
        <v>0</v>
      </c>
      <c r="E68" s="164"/>
      <c r="F68" s="165"/>
      <c r="G68" s="135"/>
      <c r="H68" s="135"/>
      <c r="I68" s="20" t="s">
        <v>120</v>
      </c>
      <c r="J68" s="24">
        <f ca="1">H64*50%</f>
        <v>27.5</v>
      </c>
    </row>
    <row r="69" spans="1:10" ht="21" customHeight="1" x14ac:dyDescent="0.3">
      <c r="A69" s="135" t="s">
        <v>132</v>
      </c>
      <c r="B69" s="135"/>
      <c r="C69" s="72">
        <v>0</v>
      </c>
      <c r="D69" s="5">
        <f ca="1">((100/H64)*C69)/100</f>
        <v>0</v>
      </c>
      <c r="E69" s="164"/>
      <c r="F69" s="165"/>
      <c r="G69" s="135"/>
      <c r="H69" s="135"/>
      <c r="I69" s="20" t="s">
        <v>121</v>
      </c>
      <c r="J69" s="24">
        <f ca="1">H64</f>
        <v>55</v>
      </c>
    </row>
    <row r="70" spans="1:10" ht="21" customHeight="1" x14ac:dyDescent="0.35">
      <c r="A70" s="137" t="s">
        <v>133</v>
      </c>
      <c r="B70" s="138"/>
      <c r="C70" s="72">
        <v>0</v>
      </c>
      <c r="D70" s="5">
        <f ca="1">((100/H64)*C70)/100</f>
        <v>0</v>
      </c>
      <c r="E70" s="164"/>
      <c r="F70" s="165"/>
      <c r="G70" s="135"/>
      <c r="H70" s="135"/>
      <c r="I70" s="20" t="s">
        <v>122</v>
      </c>
      <c r="J70" s="25">
        <f ca="1">(IF(D64&gt;1,(H64/(D64+2)),H64*0.2))</f>
        <v>13.75</v>
      </c>
    </row>
    <row r="71" spans="1:10" ht="21" customHeight="1" x14ac:dyDescent="0.35">
      <c r="A71" s="137" t="s">
        <v>164</v>
      </c>
      <c r="B71" s="138"/>
      <c r="C71" s="72">
        <v>0</v>
      </c>
      <c r="D71" s="5">
        <f ca="1">((100/H64)*C71)/100</f>
        <v>0</v>
      </c>
      <c r="E71" s="164"/>
      <c r="F71" s="165"/>
      <c r="G71" s="135"/>
      <c r="H71" s="135"/>
      <c r="I71" s="20" t="s">
        <v>123</v>
      </c>
      <c r="J71" s="25">
        <f ca="1">(IF(D64&gt;1,(H64/(D64+2)+J70),H64*0.2+J70))</f>
        <v>27.5</v>
      </c>
    </row>
    <row r="72" spans="1:10" ht="39" customHeight="1" x14ac:dyDescent="0.35">
      <c r="A72" s="169" t="s">
        <v>161</v>
      </c>
      <c r="B72" s="170"/>
      <c r="C72" s="72">
        <v>0</v>
      </c>
      <c r="D72" s="5">
        <f ca="1">((100/(H64))*C72)/100</f>
        <v>0</v>
      </c>
      <c r="E72" s="164"/>
      <c r="F72" s="165"/>
      <c r="G72" s="135"/>
      <c r="H72" s="135"/>
      <c r="I72" s="20" t="s">
        <v>134</v>
      </c>
      <c r="J72" s="25">
        <f ca="1">(IF(D64&gt;1,(H64/(D64+2)+J71),0))</f>
        <v>41.25</v>
      </c>
    </row>
    <row r="73" spans="1:10" ht="21" x14ac:dyDescent="0.35">
      <c r="A73" s="135" t="s">
        <v>136</v>
      </c>
      <c r="B73" s="135"/>
      <c r="C73" s="72">
        <v>0</v>
      </c>
      <c r="D73" s="5">
        <f ca="1">((100/(H64))*C73)/100</f>
        <v>0</v>
      </c>
      <c r="E73" s="164"/>
      <c r="F73" s="165"/>
      <c r="G73" s="135"/>
      <c r="H73" s="135"/>
      <c r="I73" s="20" t="s">
        <v>135</v>
      </c>
      <c r="J73" s="25">
        <f>(IF(D64&gt;2,(H64/(D64+2)+J72),0))</f>
        <v>0</v>
      </c>
    </row>
    <row r="74" spans="1:10" ht="21" customHeight="1" x14ac:dyDescent="0.35">
      <c r="A74" s="135" t="s">
        <v>163</v>
      </c>
      <c r="B74" s="135"/>
      <c r="C74" s="72">
        <v>0</v>
      </c>
      <c r="D74" s="5">
        <f ca="1">((100/H64)*C74)/100</f>
        <v>0</v>
      </c>
      <c r="E74" s="164"/>
      <c r="F74" s="165"/>
      <c r="G74" s="135"/>
      <c r="H74" s="135"/>
      <c r="I74" s="20" t="s">
        <v>137</v>
      </c>
      <c r="J74" s="26">
        <f>(IF(D64&gt;3,(H64/(D64+2)+J73),0))</f>
        <v>0</v>
      </c>
    </row>
    <row r="75" spans="1:10" ht="21" x14ac:dyDescent="0.35">
      <c r="A75" s="135" t="s">
        <v>162</v>
      </c>
      <c r="B75" s="135"/>
      <c r="C75" s="30">
        <v>0</v>
      </c>
      <c r="D75" s="5">
        <f ca="1">((100/H64)*C75)/100</f>
        <v>0</v>
      </c>
      <c r="E75" s="164"/>
      <c r="F75" s="165"/>
      <c r="G75" s="135"/>
      <c r="H75" s="135"/>
      <c r="I75" s="20" t="s">
        <v>138</v>
      </c>
      <c r="J75" s="25">
        <f>(IF(D64&gt;4,(H64/(D64+2)+J74),0))</f>
        <v>0</v>
      </c>
    </row>
    <row r="76" spans="1:10" ht="21" x14ac:dyDescent="0.35">
      <c r="A76" s="135" t="s">
        <v>139</v>
      </c>
      <c r="B76" s="135"/>
      <c r="C76" s="30">
        <v>0</v>
      </c>
      <c r="D76" s="5">
        <f ca="1">((100/(H64))*C76)/100</f>
        <v>0</v>
      </c>
      <c r="E76" s="164"/>
      <c r="F76" s="165"/>
      <c r="G76" s="135"/>
      <c r="H76" s="135"/>
      <c r="I76" s="20" t="s">
        <v>124</v>
      </c>
      <c r="J76" s="25">
        <f>(IF(D64=1,(H64/(D64+3)+J71),IF(D64=0,(H64*0.3+J71),IF(D64&gt;1,0))))</f>
        <v>0</v>
      </c>
    </row>
    <row r="77" spans="1:10" ht="21.75" thickBot="1" x14ac:dyDescent="0.4">
      <c r="A77" s="135" t="s">
        <v>140</v>
      </c>
      <c r="B77" s="135"/>
      <c r="C77" s="30">
        <v>0</v>
      </c>
      <c r="D77" s="5">
        <f ca="1">((100/(H64))*C77)/100</f>
        <v>0</v>
      </c>
      <c r="E77" s="166"/>
      <c r="F77" s="167"/>
      <c r="G77" s="135"/>
      <c r="H77" s="135"/>
      <c r="I77" s="22" t="s">
        <v>125</v>
      </c>
      <c r="J77" s="27">
        <f ca="1">(IF(D64&gt;1.5,(H64/(D64+2)+J71+MAX(0,J72-J71)+MAX(0,J73-J72)+MAX(0,J74-J73)+MAX(0,J75-J74)+MAX(0,J76-J75)),IF(D64=1,(H64/(D64+3)+J76),IF(D64=0,H64*0.3+J76))))</f>
        <v>55</v>
      </c>
    </row>
    <row r="78" spans="1:10" ht="20.25" x14ac:dyDescent="0.25">
      <c r="A78" s="132" t="s">
        <v>66</v>
      </c>
      <c r="B78" s="132"/>
      <c r="C78" s="132"/>
      <c r="D78" s="132"/>
      <c r="E78" s="132"/>
      <c r="F78" s="132"/>
      <c r="G78" s="132"/>
      <c r="H78" s="132"/>
    </row>
    <row r="79" spans="1:10" ht="43.5" customHeight="1" x14ac:dyDescent="0.25">
      <c r="A79" s="133" t="str">
        <f>CONCATENATE((IF(OR(A48="",A48="NA"),"",A48)),"= ",(IF(OR(D48="",D48="NA"),"",D48)),".")</f>
        <v>South Tower
Wing 2 (Tower 2)= 2B + G + 1st to 55th Floor.</v>
      </c>
      <c r="B79" s="133"/>
      <c r="C79" s="133"/>
      <c r="D79" s="30" t="s">
        <v>113</v>
      </c>
      <c r="E79" s="134" t="s">
        <v>100</v>
      </c>
      <c r="F79" s="134"/>
      <c r="G79" s="30" t="s">
        <v>114</v>
      </c>
      <c r="H79" s="30" t="s">
        <v>115</v>
      </c>
    </row>
    <row r="80" spans="1:10" ht="21" thickBot="1" x14ac:dyDescent="0.3">
      <c r="A80" s="133"/>
      <c r="B80" s="133"/>
      <c r="C80" s="133"/>
      <c r="D80" s="72">
        <f>IF(AND(ISNUMBER(SEARCH("1B",A79))),1,IF(AND(ISNUMBER(SEARCH("2B",A79))),2,IF(AND(ISNUMBER(SEARCH("3B",A79))),3,IF(AND(ISNUMBER(SEARCH("4B",A79))),4,IF(ISNUMBER(SEARCH("5B",A79)),5,0)))))</f>
        <v>2</v>
      </c>
      <c r="E80" s="134">
        <v>1</v>
      </c>
      <c r="F80" s="134"/>
      <c r="G80" s="72">
        <v>0</v>
      </c>
      <c r="H80" s="30">
        <f ca="1">--TRIM(RIGHT(SUBSTITUTE(LEFT(A79,_xlfn.AGGREGATE(16,6,FIND({0,1,2,3,4,5,6,7,8,9},A79,ROW(INDIRECT("1:"&amp;LEN(A79)))),1))," ",REPT(" ",LEN(A79))),LEN(A79)))</f>
        <v>55</v>
      </c>
    </row>
    <row r="81" spans="1:11" ht="20.25" customHeight="1" x14ac:dyDescent="0.3">
      <c r="A81" s="136" t="s">
        <v>117</v>
      </c>
      <c r="B81" s="136"/>
      <c r="C81" s="28" t="s">
        <v>127</v>
      </c>
      <c r="D81" s="28" t="s">
        <v>128</v>
      </c>
      <c r="E81" s="136" t="s">
        <v>118</v>
      </c>
      <c r="F81" s="136"/>
      <c r="G81" s="29" t="s">
        <v>116</v>
      </c>
      <c r="H81" s="29"/>
      <c r="I81" s="16" t="str">
        <f ca="1">(IF(E82&gt;99%,"All work completed. Please provide OC.",IF(E82&gt;89.8%,"Plinth, RCC, Brick, Plaster, Flooring, Wooden, Plumbing, Electrification, etc., work Completed. Finishing work is in process.",IF(E82&lt;94%,(IF(C82=0,"Work not yet Started.",IF(D82=25%,"Piling work in process",IF(D82=50%,"Excavation work in process",IF(D82=100%,"Excavation work Completed. ","0")))&amp;(IF(C83=0%,"",IF(C83=J86,"Footing work is process",IF(C83=J87,"Footing work Completed",IF(C83=J88,"1st Basement Completed",IF(C83=J89,"1st &amp; 2nd Basement Completed",IF(C83=J90,"1st to 3rd Basement Completed",IF(C83=J91,"1st to 4th Basement Completed",IF(C83=J92,"Plinth work is process",IF(C83=J93,"Plinth work completed","0")))))))))))&amp;(IF(C84=(E80+G80+H80),", RCC Slab",IF(C84&gt;0,", RCC upto "&amp;C84&amp;" Slab",""))&amp;(IF(C85=H80,", Brickwork",IF(C85&gt;0,", Brickwork upto "&amp;C85&amp;" Floor",""))&amp;(IF(C86=H80,", Internal Plaster",IF(C86&gt;0,", Internal Plaster upto "&amp;C86&amp;" Floor",""))&amp;(IF(C87=H80,", External Plaster",IF(C87&gt;0,", External Plaster upto "&amp;C87&amp;" Floor",""))&amp;(IF(C88=H80,", External Plumbing, Elevation and Waterproofing",IF(C88&gt;0,", External Plumbing, Elevation and Waterproofing upto "&amp;C88&amp;" Floor",""))&amp;(IF(C89=H80,", Flooring &amp; Fitting",IF(C89&gt;0,", Flooring &amp; Fitting upto "&amp;C89&amp;" Floor",""))&amp;(IF(C90=H80,", Wooden Work",IF(C90&gt;0,", Wooden Work upto "&amp;C90&amp;" Floor",""))&amp;(IF(C91=H80,", Electrical &amp; Sanitary fittings",IF(C91&gt;0,", Electrical &amp; Sanitary fittings upto "&amp;C91&amp;" Floor",""))&amp;(IF(C92&gt;0,", Finishing upto "&amp;C92&amp;" Floor","")&amp;(IF(C84&gt;0.5," Completed",""))))))))))))))))</f>
        <v>Excavation work Completed. 1st Basement Completed</v>
      </c>
      <c r="J81" s="18"/>
    </row>
    <row r="82" spans="1:11" ht="20.25" customHeight="1" x14ac:dyDescent="0.3">
      <c r="A82" s="135" t="s">
        <v>130</v>
      </c>
      <c r="B82" s="135"/>
      <c r="C82" s="30">
        <f ca="1">J85</f>
        <v>55</v>
      </c>
      <c r="D82" s="5">
        <f ca="1">((100/H80)*C82)/100</f>
        <v>1</v>
      </c>
      <c r="E82" s="162">
        <f ca="1">(((C82/H80*10)+(C83/H80*15)+(25/(E80+G80+H80)*C84)+(5/(H80)*C85)+(2.5/(H80)*C86)+(2.5/(H80)*C87)+(5/H80*C88)+(10/H80*C89)+(2.5/H80*C90)+(2.5/H80*C91)+(10/H80*C92)+(10/H80*C93))/100)</f>
        <v>0.21249999999999999</v>
      </c>
      <c r="F82" s="163"/>
      <c r="G82" s="135" t="str">
        <f ca="1">I81</f>
        <v>Excavation work Completed. 1st Basement Completed</v>
      </c>
      <c r="H82" s="135"/>
      <c r="I82" s="17" t="s">
        <v>119</v>
      </c>
      <c r="J82" s="18"/>
    </row>
    <row r="83" spans="1:11" ht="20.25" x14ac:dyDescent="0.3">
      <c r="A83" s="135" t="s">
        <v>101</v>
      </c>
      <c r="B83" s="135"/>
      <c r="C83" s="32">
        <f ca="1">J88</f>
        <v>41.25</v>
      </c>
      <c r="D83" s="5">
        <f ca="1">((100/H80)*C83)/100</f>
        <v>0.75</v>
      </c>
      <c r="E83" s="164"/>
      <c r="F83" s="165"/>
      <c r="G83" s="135"/>
      <c r="H83" s="135"/>
      <c r="I83" s="20" t="s">
        <v>129</v>
      </c>
      <c r="J83" s="19">
        <f ca="1">H80*25%</f>
        <v>13.75</v>
      </c>
    </row>
    <row r="84" spans="1:11" ht="21" customHeight="1" x14ac:dyDescent="0.3">
      <c r="A84" s="135" t="s">
        <v>131</v>
      </c>
      <c r="B84" s="135"/>
      <c r="C84" s="30">
        <v>0</v>
      </c>
      <c r="D84" s="5">
        <f ca="1">((100/(E80+G80+H80))*C84)/100</f>
        <v>0</v>
      </c>
      <c r="E84" s="164"/>
      <c r="F84" s="165"/>
      <c r="G84" s="135"/>
      <c r="H84" s="135"/>
      <c r="I84" s="20" t="s">
        <v>120</v>
      </c>
      <c r="J84" s="24">
        <f ca="1">H80*50%</f>
        <v>27.5</v>
      </c>
    </row>
    <row r="85" spans="1:11" ht="21" customHeight="1" x14ac:dyDescent="0.3">
      <c r="A85" s="135" t="s">
        <v>132</v>
      </c>
      <c r="B85" s="135"/>
      <c r="C85" s="30">
        <v>0</v>
      </c>
      <c r="D85" s="5">
        <f ca="1">((100/H80)*C85)/100</f>
        <v>0</v>
      </c>
      <c r="E85" s="164"/>
      <c r="F85" s="165"/>
      <c r="G85" s="135"/>
      <c r="H85" s="135"/>
      <c r="I85" s="20" t="s">
        <v>121</v>
      </c>
      <c r="J85" s="24">
        <f ca="1">H80</f>
        <v>55</v>
      </c>
    </row>
    <row r="86" spans="1:11" ht="21" customHeight="1" x14ac:dyDescent="0.35">
      <c r="A86" s="137" t="s">
        <v>133</v>
      </c>
      <c r="B86" s="138"/>
      <c r="C86" s="30">
        <v>0</v>
      </c>
      <c r="D86" s="5">
        <f ca="1">((100/H80)*C86)/100</f>
        <v>0</v>
      </c>
      <c r="E86" s="164"/>
      <c r="F86" s="165"/>
      <c r="G86" s="135"/>
      <c r="H86" s="135"/>
      <c r="I86" s="20" t="s">
        <v>122</v>
      </c>
      <c r="J86" s="25">
        <f ca="1">(IF(D80&gt;1,(H80/(D80+2)),H80*0.2))</f>
        <v>13.75</v>
      </c>
    </row>
    <row r="87" spans="1:11" ht="21" customHeight="1" x14ac:dyDescent="0.35">
      <c r="A87" s="137" t="s">
        <v>164</v>
      </c>
      <c r="B87" s="138"/>
      <c r="C87" s="30">
        <v>0</v>
      </c>
      <c r="D87" s="5">
        <f ca="1">((100/H80)*C87)/100</f>
        <v>0</v>
      </c>
      <c r="E87" s="164"/>
      <c r="F87" s="165"/>
      <c r="G87" s="135"/>
      <c r="H87" s="135"/>
      <c r="I87" s="20" t="s">
        <v>123</v>
      </c>
      <c r="J87" s="25">
        <f ca="1">(IF(D80&gt;1,(H80/(D80+2)+J86),H80*0.2+J86))</f>
        <v>27.5</v>
      </c>
    </row>
    <row r="88" spans="1:11" ht="52.5" customHeight="1" x14ac:dyDescent="0.35">
      <c r="A88" s="137" t="s">
        <v>161</v>
      </c>
      <c r="B88" s="138"/>
      <c r="C88" s="30">
        <v>0</v>
      </c>
      <c r="D88" s="5">
        <f ca="1">((100/(H80))*C88)/100</f>
        <v>0</v>
      </c>
      <c r="E88" s="164"/>
      <c r="F88" s="165"/>
      <c r="G88" s="135"/>
      <c r="H88" s="135"/>
      <c r="I88" s="20" t="s">
        <v>134</v>
      </c>
      <c r="J88" s="25">
        <f ca="1">(IF(D80&gt;1,(H80/(D80+2)+J87),0))</f>
        <v>41.25</v>
      </c>
    </row>
    <row r="89" spans="1:11" ht="21" x14ac:dyDescent="0.35">
      <c r="A89" s="135" t="s">
        <v>136</v>
      </c>
      <c r="B89" s="135"/>
      <c r="C89" s="30">
        <v>0</v>
      </c>
      <c r="D89" s="5">
        <f ca="1">((100/(H80))*C89)/100</f>
        <v>0</v>
      </c>
      <c r="E89" s="164"/>
      <c r="F89" s="165"/>
      <c r="G89" s="135"/>
      <c r="H89" s="135"/>
      <c r="I89" s="20" t="s">
        <v>135</v>
      </c>
      <c r="J89" s="25">
        <f>(IF(D80&gt;2,(H80/(D80+2)+J88),0))</f>
        <v>0</v>
      </c>
    </row>
    <row r="90" spans="1:11" ht="21" customHeight="1" x14ac:dyDescent="0.35">
      <c r="A90" s="135" t="s">
        <v>163</v>
      </c>
      <c r="B90" s="135"/>
      <c r="C90" s="30">
        <v>0</v>
      </c>
      <c r="D90" s="5">
        <f ca="1">((100/H80)*C90)/100</f>
        <v>0</v>
      </c>
      <c r="E90" s="164"/>
      <c r="F90" s="165"/>
      <c r="G90" s="135"/>
      <c r="H90" s="135"/>
      <c r="I90" s="20" t="s">
        <v>137</v>
      </c>
      <c r="J90" s="26">
        <f>(IF(D80&gt;3,(H80/(D80+2)+J89),0))</f>
        <v>0</v>
      </c>
    </row>
    <row r="91" spans="1:11" ht="21" x14ac:dyDescent="0.35">
      <c r="A91" s="135" t="s">
        <v>162</v>
      </c>
      <c r="B91" s="135"/>
      <c r="C91" s="30">
        <v>0</v>
      </c>
      <c r="D91" s="5">
        <f ca="1">((100/H80)*C91)/100</f>
        <v>0</v>
      </c>
      <c r="E91" s="164"/>
      <c r="F91" s="165"/>
      <c r="G91" s="135"/>
      <c r="H91" s="135"/>
      <c r="I91" s="20" t="s">
        <v>138</v>
      </c>
      <c r="J91" s="25">
        <f>(IF(D80&gt;4,(H80/(D80+2)+J90),0))</f>
        <v>0</v>
      </c>
    </row>
    <row r="92" spans="1:11" ht="21" x14ac:dyDescent="0.35">
      <c r="A92" s="135" t="s">
        <v>139</v>
      </c>
      <c r="B92" s="135"/>
      <c r="C92" s="30">
        <v>0</v>
      </c>
      <c r="D92" s="5">
        <f ca="1">((100/(H80))*C92)/100</f>
        <v>0</v>
      </c>
      <c r="E92" s="164"/>
      <c r="F92" s="165"/>
      <c r="G92" s="135"/>
      <c r="H92" s="135"/>
      <c r="I92" s="20" t="s">
        <v>124</v>
      </c>
      <c r="J92" s="25">
        <f>(IF(D80=1,(H80/(D80+3)+J87),IF(D80=0,(H80*0.3+J87),IF(D80&gt;1,0))))</f>
        <v>0</v>
      </c>
    </row>
    <row r="93" spans="1:11" ht="21.75" thickBot="1" x14ac:dyDescent="0.4">
      <c r="A93" s="135" t="s">
        <v>140</v>
      </c>
      <c r="B93" s="135"/>
      <c r="C93" s="30">
        <v>0</v>
      </c>
      <c r="D93" s="5">
        <f ca="1">((100/(H80))*C93)/100</f>
        <v>0</v>
      </c>
      <c r="E93" s="166"/>
      <c r="F93" s="167"/>
      <c r="G93" s="135"/>
      <c r="H93" s="135"/>
      <c r="I93" s="22" t="s">
        <v>125</v>
      </c>
      <c r="J93" s="27">
        <f ca="1">(IF(D80&gt;1.5,(H80/(D80+2)+J87+MAX(0,J88-J87)+MAX(0,J89-J88)+MAX(0,J90-J89)+MAX(0,J91-J90)+MAX(0,J92-J91)),IF(D80=1,(H80/(D80+3)+J92),IF(D80=0,H80*0.3+J92))))</f>
        <v>55</v>
      </c>
    </row>
    <row r="94" spans="1:11" ht="40.5" customHeight="1" x14ac:dyDescent="0.3">
      <c r="A94" s="198" t="s">
        <v>126</v>
      </c>
      <c r="B94" s="199"/>
      <c r="C94" s="199"/>
      <c r="D94" s="199"/>
      <c r="E94" s="199"/>
      <c r="F94" s="199"/>
      <c r="G94" s="114">
        <f ca="1">AVERAGE(E66,E82)</f>
        <v>0.13125000000000001</v>
      </c>
      <c r="H94" s="115"/>
      <c r="K94" s="21"/>
    </row>
    <row r="95" spans="1:11" ht="20.25" x14ac:dyDescent="0.25">
      <c r="A95" s="145" t="s">
        <v>70</v>
      </c>
      <c r="B95" s="146"/>
      <c r="C95" s="146"/>
      <c r="D95" s="146"/>
      <c r="E95" s="146"/>
      <c r="F95" s="146"/>
      <c r="G95" s="146"/>
      <c r="H95" s="147"/>
    </row>
    <row r="96" spans="1:11" ht="54.75" customHeight="1" x14ac:dyDescent="0.3">
      <c r="A96" s="100" t="s">
        <v>71</v>
      </c>
      <c r="B96" s="101"/>
      <c r="C96" s="195" t="s">
        <v>105</v>
      </c>
      <c r="D96" s="196"/>
      <c r="E96" s="100" t="s">
        <v>141</v>
      </c>
      <c r="F96" s="101" t="s">
        <v>4</v>
      </c>
      <c r="G96" s="168" t="s">
        <v>154</v>
      </c>
      <c r="H96" s="168"/>
      <c r="I96" s="20"/>
      <c r="J96" s="21"/>
    </row>
    <row r="97" spans="1:150 16226:16383" ht="44.25" customHeight="1" x14ac:dyDescent="0.25">
      <c r="A97" s="100" t="s">
        <v>151</v>
      </c>
      <c r="B97" s="101"/>
      <c r="C97" s="195" t="s">
        <v>406</v>
      </c>
      <c r="D97" s="196"/>
      <c r="E97" s="100" t="s">
        <v>152</v>
      </c>
      <c r="F97" s="101" t="s">
        <v>4</v>
      </c>
      <c r="G97" s="99" t="s">
        <v>142</v>
      </c>
      <c r="H97" s="99"/>
    </row>
    <row r="98" spans="1:150 16226:16383" ht="20.25" x14ac:dyDescent="0.25">
      <c r="A98" s="100" t="s">
        <v>72</v>
      </c>
      <c r="B98" s="101"/>
      <c r="C98" s="129">
        <v>1600000</v>
      </c>
      <c r="D98" s="131"/>
      <c r="E98" s="100" t="s">
        <v>99</v>
      </c>
      <c r="F98" s="101" t="s">
        <v>4</v>
      </c>
      <c r="G98" s="195" t="s">
        <v>106</v>
      </c>
      <c r="H98" s="196"/>
    </row>
    <row r="99" spans="1:150 16226:16383" ht="20.25" x14ac:dyDescent="0.25">
      <c r="A99" s="145" t="s">
        <v>69</v>
      </c>
      <c r="B99" s="146"/>
      <c r="C99" s="146"/>
      <c r="D99" s="146"/>
      <c r="E99" s="146"/>
      <c r="F99" s="146"/>
      <c r="G99" s="146"/>
      <c r="H99" s="147"/>
    </row>
    <row r="100" spans="1:150 16226:16383" ht="20.25" customHeight="1" x14ac:dyDescent="0.25">
      <c r="A100" s="100" t="s">
        <v>8</v>
      </c>
      <c r="B100" s="197"/>
      <c r="C100" s="197"/>
      <c r="D100" s="197"/>
      <c r="E100" s="197"/>
      <c r="F100" s="101"/>
      <c r="G100" s="120">
        <f>82060/10.764</f>
        <v>7623.5600148643634</v>
      </c>
      <c r="H100" s="121"/>
      <c r="I100" s="1" t="s">
        <v>407</v>
      </c>
    </row>
    <row r="101" spans="1:150 16226:16383" ht="20.25" customHeight="1" x14ac:dyDescent="0.25">
      <c r="A101" s="100" t="s">
        <v>28</v>
      </c>
      <c r="B101" s="197"/>
      <c r="C101" s="197"/>
      <c r="D101" s="197"/>
      <c r="E101" s="197"/>
      <c r="F101" s="101" t="s">
        <v>4</v>
      </c>
      <c r="G101" s="148">
        <f>168250/10.764</f>
        <v>15630.806391675958</v>
      </c>
      <c r="H101" s="148"/>
    </row>
    <row r="102" spans="1:150 16226:16383" ht="20.25" customHeight="1" x14ac:dyDescent="0.25">
      <c r="A102" s="100" t="s">
        <v>107</v>
      </c>
      <c r="B102" s="197"/>
      <c r="C102" s="197"/>
      <c r="D102" s="197"/>
      <c r="E102" s="197"/>
      <c r="F102" s="101" t="s">
        <v>4</v>
      </c>
      <c r="G102" s="148">
        <f>G100*0.8</f>
        <v>6098.8480118914913</v>
      </c>
      <c r="H102" s="148"/>
    </row>
    <row r="103" spans="1:150 16226:16383" ht="20.25" x14ac:dyDescent="0.25">
      <c r="A103" s="122" t="s">
        <v>408</v>
      </c>
      <c r="B103" s="123"/>
      <c r="C103" s="123"/>
      <c r="D103" s="123"/>
      <c r="E103" s="123"/>
      <c r="F103" s="123"/>
      <c r="G103" s="123"/>
      <c r="H103" s="124"/>
    </row>
    <row r="104" spans="1:150 16226:16383" s="3" customFormat="1" ht="20.25" x14ac:dyDescent="0.25">
      <c r="A104" s="118" t="s">
        <v>148</v>
      </c>
      <c r="B104" s="119"/>
      <c r="C104" s="118" t="s">
        <v>149</v>
      </c>
      <c r="D104" s="119"/>
      <c r="E104" s="118" t="s">
        <v>147</v>
      </c>
      <c r="F104" s="119"/>
      <c r="G104" s="118" t="s">
        <v>159</v>
      </c>
      <c r="H104" s="119"/>
      <c r="I104" s="1"/>
      <c r="J104" s="79"/>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x14ac:dyDescent="0.25">
      <c r="A105" s="116" t="s">
        <v>296</v>
      </c>
      <c r="B105" s="117"/>
      <c r="C105" s="116" t="s">
        <v>86</v>
      </c>
      <c r="D105" s="117"/>
      <c r="E105" s="116">
        <f>COUNT(E126:E127)*12+COUNT(E130)+COUNT(E133)+COUNT(E136:E137)+COUNT(E139:E140)*18+COUNT(E143)*2+COUNT(E146)+COUNT(E149:E150)+COUNT(E152:E153)*3+COUNT(E156)</f>
        <v>76</v>
      </c>
      <c r="F105" s="117"/>
      <c r="G105" s="116">
        <f>SUM(H126:H127)*12+SUM(H130)+SUM(H133)+SUM(H136:H137)+SUM(H139:H140)*18+SUM(H143)*2+SUM(H146)+SUM(H149:H150)+SUM(H152:H153)*3+SUM(H156)</f>
        <v>184536.90730799999</v>
      </c>
      <c r="H105" s="117"/>
      <c r="I105" s="80" t="s">
        <v>360</v>
      </c>
      <c r="J105" s="1" t="s">
        <v>369</v>
      </c>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x14ac:dyDescent="0.25">
      <c r="A106" s="116" t="s">
        <v>331</v>
      </c>
      <c r="B106" s="117"/>
      <c r="C106" s="116" t="s">
        <v>86</v>
      </c>
      <c r="D106" s="117"/>
      <c r="E106" s="116">
        <f>COUNT(F207:F208)*18+COUNT(F211)*2+COUNT(F214)+COUNT(F217:F218)+COUNT(F220:F221)*4+COUNT(F224)</f>
        <v>50</v>
      </c>
      <c r="F106" s="117"/>
      <c r="G106" s="116">
        <f>SUM(H207:H208)*18+SUM(H211)*2+SUM(H214)+SUM(H217:H218)+SUM(H220:H221)*4+SUM(H224)</f>
        <v>123531.32375999997</v>
      </c>
      <c r="H106" s="117"/>
      <c r="I106" s="80" t="s">
        <v>360</v>
      </c>
      <c r="J106" s="1" t="s">
        <v>369</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18" t="s">
        <v>150</v>
      </c>
      <c r="B107" s="119"/>
      <c r="C107" s="118" t="s">
        <v>93</v>
      </c>
      <c r="D107" s="119"/>
      <c r="E107" s="118">
        <f>SUM(E105:E106)</f>
        <v>126</v>
      </c>
      <c r="F107" s="119"/>
      <c r="G107" s="118">
        <f>SUM(G105:G106)</f>
        <v>308068.23106799996</v>
      </c>
      <c r="H107" s="11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ht="20.25" x14ac:dyDescent="0.25">
      <c r="A108" s="122" t="s">
        <v>409</v>
      </c>
      <c r="B108" s="123"/>
      <c r="C108" s="123"/>
      <c r="D108" s="123"/>
      <c r="E108" s="123"/>
      <c r="F108" s="123"/>
      <c r="G108" s="123"/>
      <c r="H108" s="124"/>
    </row>
    <row r="109" spans="1:150 16226:16383" s="3" customFormat="1" ht="20.25" x14ac:dyDescent="0.25">
      <c r="A109" s="118" t="s">
        <v>148</v>
      </c>
      <c r="B109" s="119"/>
      <c r="C109" s="118" t="s">
        <v>395</v>
      </c>
      <c r="D109" s="119"/>
      <c r="E109" s="118" t="s">
        <v>147</v>
      </c>
      <c r="F109" s="119"/>
      <c r="G109" s="118" t="s">
        <v>159</v>
      </c>
      <c r="H109" s="11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x14ac:dyDescent="0.25">
      <c r="A110" s="95" t="s">
        <v>331</v>
      </c>
      <c r="B110" s="96"/>
      <c r="C110" s="116" t="s">
        <v>362</v>
      </c>
      <c r="D110" s="117"/>
      <c r="E110" s="116">
        <f>COUNT(F167:F178)*12+COUNT(F181:F188)*2+COUNT(F193:F200,F203:F204)</f>
        <v>170</v>
      </c>
      <c r="F110" s="117"/>
      <c r="G110" s="116">
        <f>SUM(H167:H178)*12+SUM(H181:H188)*2+SUM(H193:H200,H203:H204)</f>
        <v>52991.342071200001</v>
      </c>
      <c r="H110" s="117"/>
      <c r="I110" s="80" t="s">
        <v>360</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x14ac:dyDescent="0.25">
      <c r="A111" s="97"/>
      <c r="B111" s="98"/>
      <c r="C111" s="116" t="s">
        <v>86</v>
      </c>
      <c r="D111" s="117"/>
      <c r="E111" s="116">
        <f>COUNT(F201:F202)</f>
        <v>2</v>
      </c>
      <c r="F111" s="117"/>
      <c r="G111" s="116">
        <f>SUM(H201:H202)</f>
        <v>598.34923200000003</v>
      </c>
      <c r="H111" s="117"/>
      <c r="I111" s="80" t="s">
        <v>360</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x14ac:dyDescent="0.25">
      <c r="A112" s="118" t="s">
        <v>150</v>
      </c>
      <c r="B112" s="119"/>
      <c r="C112" s="118" t="s">
        <v>93</v>
      </c>
      <c r="D112" s="119"/>
      <c r="E112" s="118">
        <f>SUM(E110:E111)</f>
        <v>172</v>
      </c>
      <c r="F112" s="119"/>
      <c r="G112" s="118">
        <f>SUM(G110:G111)</f>
        <v>53589.691303200001</v>
      </c>
      <c r="H112" s="11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x14ac:dyDescent="0.25">
      <c r="A113" s="118" t="s">
        <v>398</v>
      </c>
      <c r="B113" s="119"/>
      <c r="C113" s="118" t="s">
        <v>93</v>
      </c>
      <c r="D113" s="119"/>
      <c r="E113" s="118">
        <f>E107+E112</f>
        <v>298</v>
      </c>
      <c r="F113" s="119"/>
      <c r="G113" s="118">
        <f>G107+G112</f>
        <v>361657.92237119994</v>
      </c>
      <c r="H113" s="11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ht="20.25" x14ac:dyDescent="0.25">
      <c r="A114" s="143" t="s">
        <v>146</v>
      </c>
      <c r="B114" s="144"/>
      <c r="C114" s="144"/>
      <c r="D114" s="144"/>
      <c r="E114" s="144"/>
      <c r="F114" s="144"/>
      <c r="G114" s="144"/>
      <c r="H114" s="124"/>
    </row>
    <row r="115" spans="1:150 16226:16383" ht="66" customHeight="1" x14ac:dyDescent="0.25">
      <c r="A115" s="51" t="s">
        <v>227</v>
      </c>
      <c r="B115" s="31" t="s">
        <v>228</v>
      </c>
      <c r="C115" s="33" t="s">
        <v>332</v>
      </c>
      <c r="D115" s="31" t="s">
        <v>87</v>
      </c>
      <c r="E115" s="31" t="s">
        <v>160</v>
      </c>
      <c r="F115" s="33" t="s">
        <v>343</v>
      </c>
      <c r="G115" s="31" t="s">
        <v>89</v>
      </c>
      <c r="H115" s="31" t="s">
        <v>88</v>
      </c>
      <c r="I115" s="78">
        <f>10.764</f>
        <v>10.763999999999999</v>
      </c>
    </row>
    <row r="116" spans="1:150 16226:16383" s="23" customFormat="1" ht="20.25" customHeight="1" x14ac:dyDescent="0.25">
      <c r="A116" s="108" t="s">
        <v>333</v>
      </c>
      <c r="B116" s="109"/>
      <c r="C116" s="109"/>
      <c r="D116" s="109"/>
      <c r="E116" s="109"/>
      <c r="F116" s="109"/>
      <c r="G116" s="109"/>
      <c r="H116" s="110"/>
      <c r="J116" s="77"/>
    </row>
    <row r="117" spans="1:150 16226:16383" s="23" customFormat="1" ht="20.25" customHeight="1" x14ac:dyDescent="0.25">
      <c r="A117" s="102" t="s">
        <v>334</v>
      </c>
      <c r="B117" s="103"/>
      <c r="C117" s="103"/>
      <c r="D117" s="103"/>
      <c r="E117" s="103"/>
      <c r="F117" s="103"/>
      <c r="G117" s="103"/>
      <c r="H117" s="104"/>
      <c r="J117" s="77"/>
    </row>
    <row r="118" spans="1:150 16226:16383" s="23" customFormat="1" ht="20.25" customHeight="1" x14ac:dyDescent="0.25">
      <c r="A118" s="102" t="s">
        <v>370</v>
      </c>
      <c r="B118" s="103"/>
      <c r="C118" s="103"/>
      <c r="D118" s="103"/>
      <c r="E118" s="103"/>
      <c r="F118" s="103"/>
      <c r="G118" s="103"/>
      <c r="H118" s="104"/>
      <c r="J118" s="77"/>
    </row>
    <row r="119" spans="1:150 16226:16383" s="23" customFormat="1" ht="20.25" customHeight="1" x14ac:dyDescent="0.25">
      <c r="A119" s="102" t="s">
        <v>336</v>
      </c>
      <c r="B119" s="103"/>
      <c r="C119" s="103"/>
      <c r="D119" s="103"/>
      <c r="E119" s="103"/>
      <c r="F119" s="103"/>
      <c r="G119" s="103"/>
      <c r="H119" s="104"/>
      <c r="J119" s="77"/>
    </row>
    <row r="120" spans="1:150 16226:16383" s="23" customFormat="1" ht="20.25" customHeight="1" x14ac:dyDescent="0.25">
      <c r="A120" s="102" t="s">
        <v>337</v>
      </c>
      <c r="B120" s="103"/>
      <c r="C120" s="103"/>
      <c r="D120" s="103"/>
      <c r="E120" s="103"/>
      <c r="F120" s="103"/>
      <c r="G120" s="103"/>
      <c r="H120" s="104"/>
      <c r="J120" s="77"/>
    </row>
    <row r="121" spans="1:150 16226:16383" s="23" customFormat="1" ht="20.25" customHeight="1" x14ac:dyDescent="0.25">
      <c r="A121" s="102" t="s">
        <v>338</v>
      </c>
      <c r="B121" s="103"/>
      <c r="C121" s="103"/>
      <c r="D121" s="103"/>
      <c r="E121" s="103"/>
      <c r="F121" s="103"/>
      <c r="G121" s="103"/>
      <c r="H121" s="104"/>
      <c r="J121" s="77"/>
    </row>
    <row r="122" spans="1:150 16226:16383" s="23" customFormat="1" ht="20.25" customHeight="1" x14ac:dyDescent="0.25">
      <c r="A122" s="102" t="s">
        <v>339</v>
      </c>
      <c r="B122" s="103"/>
      <c r="C122" s="103"/>
      <c r="D122" s="103"/>
      <c r="E122" s="103"/>
      <c r="F122" s="103"/>
      <c r="G122" s="103"/>
      <c r="H122" s="104"/>
      <c r="J122" s="77"/>
    </row>
    <row r="123" spans="1:150 16226:16383" s="23" customFormat="1" ht="20.25" customHeight="1" x14ac:dyDescent="0.25">
      <c r="A123" s="102" t="s">
        <v>400</v>
      </c>
      <c r="B123" s="103"/>
      <c r="C123" s="103"/>
      <c r="D123" s="103"/>
      <c r="E123" s="103"/>
      <c r="F123" s="103"/>
      <c r="G123" s="103"/>
      <c r="H123" s="104"/>
      <c r="J123" s="77"/>
    </row>
    <row r="124" spans="1:150 16226:16383" s="23" customFormat="1" ht="20.25" x14ac:dyDescent="0.25">
      <c r="A124" s="102" t="s">
        <v>399</v>
      </c>
      <c r="B124" s="103"/>
      <c r="C124" s="103"/>
      <c r="D124" s="103"/>
      <c r="E124" s="103"/>
      <c r="F124" s="103"/>
      <c r="G124" s="103"/>
      <c r="H124" s="104"/>
      <c r="J124" s="77"/>
    </row>
    <row r="125" spans="1:150 16226:16383" s="3" customFormat="1" ht="20.25" x14ac:dyDescent="0.25">
      <c r="A125" s="102" t="s">
        <v>341</v>
      </c>
      <c r="B125" s="103"/>
      <c r="C125" s="103"/>
      <c r="D125" s="103"/>
      <c r="E125" s="103"/>
      <c r="F125" s="103"/>
      <c r="G125" s="103"/>
      <c r="H125" s="104"/>
      <c r="I125" s="1">
        <f>5+6+1</f>
        <v>12</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91">
        <v>1</v>
      </c>
      <c r="B126" s="91"/>
      <c r="C126" s="52" t="s">
        <v>86</v>
      </c>
      <c r="D126" s="73" t="s">
        <v>344</v>
      </c>
      <c r="E126" s="73">
        <f>210.97*(10.764)</f>
        <v>2270.8810799999997</v>
      </c>
      <c r="F126" s="73">
        <f>(3.78*2.1)*(10.764)</f>
        <v>85.444631999999999</v>
      </c>
      <c r="G126" s="74">
        <v>0</v>
      </c>
      <c r="H126" s="6">
        <f>E126+F126+(IF(G126&lt;101,G126,IF(G126&lt;201,G126/2,IF(G126&lt;=301,G126/3,G126/4))))</f>
        <v>2356.3257119999998</v>
      </c>
      <c r="I126" s="80" t="s">
        <v>360</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92">
        <f>A126+1</f>
        <v>2</v>
      </c>
      <c r="B127" s="94"/>
      <c r="C127" s="52" t="s">
        <v>86</v>
      </c>
      <c r="D127" s="73" t="s">
        <v>344</v>
      </c>
      <c r="E127" s="73">
        <f>210.97*(10.764)</f>
        <v>2270.8810799999997</v>
      </c>
      <c r="F127" s="73">
        <f>(3.78*2.1)*(10.764)</f>
        <v>85.444631999999999</v>
      </c>
      <c r="G127" s="74">
        <v>0</v>
      </c>
      <c r="H127" s="6">
        <f t="shared" ref="H127" si="0">E127+F127+(IF(G127&lt;101,G127,IF(G127&lt;201,G127/2,IF(G127&lt;=301,G127/3,G127/4))))</f>
        <v>2356.3257119999998</v>
      </c>
      <c r="I127" s="80" t="s">
        <v>360</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111" t="s">
        <v>345</v>
      </c>
      <c r="B128" s="112"/>
      <c r="C128" s="112"/>
      <c r="D128" s="112"/>
      <c r="E128" s="112"/>
      <c r="F128" s="112"/>
      <c r="G128" s="112"/>
      <c r="H128" s="113"/>
      <c r="I128" s="1">
        <f>1</f>
        <v>1</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91" t="s">
        <v>342</v>
      </c>
      <c r="B129" s="91"/>
      <c r="C129" s="52" t="s">
        <v>86</v>
      </c>
      <c r="D129" s="105" t="s">
        <v>347</v>
      </c>
      <c r="E129" s="106"/>
      <c r="F129" s="106"/>
      <c r="G129" s="106"/>
      <c r="H129" s="107"/>
      <c r="I129" s="1"/>
      <c r="J129" s="1"/>
      <c r="K129" s="1"/>
      <c r="L129" s="1"/>
      <c r="M129" s="1"/>
      <c r="N129" s="1"/>
      <c r="O129" s="1"/>
      <c r="P129" s="1"/>
      <c r="Q129" s="1"/>
      <c r="R129" s="1"/>
      <c r="S129" s="1"/>
      <c r="T129" s="23" t="str">
        <f t="shared" ref="T129:T130" ca="1" si="1">U129&amp;""&amp;",..,"&amp;""&amp;V129</f>
        <v>101,..,1401</v>
      </c>
      <c r="U129" s="23">
        <f ca="1">(SUMPRODUCT(MID(0&amp;(LEFT(A128,SUM(LEN(A128)-LEN(SUBSTITUTE(A128,{"0","1","2","3"},""))))), LARGE(INDEX(ISNUMBER(--MID((LEFT(A128,SUM(LEN(A128)-LEN(SUBSTITUTE(A128,{"0","1","2","3"},""))))), ROW(INDIRECT("1:"&amp;LEN((LEFT(A128,SUM(LEN(A128)-LEN(SUBSTITUTE(A128,{"0","1","2","3"},"")))))))), 1)) * ROW(INDIRECT("1:"&amp;LEN((LEFT(A128,SUM(LEN(A128)-LEN(SUBSTITUTE(A128,{"0","1","2","3"},"")))))))), 0), ROW(INDIRECT("1:"&amp;LEN((LEFT(A128,SUM(LEN(A128)-LEN(SUBSTITUTE(A128,{"0","1","2","3"},"")))))))))+1, 1) * 10^ROW(INDIRECT("1:"&amp;LEN((LEFT(A128,SUM(LEN(A128)-LEN(SUBSTITUTE(A128,{"0","1","2","3"},""))))))))/10))*100+1</f>
        <v>101</v>
      </c>
      <c r="V129" s="23">
        <f ca="1">(SUMPRODUCT(MID(0&amp;(--TRIM(RIGHT(SUBSTITUTE(LEFT(A128,_xlfn.AGGREGATE(16,6,FIND({0,1,2,3,4,5,6,7,8,9},A128,ROW(INDIRECT("1:"&amp;LEN(A128)))),1))," ",REPT(" ",LEN(A128))),LEN(A128)))), LARGE(INDEX(ISNUMBER(--MID((--TRIM(RIGHT(SUBSTITUTE(LEFT(A128,_xlfn.AGGREGATE(16,6,FIND({0,1,2,3,4,5,6,7,8,9},A128,ROW(INDIRECT("1:"&amp;LEN(A128)))),1))," ",REPT(" ",LEN(A128))),LEN(A128)))), ROW(INDIRECT("1:"&amp;LEN((--TRIM(RIGHT(SUBSTITUTE(LEFT(A128,_xlfn.AGGREGATE(16,6,FIND({0,1,2,3,4,5,6,7,8,9},A128,ROW(INDIRECT("1:"&amp;LEN(A128)))),1))," ",REPT(" ",LEN(A128))),LEN(A128))))))), 1)) * ROW(INDIRECT("1:"&amp;LEN((--TRIM(RIGHT(SUBSTITUTE(LEFT(A128,_xlfn.AGGREGATE(16,6,FIND({0,1,2,3,4,5,6,7,8,9},A128,ROW(INDIRECT("1:"&amp;LEN(A128)))),1))," ",REPT(" ",LEN(A128))),LEN(A128))))))), 0), ROW(INDIRECT("1:"&amp;LEN((--TRIM(RIGHT(SUBSTITUTE(LEFT(A128,_xlfn.AGGREGATE(16,6,FIND({0,1,2,3,4,5,6,7,8,9},A128,ROW(INDIRECT("1:"&amp;LEN(A128)))),1))," ",REPT(" ",LEN(A128))),LEN(A128))))))))+1, 1) * 10^ROW(INDIRECT("1:"&amp;LEN((--TRIM(RIGHT(SUBSTITUTE(LEFT(A128,_xlfn.AGGREGATE(16,6,FIND({0,1,2,3,4,5,6,7,8,9},A128,ROW(INDIRECT("1:"&amp;LEN(A128)))),1))," ",REPT(" ",LEN(A128))),LEN(A128)))))))/10))*100+1</f>
        <v>1401</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91">
        <v>1</v>
      </c>
      <c r="B130" s="91"/>
      <c r="C130" s="52" t="s">
        <v>86</v>
      </c>
      <c r="D130" s="52" t="s">
        <v>346</v>
      </c>
      <c r="E130" s="73">
        <f>(297.94)*(10.764)</f>
        <v>3207.0261599999999</v>
      </c>
      <c r="F130" s="73">
        <f>(7.71*2.1)*(10.764)</f>
        <v>174.27992399999997</v>
      </c>
      <c r="G130" s="74">
        <v>0</v>
      </c>
      <c r="H130" s="6">
        <f t="shared" ref="H130" si="2">E130+F130+(IF(G130&lt;101,G130,IF(G130&lt;201,G130/2,IF(G130&lt;=301,G130/3,G130/4))))</f>
        <v>3381.3060839999998</v>
      </c>
      <c r="I130" s="80" t="s">
        <v>360</v>
      </c>
      <c r="J130" s="1"/>
      <c r="K130" s="1"/>
      <c r="L130" s="1"/>
      <c r="M130" s="1"/>
      <c r="N130" s="1"/>
      <c r="O130" s="1"/>
      <c r="P130" s="1"/>
      <c r="Q130" s="1"/>
      <c r="R130" s="1"/>
      <c r="S130" s="1"/>
      <c r="T130" s="23" t="str">
        <f t="shared" ca="1" si="1"/>
        <v>102,..,1402</v>
      </c>
      <c r="U130" s="23">
        <f ca="1">U129+1</f>
        <v>102</v>
      </c>
      <c r="V130" s="23">
        <f ca="1">V129+1</f>
        <v>1402</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11" t="s">
        <v>348</v>
      </c>
      <c r="B131" s="112"/>
      <c r="C131" s="112"/>
      <c r="D131" s="112"/>
      <c r="E131" s="112"/>
      <c r="F131" s="112"/>
      <c r="G131" s="112"/>
      <c r="H131" s="113"/>
      <c r="I131" s="1">
        <f>1</f>
        <v>1</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91" t="s">
        <v>342</v>
      </c>
      <c r="B132" s="91"/>
      <c r="C132" s="52" t="s">
        <v>342</v>
      </c>
      <c r="D132" s="105" t="s">
        <v>347</v>
      </c>
      <c r="E132" s="106"/>
      <c r="F132" s="106"/>
      <c r="G132" s="106"/>
      <c r="H132" s="107"/>
      <c r="I132" s="1"/>
      <c r="J132" s="1"/>
      <c r="K132" s="1"/>
      <c r="L132" s="1"/>
      <c r="M132" s="1"/>
      <c r="N132" s="1"/>
      <c r="O132" s="1"/>
      <c r="P132" s="1"/>
      <c r="Q132" s="1"/>
      <c r="R132" s="1"/>
      <c r="S132" s="1"/>
      <c r="T132" s="23" t="str">
        <f t="shared" ref="T132:T133" ca="1" si="3">U132&amp;""&amp;",..,"&amp;""&amp;V132</f>
        <v>2101,..,2101</v>
      </c>
      <c r="U132" s="23">
        <f ca="1">(SUMPRODUCT(MID(0&amp;(LEFT(A131,SUM(LEN(A131)-LEN(SUBSTITUTE(A131,{"0","1","2","3"},""))))), LARGE(INDEX(ISNUMBER(--MID((LEFT(A131,SUM(LEN(A131)-LEN(SUBSTITUTE(A131,{"0","1","2","3"},""))))), ROW(INDIRECT("1:"&amp;LEN((LEFT(A131,SUM(LEN(A131)-LEN(SUBSTITUTE(A131,{"0","1","2","3"},"")))))))), 1)) * ROW(INDIRECT("1:"&amp;LEN((LEFT(A131,SUM(LEN(A131)-LEN(SUBSTITUTE(A131,{"0","1","2","3"},"")))))))), 0), ROW(INDIRECT("1:"&amp;LEN((LEFT(A131,SUM(LEN(A131)-LEN(SUBSTITUTE(A131,{"0","1","2","3"},"")))))))))+1, 1) * 10^ROW(INDIRECT("1:"&amp;LEN((LEFT(A131,SUM(LEN(A131)-LEN(SUBSTITUTE(A131,{"0","1","2","3"},""))))))))/10))*100+1</f>
        <v>2101</v>
      </c>
      <c r="V132" s="23">
        <f ca="1">(SUMPRODUCT(MID(0&amp;(--TRIM(RIGHT(SUBSTITUTE(LEFT(A131,_xlfn.AGGREGATE(16,6,FIND({0,1,2,3,4,5,6,7,8,9},A131,ROW(INDIRECT("1:"&amp;LEN(A131)))),1))," ",REPT(" ",LEN(A131))),LEN(A131)))), LARGE(INDEX(ISNUMBER(--MID((--TRIM(RIGHT(SUBSTITUTE(LEFT(A131,_xlfn.AGGREGATE(16,6,FIND({0,1,2,3,4,5,6,7,8,9},A131,ROW(INDIRECT("1:"&amp;LEN(A131)))),1))," ",REPT(" ",LEN(A131))),LEN(A131)))), ROW(INDIRECT("1:"&amp;LEN((--TRIM(RIGHT(SUBSTITUTE(LEFT(A131,_xlfn.AGGREGATE(16,6,FIND({0,1,2,3,4,5,6,7,8,9},A131,ROW(INDIRECT("1:"&amp;LEN(A131)))),1))," ",REPT(" ",LEN(A131))),LEN(A131))))))), 1)) * ROW(INDIRECT("1:"&amp;LEN((--TRIM(RIGHT(SUBSTITUTE(LEFT(A131,_xlfn.AGGREGATE(16,6,FIND({0,1,2,3,4,5,6,7,8,9},A131,ROW(INDIRECT("1:"&amp;LEN(A131)))),1))," ",REPT(" ",LEN(A131))),LEN(A131))))))), 0), ROW(INDIRECT("1:"&amp;LEN((--TRIM(RIGHT(SUBSTITUTE(LEFT(A131,_xlfn.AGGREGATE(16,6,FIND({0,1,2,3,4,5,6,7,8,9},A131,ROW(INDIRECT("1:"&amp;LEN(A131)))),1))," ",REPT(" ",LEN(A131))),LEN(A131))))))))+1, 1) * 10^ROW(INDIRECT("1:"&amp;LEN((--TRIM(RIGHT(SUBSTITUTE(LEFT(A131,_xlfn.AGGREGATE(16,6,FIND({0,1,2,3,4,5,6,7,8,9},A131,ROW(INDIRECT("1:"&amp;LEN(A131)))),1))," ",REPT(" ",LEN(A131))),LEN(A131)))))))/10))*100+1</f>
        <v>2101</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91">
        <v>1</v>
      </c>
      <c r="B133" s="91"/>
      <c r="C133" s="52" t="s">
        <v>86</v>
      </c>
      <c r="D133" s="52" t="s">
        <v>346</v>
      </c>
      <c r="E133" s="73">
        <f>(281.31)*(10.764)</f>
        <v>3028.0208399999997</v>
      </c>
      <c r="F133" s="73">
        <f>(0)*(10.764)</f>
        <v>0</v>
      </c>
      <c r="G133" s="74">
        <v>0</v>
      </c>
      <c r="H133" s="74">
        <f t="shared" ref="H133" si="4">E133+F133+(IF(G133&lt;101,G133,IF(G133&lt;201,G133/2,IF(G133&lt;=301,G133/3,G133/4))))</f>
        <v>3028.0208399999997</v>
      </c>
      <c r="I133" s="80" t="s">
        <v>360</v>
      </c>
      <c r="J133" s="1"/>
      <c r="K133" s="1"/>
      <c r="L133" s="1"/>
      <c r="M133" s="1"/>
      <c r="N133" s="1"/>
      <c r="O133" s="1"/>
      <c r="P133" s="1"/>
      <c r="Q133" s="1"/>
      <c r="R133" s="1"/>
      <c r="S133" s="1"/>
      <c r="T133" s="23" t="str">
        <f t="shared" ca="1" si="3"/>
        <v>2102,..,2102</v>
      </c>
      <c r="U133" s="23">
        <f ca="1">U132+1</f>
        <v>2102</v>
      </c>
      <c r="V133" s="23">
        <f ca="1">V132+1</f>
        <v>2102</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11" t="s">
        <v>354</v>
      </c>
      <c r="B134" s="112"/>
      <c r="C134" s="112"/>
      <c r="D134" s="112"/>
      <c r="E134" s="112"/>
      <c r="F134" s="112"/>
      <c r="G134" s="112"/>
      <c r="H134" s="113"/>
      <c r="I134" s="1">
        <f>1</f>
        <v>1</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02" t="s">
        <v>349</v>
      </c>
      <c r="B135" s="103"/>
      <c r="C135" s="103"/>
      <c r="D135" s="103"/>
      <c r="E135" s="103"/>
      <c r="F135" s="103"/>
      <c r="G135" s="103"/>
      <c r="H135" s="104"/>
      <c r="I135" s="1">
        <f>1</f>
        <v>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91">
        <v>1</v>
      </c>
      <c r="B136" s="91"/>
      <c r="C136" s="52" t="s">
        <v>86</v>
      </c>
      <c r="D136" s="73" t="s">
        <v>344</v>
      </c>
      <c r="E136" s="73">
        <f>210.97*(10.764)</f>
        <v>2270.8810799999997</v>
      </c>
      <c r="F136" s="73">
        <f>(0)*(10.764)</f>
        <v>0</v>
      </c>
      <c r="G136" s="74">
        <v>0</v>
      </c>
      <c r="H136" s="74">
        <f>E136+F136+(IF(G136&lt;101,G136,IF(G136&lt;201,G136/2,IF(G136&lt;=301,G136/3,G136/4))))</f>
        <v>2270.8810799999997</v>
      </c>
      <c r="I136" s="80" t="s">
        <v>360</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92">
        <f>A136+1</f>
        <v>2</v>
      </c>
      <c r="B137" s="94"/>
      <c r="C137" s="52" t="s">
        <v>86</v>
      </c>
      <c r="D137" s="73" t="s">
        <v>344</v>
      </c>
      <c r="E137" s="73">
        <f>210.97*(10.764)</f>
        <v>2270.8810799999997</v>
      </c>
      <c r="F137" s="73">
        <f>(0)*(10.764)</f>
        <v>0</v>
      </c>
      <c r="G137" s="74">
        <v>0</v>
      </c>
      <c r="H137" s="74">
        <f t="shared" ref="H137" si="5">E137+F137+(IF(G137&lt;101,G137,IF(G137&lt;201,G137/2,IF(G137&lt;=301,G137/3,G137/4))))</f>
        <v>2270.8810799999997</v>
      </c>
      <c r="I137" s="80" t="s">
        <v>360</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02" t="s">
        <v>350</v>
      </c>
      <c r="B138" s="103"/>
      <c r="C138" s="103"/>
      <c r="D138" s="103"/>
      <c r="E138" s="103"/>
      <c r="F138" s="103"/>
      <c r="G138" s="103"/>
      <c r="H138" s="104"/>
      <c r="I138" s="1">
        <f>4+6+6+2</f>
        <v>18</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91">
        <v>1</v>
      </c>
      <c r="B139" s="91"/>
      <c r="C139" s="52" t="s">
        <v>86</v>
      </c>
      <c r="D139" s="73" t="s">
        <v>344</v>
      </c>
      <c r="E139" s="73">
        <f>210.97*(10.764)</f>
        <v>2270.8810799999997</v>
      </c>
      <c r="F139" s="73">
        <f>(3.78*2.1)*(10.764)</f>
        <v>85.444631999999999</v>
      </c>
      <c r="G139" s="74">
        <v>0</v>
      </c>
      <c r="H139" s="74">
        <f>E139+F139+(IF(G139&lt;101,G139,IF(G139&lt;201,G139/2,IF(G139&lt;=301,G139/3,G139/4))))</f>
        <v>2356.3257119999998</v>
      </c>
      <c r="I139" s="1">
        <f>(244900000-(244900000*0.12))/H139</f>
        <v>91461.039915860325</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92">
        <f>A139+1</f>
        <v>2</v>
      </c>
      <c r="B140" s="94"/>
      <c r="C140" s="52" t="s">
        <v>86</v>
      </c>
      <c r="D140" s="73" t="s">
        <v>344</v>
      </c>
      <c r="E140" s="73">
        <f>210.97*(10.764)</f>
        <v>2270.8810799999997</v>
      </c>
      <c r="F140" s="73">
        <f>(3.78*2.1)*(10.764)</f>
        <v>85.444631999999999</v>
      </c>
      <c r="G140" s="74">
        <v>0</v>
      </c>
      <c r="H140" s="74">
        <f t="shared" ref="H140" si="6">E140+F140+(IF(G140&lt;101,G140,IF(G140&lt;201,G140/2,IF(G140&lt;=301,G140/3,G140/4))))</f>
        <v>2356.3257119999998</v>
      </c>
      <c r="I140" s="80" t="s">
        <v>360</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11" t="s">
        <v>351</v>
      </c>
      <c r="B141" s="112"/>
      <c r="C141" s="112"/>
      <c r="D141" s="112"/>
      <c r="E141" s="112"/>
      <c r="F141" s="112"/>
      <c r="G141" s="112"/>
      <c r="H141" s="113"/>
      <c r="I141" s="1">
        <f>2</f>
        <v>2</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91" t="s">
        <v>342</v>
      </c>
      <c r="B142" s="91"/>
      <c r="C142" s="52" t="s">
        <v>342</v>
      </c>
      <c r="D142" s="105" t="s">
        <v>347</v>
      </c>
      <c r="E142" s="106"/>
      <c r="F142" s="106"/>
      <c r="G142" s="106"/>
      <c r="H142" s="107"/>
      <c r="I142" s="1"/>
      <c r="J142" s="1"/>
      <c r="K142" s="1"/>
      <c r="L142" s="1"/>
      <c r="M142" s="1"/>
      <c r="N142" s="1"/>
      <c r="O142" s="1"/>
      <c r="P142" s="1"/>
      <c r="Q142" s="1"/>
      <c r="R142" s="1"/>
      <c r="S142" s="1"/>
      <c r="T142" s="23" t="str">
        <f t="shared" ref="T142:T143" ca="1" si="7">U142&amp;""&amp;",..,"&amp;""&amp;V142</f>
        <v>2901,..,3601</v>
      </c>
      <c r="U142" s="23">
        <f ca="1">(SUMPRODUCT(MID(0&amp;(LEFT(A141,SUM(LEN(A141)-LEN(SUBSTITUTE(A141,{"0","1","2","3"},""))))), LARGE(INDEX(ISNUMBER(--MID((LEFT(A141,SUM(LEN(A141)-LEN(SUBSTITUTE(A141,{"0","1","2","3"},""))))), ROW(INDIRECT("1:"&amp;LEN((LEFT(A141,SUM(LEN(A141)-LEN(SUBSTITUTE(A141,{"0","1","2","3"},"")))))))), 1)) * ROW(INDIRECT("1:"&amp;LEN((LEFT(A141,SUM(LEN(A141)-LEN(SUBSTITUTE(A141,{"0","1","2","3"},"")))))))), 0), ROW(INDIRECT("1:"&amp;LEN((LEFT(A141,SUM(LEN(A141)-LEN(SUBSTITUTE(A141,{"0","1","2","3"},"")))))))))+1, 1) * 10^ROW(INDIRECT("1:"&amp;LEN((LEFT(A141,SUM(LEN(A141)-LEN(SUBSTITUTE(A141,{"0","1","2","3"},""))))))))/10))*100+1</f>
        <v>2901</v>
      </c>
      <c r="V142" s="23">
        <f ca="1">(SUMPRODUCT(MID(0&amp;(--TRIM(RIGHT(SUBSTITUTE(LEFT(A141,_xlfn.AGGREGATE(16,6,FIND({0,1,2,3,4,5,6,7,8,9},A141,ROW(INDIRECT("1:"&amp;LEN(A141)))),1)),"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",LEN(A141))),LEN(A141)))))))/10))*100+1</f>
        <v>3601</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91">
        <v>1</v>
      </c>
      <c r="B143" s="91"/>
      <c r="C143" s="52" t="s">
        <v>86</v>
      </c>
      <c r="D143" s="52" t="s">
        <v>346</v>
      </c>
      <c r="E143" s="73">
        <f>(297.93)*(10.764)</f>
        <v>3206.9185199999997</v>
      </c>
      <c r="F143" s="73">
        <f>(7.76*2.1)*(10.764)</f>
        <v>175.41014399999997</v>
      </c>
      <c r="G143" s="74">
        <v>0</v>
      </c>
      <c r="H143" s="74">
        <f t="shared" ref="H143" si="8">E143+F143+(IF(G143&lt;101,G143,IF(G143&lt;201,G143/2,IF(G143&lt;=301,G143/3,G143/4))))</f>
        <v>3382.3286639999997</v>
      </c>
      <c r="I143" s="80"/>
      <c r="J143" s="1"/>
      <c r="K143" s="1"/>
      <c r="L143" s="1"/>
      <c r="M143" s="1"/>
      <c r="N143" s="1"/>
      <c r="O143" s="1"/>
      <c r="P143" s="1"/>
      <c r="Q143" s="1"/>
      <c r="R143" s="1"/>
      <c r="S143" s="1"/>
      <c r="T143" s="23" t="str">
        <f t="shared" ca="1" si="7"/>
        <v>2902,..,3602</v>
      </c>
      <c r="U143" s="23">
        <f ca="1">U142+1</f>
        <v>2902</v>
      </c>
      <c r="V143" s="23">
        <f ca="1">V142+1</f>
        <v>3602</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111" t="s">
        <v>352</v>
      </c>
      <c r="B144" s="112"/>
      <c r="C144" s="112"/>
      <c r="D144" s="112"/>
      <c r="E144" s="112"/>
      <c r="F144" s="112"/>
      <c r="G144" s="112"/>
      <c r="H144" s="113"/>
      <c r="I144" s="1">
        <f>1</f>
        <v>1</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91" t="s">
        <v>342</v>
      </c>
      <c r="B145" s="91"/>
      <c r="C145" s="52" t="s">
        <v>342</v>
      </c>
      <c r="D145" s="105" t="s">
        <v>347</v>
      </c>
      <c r="E145" s="106"/>
      <c r="F145" s="106"/>
      <c r="G145" s="106"/>
      <c r="H145" s="107"/>
      <c r="I145" s="1"/>
      <c r="J145" s="1"/>
      <c r="K145" s="1"/>
      <c r="L145" s="1"/>
      <c r="M145" s="1"/>
      <c r="N145" s="1"/>
      <c r="O145" s="1"/>
      <c r="P145" s="1"/>
      <c r="Q145" s="1"/>
      <c r="R145" s="1"/>
      <c r="S145" s="1"/>
      <c r="T145" s="23" t="str">
        <f t="shared" ref="T145:T146" ca="1" si="9">U145&amp;""&amp;",..,"&amp;""&amp;V145</f>
        <v>401,..,4301</v>
      </c>
      <c r="U145" s="23">
        <f ca="1">(SUMPRODUCT(MID(0&amp;(LEFT(A144,SUM(LEN(A144)-LEN(SUBSTITUTE(A144,{"0","1","2","3"},""))))), LARGE(INDEX(ISNUMBER(--MID((LEFT(A144,SUM(LEN(A144)-LEN(SUBSTITUTE(A144,{"0","1","2","3"},""))))), ROW(INDIRECT("1:"&amp;LEN((LEFT(A144,SUM(LEN(A144)-LEN(SUBSTITUTE(A144,{"0","1","2","3"},"")))))))), 1)) * ROW(INDIRECT("1:"&amp;LEN((LEFT(A144,SUM(LEN(A144)-LEN(SUBSTITUTE(A144,{"0","1","2","3"},"")))))))), 0), ROW(INDIRECT("1:"&amp;LEN((LEFT(A144,SUM(LEN(A144)-LEN(SUBSTITUTE(A144,{"0","1","2","3"},"")))))))))+1, 1) * 10^ROW(INDIRECT("1:"&amp;LEN((LEFT(A144,SUM(LEN(A144)-LEN(SUBSTITUTE(A144,{"0","1","2","3"},""))))))))/10))*100+1</f>
        <v>401</v>
      </c>
      <c r="V145" s="23">
        <f ca="1">(SUMPRODUCT(MID(0&amp;(--TRIM(RIGHT(SUBSTITUTE(LEFT(A144,_xlfn.AGGREGATE(16,6,FIND({0,1,2,3,4,5,6,7,8,9},A144,ROW(INDIRECT("1:"&amp;LEN(A144)))),1)),"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4301</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91">
        <v>1</v>
      </c>
      <c r="B146" s="91"/>
      <c r="C146" s="52" t="s">
        <v>86</v>
      </c>
      <c r="D146" s="52" t="s">
        <v>346</v>
      </c>
      <c r="E146" s="73">
        <f>(297.93)*(10.764)</f>
        <v>3206.9185199999997</v>
      </c>
      <c r="F146" s="73">
        <f>(0)*(10.764)</f>
        <v>0</v>
      </c>
      <c r="G146" s="74">
        <v>0</v>
      </c>
      <c r="H146" s="74">
        <f t="shared" ref="H146" si="10">E146+F146+(IF(G146&lt;101,G146,IF(G146&lt;201,G146/2,IF(G146&lt;=301,G146/3,G146/4))))</f>
        <v>3206.9185199999997</v>
      </c>
      <c r="I146" s="80" t="s">
        <v>360</v>
      </c>
      <c r="J146" s="1"/>
      <c r="K146" s="1"/>
      <c r="L146" s="1"/>
      <c r="M146" s="1"/>
      <c r="N146" s="1"/>
      <c r="O146" s="1"/>
      <c r="P146" s="1"/>
      <c r="Q146" s="1"/>
      <c r="R146" s="1"/>
      <c r="S146" s="1"/>
      <c r="T146" s="23" t="str">
        <f t="shared" ca="1" si="9"/>
        <v>402,..,4302</v>
      </c>
      <c r="U146" s="23">
        <f ca="1">U145+1</f>
        <v>402</v>
      </c>
      <c r="V146" s="23">
        <f ca="1">V145+1</f>
        <v>4302</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11" t="s">
        <v>353</v>
      </c>
      <c r="B147" s="112"/>
      <c r="C147" s="112"/>
      <c r="D147" s="112"/>
      <c r="E147" s="112"/>
      <c r="F147" s="112"/>
      <c r="G147" s="112"/>
      <c r="H147" s="113"/>
      <c r="I147" s="1">
        <f>244900000-(244900000*0.12)</f>
        <v>215512000</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02" t="s">
        <v>355</v>
      </c>
      <c r="B148" s="103"/>
      <c r="C148" s="103"/>
      <c r="D148" s="103"/>
      <c r="E148" s="103"/>
      <c r="F148" s="103"/>
      <c r="G148" s="103"/>
      <c r="H148" s="104"/>
      <c r="I148" s="1">
        <f>1</f>
        <v>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91">
        <v>1</v>
      </c>
      <c r="B149" s="91"/>
      <c r="C149" s="52" t="s">
        <v>86</v>
      </c>
      <c r="D149" s="73" t="s">
        <v>344</v>
      </c>
      <c r="E149" s="73">
        <f>210.97*(10.764)</f>
        <v>2270.8810799999997</v>
      </c>
      <c r="F149" s="73">
        <f>(0)*(10.764)</f>
        <v>0</v>
      </c>
      <c r="G149" s="74">
        <v>0</v>
      </c>
      <c r="H149" s="74">
        <f>E149+F149+(IF(G149&lt;101,G149,IF(G149&lt;201,G149/2,IF(G149&lt;=301,G149/3,G149/4))))</f>
        <v>2270.8810799999997</v>
      </c>
      <c r="I149" s="88">
        <f>244900000/H149</f>
        <v>107843.60403407828</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92">
        <f>A149+1</f>
        <v>2</v>
      </c>
      <c r="B150" s="94"/>
      <c r="C150" s="52" t="s">
        <v>86</v>
      </c>
      <c r="D150" s="73" t="s">
        <v>344</v>
      </c>
      <c r="E150" s="73">
        <f>210.97*(10.764)</f>
        <v>2270.8810799999997</v>
      </c>
      <c r="F150" s="73">
        <f>(0)*(10.764)</f>
        <v>0</v>
      </c>
      <c r="G150" s="74">
        <v>0</v>
      </c>
      <c r="H150" s="74">
        <f t="shared" ref="H150" si="11">E150+F150+(IF(G150&lt;101,G150,IF(G150&lt;201,G150/2,IF(G150&lt;=301,G150/3,G150/4))))</f>
        <v>2270.8810799999997</v>
      </c>
      <c r="I150" s="1">
        <f>(244900000-(244900000*0.12))/H150</f>
        <v>94902.371549988879</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102" t="s">
        <v>356</v>
      </c>
      <c r="B151" s="103"/>
      <c r="C151" s="103"/>
      <c r="D151" s="103"/>
      <c r="E151" s="103"/>
      <c r="F151" s="103"/>
      <c r="G151" s="103"/>
      <c r="H151" s="104"/>
      <c r="I151" s="1">
        <f>3</f>
        <v>3</v>
      </c>
      <c r="J151" s="1">
        <f>210000000/H150</f>
        <v>92475.119833223507</v>
      </c>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91">
        <v>1</v>
      </c>
      <c r="B152" s="91"/>
      <c r="C152" s="52" t="s">
        <v>86</v>
      </c>
      <c r="D152" s="73" t="s">
        <v>344</v>
      </c>
      <c r="E152" s="73">
        <f>210.97*(10.764)</f>
        <v>2270.8810799999997</v>
      </c>
      <c r="F152" s="73">
        <f>(3.78*2.1)*(10.764)</f>
        <v>85.444631999999999</v>
      </c>
      <c r="G152" s="74">
        <v>0</v>
      </c>
      <c r="H152" s="74">
        <f>E152+F152+(IF(G152&lt;101,G152,IF(G152&lt;201,G152/2,IF(G152&lt;=301,G152/3,G152/4))))</f>
        <v>2356.3257119999998</v>
      </c>
      <c r="I152" s="80">
        <f>213900000/H152</f>
        <v>90776.923967122595</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92">
        <f>A152+1</f>
        <v>2</v>
      </c>
      <c r="B153" s="94"/>
      <c r="C153" s="52" t="s">
        <v>86</v>
      </c>
      <c r="D153" s="73" t="s">
        <v>344</v>
      </c>
      <c r="E153" s="73">
        <f>210.97*(10.764)</f>
        <v>2270.8810799999997</v>
      </c>
      <c r="F153" s="73">
        <f>(3.78*2.1)*(10.764)</f>
        <v>85.444631999999999</v>
      </c>
      <c r="G153" s="74">
        <v>0</v>
      </c>
      <c r="H153" s="74">
        <f t="shared" ref="H153" si="12">E153+F153+(IF(G153&lt;101,G153,IF(G153&lt;201,G153/2,IF(G153&lt;=301,G153/3,G153/4))))</f>
        <v>2356.3257119999998</v>
      </c>
      <c r="I153" s="80" t="s">
        <v>360</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02" t="s">
        <v>357</v>
      </c>
      <c r="B154" s="103"/>
      <c r="C154" s="103"/>
      <c r="D154" s="103"/>
      <c r="E154" s="103"/>
      <c r="F154" s="103"/>
      <c r="G154" s="103"/>
      <c r="H154" s="104"/>
      <c r="I154" s="1">
        <f>1</f>
        <v>1</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91" t="s">
        <v>93</v>
      </c>
      <c r="B155" s="91"/>
      <c r="C155" s="52" t="s">
        <v>342</v>
      </c>
      <c r="D155" s="105" t="s">
        <v>358</v>
      </c>
      <c r="E155" s="106"/>
      <c r="F155" s="106"/>
      <c r="G155" s="106"/>
      <c r="H155" s="10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92">
        <v>1</v>
      </c>
      <c r="B156" s="94"/>
      <c r="C156" s="52" t="s">
        <v>86</v>
      </c>
      <c r="D156" s="52" t="s">
        <v>346</v>
      </c>
      <c r="E156" s="73">
        <f>313.97*(10.764)</f>
        <v>3379.5730800000001</v>
      </c>
      <c r="F156" s="73">
        <f>(7.76*2.1)*(10.764)</f>
        <v>175.41014399999997</v>
      </c>
      <c r="G156" s="74">
        <v>0</v>
      </c>
      <c r="H156" s="74">
        <f t="shared" ref="H156" si="13">E156+F156+(IF(G156&lt;101,G156,IF(G156&lt;201,G156/2,IF(G156&lt;=301,G156/3,G156/4))))</f>
        <v>3554.9832240000001</v>
      </c>
      <c r="I156" s="80" t="s">
        <v>360</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3" customFormat="1" ht="20.25" customHeight="1" x14ac:dyDescent="0.25">
      <c r="A157" s="108" t="s">
        <v>359</v>
      </c>
      <c r="B157" s="109"/>
      <c r="C157" s="109"/>
      <c r="D157" s="109"/>
      <c r="E157" s="109"/>
      <c r="F157" s="109"/>
      <c r="G157" s="109"/>
      <c r="H157" s="110"/>
      <c r="J157" s="77"/>
    </row>
    <row r="158" spans="1:150 16226:16383" s="23" customFormat="1" ht="20.25" customHeight="1" x14ac:dyDescent="0.25">
      <c r="A158" s="102" t="s">
        <v>334</v>
      </c>
      <c r="B158" s="103"/>
      <c r="C158" s="103"/>
      <c r="D158" s="103"/>
      <c r="E158" s="103"/>
      <c r="F158" s="103"/>
      <c r="G158" s="103"/>
      <c r="H158" s="104"/>
      <c r="J158" s="77"/>
    </row>
    <row r="159" spans="1:150 16226:16383" s="23" customFormat="1" ht="20.25" customHeight="1" x14ac:dyDescent="0.25">
      <c r="A159" s="102" t="s">
        <v>370</v>
      </c>
      <c r="B159" s="103"/>
      <c r="C159" s="103"/>
      <c r="D159" s="103"/>
      <c r="E159" s="103"/>
      <c r="F159" s="103"/>
      <c r="G159" s="103"/>
      <c r="H159" s="104"/>
      <c r="J159" s="77"/>
    </row>
    <row r="160" spans="1:150 16226:16383" s="23" customFormat="1" ht="20.25" customHeight="1" x14ac:dyDescent="0.25">
      <c r="A160" s="102" t="s">
        <v>336</v>
      </c>
      <c r="B160" s="103"/>
      <c r="C160" s="103"/>
      <c r="D160" s="103"/>
      <c r="E160" s="103"/>
      <c r="F160" s="103"/>
      <c r="G160" s="103"/>
      <c r="H160" s="104"/>
      <c r="J160" s="77"/>
    </row>
    <row r="161" spans="1:150 16226:16383" s="23" customFormat="1" ht="20.25" customHeight="1" x14ac:dyDescent="0.25">
      <c r="A161" s="102" t="s">
        <v>337</v>
      </c>
      <c r="B161" s="103"/>
      <c r="C161" s="103"/>
      <c r="D161" s="103"/>
      <c r="E161" s="103"/>
      <c r="F161" s="103"/>
      <c r="G161" s="103"/>
      <c r="H161" s="104"/>
      <c r="J161" s="77"/>
    </row>
    <row r="162" spans="1:150 16226:16383" s="23" customFormat="1" ht="20.25" customHeight="1" x14ac:dyDescent="0.25">
      <c r="A162" s="102" t="s">
        <v>338</v>
      </c>
      <c r="B162" s="103"/>
      <c r="C162" s="103"/>
      <c r="D162" s="103"/>
      <c r="E162" s="103"/>
      <c r="F162" s="103"/>
      <c r="G162" s="103"/>
      <c r="H162" s="104"/>
      <c r="J162" s="77"/>
    </row>
    <row r="163" spans="1:150 16226:16383" s="23" customFormat="1" ht="20.25" customHeight="1" x14ac:dyDescent="0.25">
      <c r="A163" s="102" t="s">
        <v>339</v>
      </c>
      <c r="B163" s="103"/>
      <c r="C163" s="103"/>
      <c r="D163" s="103"/>
      <c r="E163" s="103"/>
      <c r="F163" s="103"/>
      <c r="G163" s="103"/>
      <c r="H163" s="104"/>
      <c r="J163" s="77"/>
    </row>
    <row r="164" spans="1:150 16226:16383" s="23" customFormat="1" ht="20.25" customHeight="1" x14ac:dyDescent="0.25">
      <c r="A164" s="102" t="s">
        <v>335</v>
      </c>
      <c r="B164" s="103"/>
      <c r="C164" s="103"/>
      <c r="D164" s="103"/>
      <c r="E164" s="103"/>
      <c r="F164" s="103"/>
      <c r="G164" s="103"/>
      <c r="H164" s="104"/>
      <c r="J164" s="77"/>
    </row>
    <row r="165" spans="1:150 16226:16383" s="23" customFormat="1" ht="20.25" x14ac:dyDescent="0.25">
      <c r="A165" s="102" t="s">
        <v>340</v>
      </c>
      <c r="B165" s="103"/>
      <c r="C165" s="103"/>
      <c r="D165" s="103"/>
      <c r="E165" s="103"/>
      <c r="F165" s="103"/>
      <c r="G165" s="103"/>
      <c r="H165" s="104"/>
      <c r="J165" s="77"/>
    </row>
    <row r="166" spans="1:150 16226:16383" s="3" customFormat="1" ht="20.25" x14ac:dyDescent="0.25">
      <c r="A166" s="102" t="s">
        <v>361</v>
      </c>
      <c r="B166" s="103"/>
      <c r="C166" s="103"/>
      <c r="D166" s="103"/>
      <c r="E166" s="103"/>
      <c r="F166" s="103"/>
      <c r="G166" s="103"/>
      <c r="H166" s="104"/>
      <c r="I166" s="1">
        <f>5+6+1</f>
        <v>12</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91">
        <v>1</v>
      </c>
      <c r="B167" s="91"/>
      <c r="C167" s="52" t="s">
        <v>362</v>
      </c>
      <c r="D167" s="52" t="s">
        <v>363</v>
      </c>
      <c r="E167" s="73">
        <f>(4.84*4.75+1.96*1.84+0.75*1.24)*10.764</f>
        <v>296.29416959999998</v>
      </c>
      <c r="F167" s="73">
        <v>0</v>
      </c>
      <c r="G167" s="74">
        <v>0</v>
      </c>
      <c r="H167" s="74">
        <f>E167+F167+(IF(G167&lt;101,G167,IF(G167&lt;201,G167/2,IF(G167&lt;=301,G167/3,G167/4))))</f>
        <v>296.29416959999998</v>
      </c>
      <c r="I167" s="80" t="s">
        <v>360</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91">
        <v>2</v>
      </c>
      <c r="B168" s="91"/>
      <c r="C168" s="52" t="s">
        <v>362</v>
      </c>
      <c r="D168" s="52" t="s">
        <v>363</v>
      </c>
      <c r="E168" s="73">
        <f>(3.95*4.14+3.49*0.61+1.45*2.44+1.5*0.95+1.2*1.25+1.1*2.45)*10.764</f>
        <v>297.5158836</v>
      </c>
      <c r="F168" s="73">
        <v>0</v>
      </c>
      <c r="G168" s="74">
        <v>0</v>
      </c>
      <c r="H168" s="74">
        <f t="shared" ref="H168" si="14">E168+F168+(IF(G168&lt;101,G168,IF(G168&lt;201,G168/2,IF(G168&lt;=301,G168/3,G168/4))))</f>
        <v>297.5158836</v>
      </c>
      <c r="I168" s="80" t="s">
        <v>360</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91">
        <v>3</v>
      </c>
      <c r="B169" s="91"/>
      <c r="C169" s="52" t="s">
        <v>362</v>
      </c>
      <c r="D169" s="52" t="s">
        <v>363</v>
      </c>
      <c r="E169" s="73">
        <f>(4.83*4.15+4.3*0.4+1.02*1.84+1.45*0.95+0.87*1.1+1.45*1.06)*10.764</f>
        <v>296.1477792</v>
      </c>
      <c r="F169" s="73">
        <f>(3.78*2.05)*10.764</f>
        <v>83.410235999999983</v>
      </c>
      <c r="G169" s="74">
        <v>0</v>
      </c>
      <c r="H169" s="74">
        <f>E169+F169+(IF(G169&lt;101,G169,IF(G169&lt;201,G169/2,IF(G169&lt;=301,G169/3,G169/4))))</f>
        <v>379.5580152</v>
      </c>
      <c r="I169" s="80" t="s">
        <v>360</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91">
        <v>4</v>
      </c>
      <c r="B170" s="91"/>
      <c r="C170" s="52" t="s">
        <v>362</v>
      </c>
      <c r="D170" s="52" t="s">
        <v>363</v>
      </c>
      <c r="E170" s="73">
        <f>(4.83*4.15+4.3*0.4+1.02*1.84+1.45*0.95+0.87*1.1+1.45*1.06)*10.764</f>
        <v>296.1477792</v>
      </c>
      <c r="F170" s="73">
        <f>(3.78*2.05)*10.764</f>
        <v>83.410235999999983</v>
      </c>
      <c r="G170" s="74">
        <v>0</v>
      </c>
      <c r="H170" s="74">
        <f t="shared" ref="H170" si="15">E170+F170+(IF(G170&lt;101,G170,IF(G170&lt;201,G170/2,IF(G170&lt;=301,G170/3,G170/4))))</f>
        <v>379.5580152</v>
      </c>
      <c r="I170" s="80" t="s">
        <v>360</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91">
        <v>5</v>
      </c>
      <c r="B171" s="91"/>
      <c r="C171" s="52" t="s">
        <v>362</v>
      </c>
      <c r="D171" s="52" t="s">
        <v>363</v>
      </c>
      <c r="E171" s="73">
        <f>(3.95*4.14+3.49*0.61+1.45*2.44+1.5*0.95+1.2*1.25+1.1*2.45)*10.764</f>
        <v>297.5158836</v>
      </c>
      <c r="F171" s="73">
        <v>0</v>
      </c>
      <c r="G171" s="74">
        <v>0</v>
      </c>
      <c r="H171" s="74">
        <f>E171+F171+(IF(G171&lt;101,G171,IF(G171&lt;201,G171/2,IF(G171&lt;=301,G171/3,G171/4))))</f>
        <v>297.5158836</v>
      </c>
      <c r="I171" s="80" t="s">
        <v>360</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91">
        <v>6</v>
      </c>
      <c r="B172" s="91"/>
      <c r="C172" s="52" t="s">
        <v>362</v>
      </c>
      <c r="D172" s="52" t="s">
        <v>363</v>
      </c>
      <c r="E172" s="73">
        <f>(4.84*4.75+1.96*1.84+0.75*1.24)*10.764</f>
        <v>296.29416959999998</v>
      </c>
      <c r="F172" s="73">
        <v>0</v>
      </c>
      <c r="G172" s="74">
        <v>0</v>
      </c>
      <c r="H172" s="74">
        <f t="shared" ref="H172" si="16">E172+F172+(IF(G172&lt;101,G172,IF(G172&lt;201,G172/2,IF(G172&lt;=301,G172/3,G172/4))))</f>
        <v>296.29416959999998</v>
      </c>
      <c r="I172" s="80" t="s">
        <v>360</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91">
        <v>7</v>
      </c>
      <c r="B173" s="91"/>
      <c r="C173" s="52" t="s">
        <v>362</v>
      </c>
      <c r="D173" s="52" t="s">
        <v>363</v>
      </c>
      <c r="E173" s="73">
        <f>(1.76*1.02+5.15*3.48+2.4*1.22+1.8*2.11+0.75*1.51)*10.764</f>
        <v>296.82483480000002</v>
      </c>
      <c r="F173" s="73">
        <v>0</v>
      </c>
      <c r="G173" s="74">
        <v>0</v>
      </c>
      <c r="H173" s="74">
        <f>E173+F173+(IF(G173&lt;101,G173,IF(G173&lt;201,G173/2,IF(G173&lt;=301,G173/3,G173/4))))</f>
        <v>296.82483480000002</v>
      </c>
      <c r="I173" s="80" t="s">
        <v>360</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x14ac:dyDescent="0.25">
      <c r="A174" s="91">
        <v>8</v>
      </c>
      <c r="B174" s="91"/>
      <c r="C174" s="52" t="s">
        <v>362</v>
      </c>
      <c r="D174" s="52" t="s">
        <v>363</v>
      </c>
      <c r="E174" s="73">
        <f>(4.95*4+3.5*0.23+0.3*0.95+1.75*1.47+1.04*1.93+0.86*2.38)*10.764</f>
        <v>296.18760600000002</v>
      </c>
      <c r="F174" s="73">
        <v>0</v>
      </c>
      <c r="G174" s="74">
        <v>0</v>
      </c>
      <c r="H174" s="74">
        <f t="shared" ref="H174" si="17">E174+F174+(IF(G174&lt;101,G174,IF(G174&lt;201,G174/2,IF(G174&lt;=301,G174/3,G174/4))))</f>
        <v>296.18760600000002</v>
      </c>
      <c r="I174" s="80" t="s">
        <v>360</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91">
        <v>9</v>
      </c>
      <c r="B175" s="91"/>
      <c r="C175" s="52" t="s">
        <v>362</v>
      </c>
      <c r="D175" s="52" t="s">
        <v>363</v>
      </c>
      <c r="E175" s="73">
        <f>(3.2*7.57+1*1.11+2.05*1.2)*10.764</f>
        <v>299.17461600000001</v>
      </c>
      <c r="F175" s="73">
        <v>0</v>
      </c>
      <c r="G175" s="74">
        <v>0</v>
      </c>
      <c r="H175" s="74">
        <f>E175+F175+(IF(G175&lt;101,G175,IF(G175&lt;201,G175/2,IF(G175&lt;=301,G175/3,G175/4))))</f>
        <v>299.17461600000001</v>
      </c>
      <c r="I175" s="80" t="s">
        <v>360</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91">
        <v>10</v>
      </c>
      <c r="B176" s="91"/>
      <c r="C176" s="52" t="s">
        <v>362</v>
      </c>
      <c r="D176" s="52" t="s">
        <v>363</v>
      </c>
      <c r="E176" s="73">
        <f>(3.2*7.57+1*1.11+2.05*1.2)*10.764</f>
        <v>299.17461600000001</v>
      </c>
      <c r="F176" s="73">
        <v>0</v>
      </c>
      <c r="G176" s="74">
        <v>0</v>
      </c>
      <c r="H176" s="74">
        <f t="shared" ref="H176" si="18">E176+F176+(IF(G176&lt;101,G176,IF(G176&lt;201,G176/2,IF(G176&lt;=301,G176/3,G176/4))))</f>
        <v>299.17461600000001</v>
      </c>
      <c r="I176" s="80" t="s">
        <v>360</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91">
        <v>11</v>
      </c>
      <c r="B177" s="91"/>
      <c r="C177" s="52" t="s">
        <v>362</v>
      </c>
      <c r="D177" s="52" t="s">
        <v>363</v>
      </c>
      <c r="E177" s="73">
        <f>(4.95*4+3.5*0.23+0.3*0.95+1.75*1.47+1.04*1.93+0.86*2.38)*10.764</f>
        <v>296.18760600000002</v>
      </c>
      <c r="F177" s="73">
        <v>0</v>
      </c>
      <c r="G177" s="74">
        <v>0</v>
      </c>
      <c r="H177" s="74">
        <f>E177+F177+(IF(G177&lt;101,G177,IF(G177&lt;201,G177/2,IF(G177&lt;=301,G177/3,G177/4))))</f>
        <v>296.18760600000002</v>
      </c>
      <c r="I177" s="80" t="s">
        <v>360</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91">
        <v>12</v>
      </c>
      <c r="B178" s="91"/>
      <c r="C178" s="52" t="s">
        <v>362</v>
      </c>
      <c r="D178" s="52" t="s">
        <v>363</v>
      </c>
      <c r="E178" s="73">
        <f>(1.76*1.02+5.15*3.48+2.4*1.22+1.8*2.11+0.75*1.51)*10.764</f>
        <v>296.82483480000002</v>
      </c>
      <c r="F178" s="73">
        <v>0</v>
      </c>
      <c r="G178" s="74">
        <v>0</v>
      </c>
      <c r="H178" s="74">
        <f t="shared" ref="H178" si="19">E178+F178+(IF(G178&lt;101,G178,IF(G178&lt;201,G178/2,IF(G178&lt;=301,G178/3,G178/4))))</f>
        <v>296.82483480000002</v>
      </c>
      <c r="I178" s="80" t="s">
        <v>360</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102" t="s">
        <v>364</v>
      </c>
      <c r="B179" s="103"/>
      <c r="C179" s="103"/>
      <c r="D179" s="103"/>
      <c r="E179" s="103"/>
      <c r="F179" s="103"/>
      <c r="G179" s="103"/>
      <c r="H179" s="104"/>
      <c r="I179" s="1">
        <f>2</f>
        <v>2</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91">
        <v>1</v>
      </c>
      <c r="B180" s="91"/>
      <c r="C180" s="52" t="s">
        <v>342</v>
      </c>
      <c r="D180" s="105" t="s">
        <v>347</v>
      </c>
      <c r="E180" s="106"/>
      <c r="F180" s="106"/>
      <c r="G180" s="106"/>
      <c r="H180" s="10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91">
        <v>2</v>
      </c>
      <c r="B181" s="91"/>
      <c r="C181" s="52" t="s">
        <v>362</v>
      </c>
      <c r="D181" s="52" t="s">
        <v>363</v>
      </c>
      <c r="E181" s="73">
        <f>(3.95*4.14+3.49*0.61+1.45*2.44+1.5*0.95+1.2*1.25+1.1*2.45)*10.764</f>
        <v>297.5158836</v>
      </c>
      <c r="F181" s="73">
        <v>0</v>
      </c>
      <c r="G181" s="74">
        <v>0</v>
      </c>
      <c r="H181" s="74">
        <f t="shared" ref="H181" si="20">E181+F181+(IF(G181&lt;101,G181,IF(G181&lt;201,G181/2,IF(G181&lt;=301,G181/3,G181/4))))</f>
        <v>297.5158836</v>
      </c>
      <c r="I181" s="80" t="s">
        <v>360</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91">
        <v>3</v>
      </c>
      <c r="B182" s="91"/>
      <c r="C182" s="52" t="s">
        <v>362</v>
      </c>
      <c r="D182" s="52" t="s">
        <v>363</v>
      </c>
      <c r="E182" s="73">
        <f>(4.83*4.15+4.3*0.4+1.02*1.84+1.45*0.95+0.87*1.1+1.45*1.06)*10.764</f>
        <v>296.1477792</v>
      </c>
      <c r="F182" s="73">
        <f>(3.78*2.05)*10.764</f>
        <v>83.410235999999983</v>
      </c>
      <c r="G182" s="74">
        <v>0</v>
      </c>
      <c r="H182" s="74">
        <f>E182+F182+(IF(G182&lt;101,G182,IF(G182&lt;201,G182/2,IF(G182&lt;=301,G182/3,G182/4))))</f>
        <v>379.5580152</v>
      </c>
      <c r="I182" s="80" t="s">
        <v>360</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91">
        <v>4</v>
      </c>
      <c r="B183" s="91"/>
      <c r="C183" s="52" t="s">
        <v>362</v>
      </c>
      <c r="D183" s="52" t="s">
        <v>363</v>
      </c>
      <c r="E183" s="73">
        <f>(4.83*4.15+4.3*0.4+1.02*1.84+1.45*0.95+0.87*1.1+1.45*1.06)*10.764</f>
        <v>296.1477792</v>
      </c>
      <c r="F183" s="73">
        <f>(3.78*2.05)*10.764</f>
        <v>83.410235999999983</v>
      </c>
      <c r="G183" s="74">
        <v>0</v>
      </c>
      <c r="H183" s="74">
        <f t="shared" ref="H183" si="21">E183+F183+(IF(G183&lt;101,G183,IF(G183&lt;201,G183/2,IF(G183&lt;=301,G183/3,G183/4))))</f>
        <v>379.5580152</v>
      </c>
      <c r="I183" s="80" t="s">
        <v>360</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x14ac:dyDescent="0.25">
      <c r="A184" s="91">
        <v>5</v>
      </c>
      <c r="B184" s="91"/>
      <c r="C184" s="52" t="s">
        <v>362</v>
      </c>
      <c r="D184" s="52" t="s">
        <v>363</v>
      </c>
      <c r="E184" s="73">
        <f>(3.95*4.14+3.49*0.61+1.45*2.44+1.5*0.95+1.2*1.25+1.1*2.45)*10.764</f>
        <v>297.5158836</v>
      </c>
      <c r="F184" s="73">
        <v>0</v>
      </c>
      <c r="G184" s="74">
        <v>0</v>
      </c>
      <c r="H184" s="74">
        <f>E184+F184+(IF(G184&lt;101,G184,IF(G184&lt;201,G184/2,IF(G184&lt;=301,G184/3,G184/4))))</f>
        <v>297.5158836</v>
      </c>
      <c r="I184" s="80" t="s">
        <v>360</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91">
        <v>6</v>
      </c>
      <c r="B185" s="91"/>
      <c r="C185" s="52" t="s">
        <v>362</v>
      </c>
      <c r="D185" s="52" t="s">
        <v>363</v>
      </c>
      <c r="E185" s="73">
        <f>(4.84*4.75+1.96*1.84+0.75*1.24)*10.764</f>
        <v>296.29416959999998</v>
      </c>
      <c r="F185" s="73">
        <v>0</v>
      </c>
      <c r="G185" s="74">
        <v>0</v>
      </c>
      <c r="H185" s="74">
        <f t="shared" ref="H185" si="22">E185+F185+(IF(G185&lt;101,G185,IF(G185&lt;201,G185/2,IF(G185&lt;=301,G185/3,G185/4))))</f>
        <v>296.29416959999998</v>
      </c>
      <c r="I185" s="80" t="s">
        <v>360</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91">
        <v>7</v>
      </c>
      <c r="B186" s="91"/>
      <c r="C186" s="52" t="s">
        <v>362</v>
      </c>
      <c r="D186" s="52" t="s">
        <v>363</v>
      </c>
      <c r="E186" s="73">
        <f>(1.76*1.02+5.15*3.48+2.4*1.22+1.8*2.11+0.75*1.51)*10.764</f>
        <v>296.82483480000002</v>
      </c>
      <c r="F186" s="73">
        <v>0</v>
      </c>
      <c r="G186" s="74">
        <v>0</v>
      </c>
      <c r="H186" s="74">
        <f>E186+F186+(IF(G186&lt;101,G186,IF(G186&lt;201,G186/2,IF(G186&lt;=301,G186/3,G186/4))))</f>
        <v>296.82483480000002</v>
      </c>
      <c r="I186" s="80" t="s">
        <v>360</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91">
        <v>8</v>
      </c>
      <c r="B187" s="91"/>
      <c r="C187" s="52" t="s">
        <v>362</v>
      </c>
      <c r="D187" s="52" t="s">
        <v>363</v>
      </c>
      <c r="E187" s="73">
        <f>(4.95*4+3.5*0.23+0.3*0.95+1.75*1.47+1.04*1.93+0.86*2.38)*10.764</f>
        <v>296.18760600000002</v>
      </c>
      <c r="F187" s="73">
        <v>0</v>
      </c>
      <c r="G187" s="74">
        <v>0</v>
      </c>
      <c r="H187" s="74">
        <f t="shared" ref="H187" si="23">E187+F187+(IF(G187&lt;101,G187,IF(G187&lt;201,G187/2,IF(G187&lt;=301,G187/3,G187/4))))</f>
        <v>296.18760600000002</v>
      </c>
      <c r="I187" s="80" t="s">
        <v>360</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91">
        <v>9</v>
      </c>
      <c r="B188" s="91"/>
      <c r="C188" s="52" t="s">
        <v>362</v>
      </c>
      <c r="D188" s="52" t="s">
        <v>363</v>
      </c>
      <c r="E188" s="73">
        <f>(3.2*7.57+1*1.11+2.05*1.2)*10.764</f>
        <v>299.17461600000001</v>
      </c>
      <c r="F188" s="73">
        <v>0</v>
      </c>
      <c r="G188" s="74">
        <v>0</v>
      </c>
      <c r="H188" s="74">
        <f>E188+F188+(IF(G188&lt;101,G188,IF(G188&lt;201,G188/2,IF(G188&lt;=301,G188/3,G188/4))))</f>
        <v>299.17461600000001</v>
      </c>
      <c r="I188" s="80" t="s">
        <v>360</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91">
        <v>10</v>
      </c>
      <c r="B189" s="91"/>
      <c r="C189" s="186" t="s">
        <v>347</v>
      </c>
      <c r="D189" s="187"/>
      <c r="E189" s="187"/>
      <c r="F189" s="187"/>
      <c r="G189" s="187"/>
      <c r="H189" s="188"/>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91">
        <v>11</v>
      </c>
      <c r="B190" s="91"/>
      <c r="C190" s="189"/>
      <c r="D190" s="190"/>
      <c r="E190" s="190"/>
      <c r="F190" s="190"/>
      <c r="G190" s="190"/>
      <c r="H190" s="19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91">
        <v>12</v>
      </c>
      <c r="B191" s="91"/>
      <c r="C191" s="192"/>
      <c r="D191" s="193"/>
      <c r="E191" s="193"/>
      <c r="F191" s="193"/>
      <c r="G191" s="193"/>
      <c r="H191" s="19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102" t="s">
        <v>349</v>
      </c>
      <c r="B192" s="103"/>
      <c r="C192" s="103"/>
      <c r="D192" s="103"/>
      <c r="E192" s="103"/>
      <c r="F192" s="103"/>
      <c r="G192" s="103"/>
      <c r="H192" s="104"/>
      <c r="I192" s="1">
        <f>1</f>
        <v>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91">
        <v>1</v>
      </c>
      <c r="B193" s="91"/>
      <c r="C193" s="52" t="s">
        <v>362</v>
      </c>
      <c r="D193" s="52" t="s">
        <v>363</v>
      </c>
      <c r="E193" s="74">
        <f>(4.84*4.75+1.96*1.84+0.75*1.24)*10.764</f>
        <v>296.29416959999998</v>
      </c>
      <c r="F193" s="74">
        <v>0</v>
      </c>
      <c r="G193" s="74">
        <v>0</v>
      </c>
      <c r="H193" s="74">
        <f>E193+F193+(IF(G193&lt;101,G193,IF(G193&lt;201,G193/2,IF(G193&lt;=301,G193/3,G193/4))))</f>
        <v>296.29416959999998</v>
      </c>
      <c r="I193" s="80" t="s">
        <v>360</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91">
        <v>2</v>
      </c>
      <c r="B194" s="91"/>
      <c r="C194" s="52" t="s">
        <v>362</v>
      </c>
      <c r="D194" s="52" t="s">
        <v>363</v>
      </c>
      <c r="E194" s="74">
        <f>(3.95*4.14+3.49*0.61+1.45*2.44+1.5*0.95+1.2*1.25+1.1*2.45)*10.764</f>
        <v>297.5158836</v>
      </c>
      <c r="F194" s="74">
        <v>0</v>
      </c>
      <c r="G194" s="74">
        <v>0</v>
      </c>
      <c r="H194" s="74">
        <f t="shared" ref="H194" si="24">E194+F194+(IF(G194&lt;101,G194,IF(G194&lt;201,G194/2,IF(G194&lt;=301,G194/3,G194/4))))</f>
        <v>297.5158836</v>
      </c>
      <c r="I194" s="80" t="s">
        <v>360</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91">
        <v>3</v>
      </c>
      <c r="B195" s="91"/>
      <c r="C195" s="52" t="s">
        <v>362</v>
      </c>
      <c r="D195" s="52" t="s">
        <v>363</v>
      </c>
      <c r="E195" s="74">
        <f>(4.83*4.15+4.3*0.4+1.02*1.84+1.45*0.95+0.87*1.1+1.45*1.06)*10.764</f>
        <v>296.1477792</v>
      </c>
      <c r="F195" s="74">
        <f>(3.78*2.05)*10.764</f>
        <v>83.410235999999983</v>
      </c>
      <c r="G195" s="74">
        <v>0</v>
      </c>
      <c r="H195" s="74">
        <f>E195+F195+(IF(G195&lt;101,G195,IF(G195&lt;201,G195/2,IF(G195&lt;=301,G195/3,G195/4))))</f>
        <v>379.5580152</v>
      </c>
      <c r="I195" s="80" t="s">
        <v>360</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91">
        <v>4</v>
      </c>
      <c r="B196" s="91"/>
      <c r="C196" s="52" t="s">
        <v>362</v>
      </c>
      <c r="D196" s="52" t="s">
        <v>363</v>
      </c>
      <c r="E196" s="74">
        <f>(4.83*4.15+4.3*0.4+1.02*1.84+1.45*0.95+0.87*1.1+1.45*1.06)*10.764</f>
        <v>296.1477792</v>
      </c>
      <c r="F196" s="74">
        <f>(3.78*2.05)*10.764</f>
        <v>83.410235999999983</v>
      </c>
      <c r="G196" s="74">
        <v>0</v>
      </c>
      <c r="H196" s="74">
        <f t="shared" ref="H196" si="25">E196+F196+(IF(G196&lt;101,G196,IF(G196&lt;201,G196/2,IF(G196&lt;=301,G196/3,G196/4))))</f>
        <v>379.5580152</v>
      </c>
      <c r="I196" s="80" t="s">
        <v>360</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x14ac:dyDescent="0.25">
      <c r="A197" s="91">
        <v>5</v>
      </c>
      <c r="B197" s="91"/>
      <c r="C197" s="52" t="s">
        <v>362</v>
      </c>
      <c r="D197" s="52" t="s">
        <v>363</v>
      </c>
      <c r="E197" s="74">
        <f>(3.95*4.14+3.49*0.61+1.45*2.44+1.5*0.95+1.2*1.25+1.1*2.45)*10.764</f>
        <v>297.5158836</v>
      </c>
      <c r="F197" s="74">
        <v>0</v>
      </c>
      <c r="G197" s="74">
        <v>0</v>
      </c>
      <c r="H197" s="74">
        <f>E197+F197+(IF(G197&lt;101,G197,IF(G197&lt;201,G197/2,IF(G197&lt;=301,G197/3,G197/4))))</f>
        <v>297.5158836</v>
      </c>
      <c r="I197" s="80" t="s">
        <v>360</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91">
        <v>6</v>
      </c>
      <c r="B198" s="91"/>
      <c r="C198" s="52" t="s">
        <v>362</v>
      </c>
      <c r="D198" s="52" t="s">
        <v>363</v>
      </c>
      <c r="E198" s="74">
        <f>(4.84*4.75+1.96*1.84+0.75*1.24)*10.764</f>
        <v>296.29416959999998</v>
      </c>
      <c r="F198" s="74">
        <v>0</v>
      </c>
      <c r="G198" s="74">
        <v>0</v>
      </c>
      <c r="H198" s="74">
        <f t="shared" ref="H198" si="26">E198+F198+(IF(G198&lt;101,G198,IF(G198&lt;201,G198/2,IF(G198&lt;=301,G198/3,G198/4))))</f>
        <v>296.29416959999998</v>
      </c>
      <c r="I198" s="80" t="s">
        <v>360</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91">
        <v>7</v>
      </c>
      <c r="B199" s="91"/>
      <c r="C199" s="52" t="s">
        <v>362</v>
      </c>
      <c r="D199" s="52" t="s">
        <v>363</v>
      </c>
      <c r="E199" s="74">
        <f>(1.76*1.02+5.15*3.48+2.4*1.22+1.8*2.11+0.75*1.51)*10.764</f>
        <v>296.82483480000002</v>
      </c>
      <c r="F199" s="74">
        <v>0</v>
      </c>
      <c r="G199" s="74">
        <v>0</v>
      </c>
      <c r="H199" s="74">
        <f>E199+F199+(IF(G199&lt;101,G199,IF(G199&lt;201,G199/2,IF(G199&lt;=301,G199/3,G199/4))))</f>
        <v>296.82483480000002</v>
      </c>
      <c r="I199" s="80" t="s">
        <v>360</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91">
        <v>8</v>
      </c>
      <c r="B200" s="91"/>
      <c r="C200" s="52" t="s">
        <v>362</v>
      </c>
      <c r="D200" s="52" t="s">
        <v>363</v>
      </c>
      <c r="E200" s="74">
        <f>(4.95*4+3.5*0.23+0.3*0.95+1.75*1.47+1.04*1.93+0.86*2.38)*10.764</f>
        <v>296.18760600000002</v>
      </c>
      <c r="F200" s="74">
        <v>0</v>
      </c>
      <c r="G200" s="74">
        <v>0</v>
      </c>
      <c r="H200" s="74">
        <f t="shared" ref="H200" si="27">E200+F200+(IF(G200&lt;101,G200,IF(G200&lt;201,G200/2,IF(G200&lt;=301,G200/3,G200/4))))</f>
        <v>296.18760600000002</v>
      </c>
      <c r="I200" s="80" t="s">
        <v>360</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91">
        <v>9</v>
      </c>
      <c r="B201" s="91"/>
      <c r="C201" s="87" t="s">
        <v>86</v>
      </c>
      <c r="D201" s="52" t="s">
        <v>363</v>
      </c>
      <c r="E201" s="74">
        <f>(3.2*7.57+1*1.11+2.05*1.2)*10.764</f>
        <v>299.17461600000001</v>
      </c>
      <c r="F201" s="74">
        <v>0</v>
      </c>
      <c r="G201" s="74">
        <v>0</v>
      </c>
      <c r="H201" s="74">
        <f>E201+F201+(IF(G201&lt;101,G201,IF(G201&lt;201,G201/2,IF(G201&lt;=301,G201/3,G201/4))))</f>
        <v>299.17461600000001</v>
      </c>
      <c r="I201" s="80" t="s">
        <v>360</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91">
        <v>10</v>
      </c>
      <c r="B202" s="91"/>
      <c r="C202" s="87" t="s">
        <v>86</v>
      </c>
      <c r="D202" s="52" t="s">
        <v>363</v>
      </c>
      <c r="E202" s="74">
        <f>(3.2*7.57+1*1.11+2.05*1.2)*10.764</f>
        <v>299.17461600000001</v>
      </c>
      <c r="F202" s="74">
        <v>0</v>
      </c>
      <c r="G202" s="74">
        <v>0</v>
      </c>
      <c r="H202" s="74">
        <f t="shared" ref="H202" si="28">E202+F202+(IF(G202&lt;101,G202,IF(G202&lt;201,G202/2,IF(G202&lt;=301,G202/3,G202/4))))</f>
        <v>299.17461600000001</v>
      </c>
      <c r="I202" s="80" t="s">
        <v>360</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91">
        <v>11</v>
      </c>
      <c r="B203" s="91"/>
      <c r="C203" s="52" t="s">
        <v>362</v>
      </c>
      <c r="D203" s="52" t="s">
        <v>363</v>
      </c>
      <c r="E203" s="74">
        <f>(4.95*4+3.5*0.23+0.3*0.95+1.75*1.47+1.04*1.93+0.86*2.38)*10.764</f>
        <v>296.18760600000002</v>
      </c>
      <c r="F203" s="74">
        <v>0</v>
      </c>
      <c r="G203" s="74">
        <v>0</v>
      </c>
      <c r="H203" s="74">
        <f>E203+F203+(IF(G203&lt;101,G203,IF(G203&lt;201,G203/2,IF(G203&lt;=301,G203/3,G203/4))))</f>
        <v>296.18760600000002</v>
      </c>
      <c r="I203" s="80" t="s">
        <v>360</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91">
        <v>12</v>
      </c>
      <c r="B204" s="91"/>
      <c r="C204" s="52" t="s">
        <v>362</v>
      </c>
      <c r="D204" s="52" t="s">
        <v>363</v>
      </c>
      <c r="E204" s="74">
        <f>(1.76*1.02+5.15*3.48+2.4*1.22+1.8*2.11+0.75*1.51)*10.764</f>
        <v>296.82483480000002</v>
      </c>
      <c r="F204" s="74">
        <v>0</v>
      </c>
      <c r="G204" s="74">
        <v>0</v>
      </c>
      <c r="H204" s="74">
        <f t="shared" ref="H204" si="29">E204+F204+(IF(G204&lt;101,G204,IF(G204&lt;201,G204/2,IF(G204&lt;=301,G204/3,G204/4))))</f>
        <v>296.82483480000002</v>
      </c>
      <c r="I204" s="80" t="s">
        <v>360</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02" t="s">
        <v>365</v>
      </c>
      <c r="B205" s="103"/>
      <c r="C205" s="103"/>
      <c r="D205" s="103"/>
      <c r="E205" s="103"/>
      <c r="F205" s="103"/>
      <c r="G205" s="103"/>
      <c r="H205" s="104"/>
      <c r="I205" s="1">
        <f>1</f>
        <v>1</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02" t="s">
        <v>350</v>
      </c>
      <c r="B206" s="103"/>
      <c r="C206" s="103"/>
      <c r="D206" s="103"/>
      <c r="E206" s="103"/>
      <c r="F206" s="103"/>
      <c r="G206" s="103"/>
      <c r="H206" s="104"/>
      <c r="I206" s="1">
        <f>4+6+6+2</f>
        <v>18</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91">
        <v>1</v>
      </c>
      <c r="B207" s="91"/>
      <c r="C207" s="52" t="s">
        <v>86</v>
      </c>
      <c r="D207" s="74" t="s">
        <v>344</v>
      </c>
      <c r="E207" s="73">
        <f t="shared" ref="E207:E208" si="30">210.97*(10.764)</f>
        <v>2270.8810799999997</v>
      </c>
      <c r="F207" s="74">
        <f>(3.78*2.1)*10.764</f>
        <v>85.444631999999999</v>
      </c>
      <c r="G207" s="74">
        <v>0</v>
      </c>
      <c r="H207" s="74">
        <f>E207+F207+(IF(G207&lt;101,G207,IF(G207&lt;201,G207/2,IF(G207&lt;=301,G207/3,G207/4))))</f>
        <v>2356.3257119999998</v>
      </c>
      <c r="I207" s="80" t="s">
        <v>360</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x14ac:dyDescent="0.25">
      <c r="A208" s="91">
        <v>2</v>
      </c>
      <c r="B208" s="91"/>
      <c r="C208" s="52" t="s">
        <v>86</v>
      </c>
      <c r="D208" s="74" t="s">
        <v>344</v>
      </c>
      <c r="E208" s="73">
        <f t="shared" si="30"/>
        <v>2270.8810799999997</v>
      </c>
      <c r="F208" s="74">
        <f>(3.78*2.1)*10.764</f>
        <v>85.444631999999999</v>
      </c>
      <c r="G208" s="74">
        <v>0</v>
      </c>
      <c r="H208" s="74">
        <f t="shared" ref="H208" si="31">E208+F208+(IF(G208&lt;101,G208,IF(G208&lt;201,G208/2,IF(G208&lt;=301,G208/3,G208/4))))</f>
        <v>2356.3257119999998</v>
      </c>
      <c r="I208" s="80" t="s">
        <v>360</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x14ac:dyDescent="0.25">
      <c r="A209" s="102" t="s">
        <v>351</v>
      </c>
      <c r="B209" s="103"/>
      <c r="C209" s="103"/>
      <c r="D209" s="103"/>
      <c r="E209" s="103"/>
      <c r="F209" s="103"/>
      <c r="G209" s="103"/>
      <c r="H209" s="104"/>
      <c r="I209" s="1">
        <f>2</f>
        <v>2</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91" t="s">
        <v>342</v>
      </c>
      <c r="B210" s="91"/>
      <c r="C210" s="52" t="s">
        <v>93</v>
      </c>
      <c r="D210" s="92" t="s">
        <v>347</v>
      </c>
      <c r="E210" s="93"/>
      <c r="F210" s="93"/>
      <c r="G210" s="93"/>
      <c r="H210" s="9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91">
        <v>1</v>
      </c>
      <c r="B211" s="91"/>
      <c r="C211" s="52" t="s">
        <v>86</v>
      </c>
      <c r="D211" s="74" t="s">
        <v>346</v>
      </c>
      <c r="E211" s="74">
        <f>(308.65)*(10.764)</f>
        <v>3322.3085999999994</v>
      </c>
      <c r="F211" s="74">
        <f>(7.76*2.1)*10.764</f>
        <v>175.41014399999997</v>
      </c>
      <c r="G211" s="74">
        <v>0</v>
      </c>
      <c r="H211" s="74">
        <f t="shared" ref="H211" si="32">E211+F211+(IF(G211&lt;101,G211,IF(G211&lt;201,G211/2,IF(G211&lt;=301,G211/3,G211/4))))</f>
        <v>3497.7187439999993</v>
      </c>
      <c r="I211" s="80" t="s">
        <v>360</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02" t="s">
        <v>352</v>
      </c>
      <c r="B212" s="103"/>
      <c r="C212" s="103"/>
      <c r="D212" s="103"/>
      <c r="E212" s="103"/>
      <c r="F212" s="103"/>
      <c r="G212" s="103"/>
      <c r="H212" s="104"/>
      <c r="I212" s="1">
        <f>1</f>
        <v>1</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91" t="s">
        <v>342</v>
      </c>
      <c r="B213" s="91"/>
      <c r="C213" s="52" t="s">
        <v>93</v>
      </c>
      <c r="D213" s="92" t="s">
        <v>347</v>
      </c>
      <c r="E213" s="93"/>
      <c r="F213" s="93"/>
      <c r="G213" s="93"/>
      <c r="H213" s="9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91">
        <v>1</v>
      </c>
      <c r="B214" s="91"/>
      <c r="C214" s="52" t="s">
        <v>86</v>
      </c>
      <c r="D214" s="74" t="s">
        <v>346</v>
      </c>
      <c r="E214" s="74">
        <f>(293)*(10.764)</f>
        <v>3153.8519999999999</v>
      </c>
      <c r="F214" s="74">
        <v>0</v>
      </c>
      <c r="G214" s="74">
        <v>0</v>
      </c>
      <c r="H214" s="74">
        <f t="shared" ref="H214" si="33">E214+F214+(IF(G214&lt;101,G214,IF(G214&lt;201,G214/2,IF(G214&lt;=301,G214/3,G214/4))))</f>
        <v>3153.8519999999999</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02" t="s">
        <v>353</v>
      </c>
      <c r="B215" s="103"/>
      <c r="C215" s="103"/>
      <c r="D215" s="103"/>
      <c r="E215" s="103"/>
      <c r="F215" s="103"/>
      <c r="G215" s="103"/>
      <c r="H215" s="104"/>
      <c r="I215" s="1">
        <f>1</f>
        <v>1</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102" t="s">
        <v>355</v>
      </c>
      <c r="B216" s="103"/>
      <c r="C216" s="103"/>
      <c r="D216" s="103"/>
      <c r="E216" s="103"/>
      <c r="F216" s="103"/>
      <c r="G216" s="103"/>
      <c r="H216" s="104"/>
      <c r="I216" s="1">
        <f>1</f>
        <v>1</v>
      </c>
      <c r="J216" s="1"/>
      <c r="K216" s="1">
        <v>93000</v>
      </c>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91">
        <v>1</v>
      </c>
      <c r="B217" s="91"/>
      <c r="C217" s="52" t="s">
        <v>86</v>
      </c>
      <c r="D217" s="74" t="s">
        <v>344</v>
      </c>
      <c r="E217" s="73">
        <f>210.12*(10.764)</f>
        <v>2261.7316799999999</v>
      </c>
      <c r="F217" s="74">
        <v>0</v>
      </c>
      <c r="G217" s="74">
        <v>0</v>
      </c>
      <c r="H217" s="74">
        <f>E217+F217+(IF(G217&lt;101,G217,IF(G217&lt;201,G217/2,IF(G217&lt;=301,G217/3,G217/4))))</f>
        <v>2261.7316799999999</v>
      </c>
      <c r="I217" s="80">
        <f>213900000/H217</f>
        <v>94573.552597538903</v>
      </c>
      <c r="J217" s="1"/>
      <c r="K217" s="1">
        <f>H217*K216</f>
        <v>210341046.23999998</v>
      </c>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x14ac:dyDescent="0.25">
      <c r="A218" s="91">
        <v>2</v>
      </c>
      <c r="B218" s="91"/>
      <c r="C218" s="52" t="s">
        <v>86</v>
      </c>
      <c r="D218" s="74" t="s">
        <v>344</v>
      </c>
      <c r="E218" s="73">
        <f>210.12*(10.764)</f>
        <v>2261.7316799999999</v>
      </c>
      <c r="F218" s="74">
        <v>0</v>
      </c>
      <c r="G218" s="74">
        <v>0</v>
      </c>
      <c r="H218" s="74">
        <f t="shared" ref="H218" si="34">E218+F218+(IF(G218&lt;101,G218,IF(G218&lt;201,G218/2,IF(G218&lt;=301,G218/3,G218/4))))</f>
        <v>2261.7316799999999</v>
      </c>
      <c r="I218" s="80" t="s">
        <v>360</v>
      </c>
      <c r="J218" s="1"/>
      <c r="K218" s="1">
        <f>K216*H218</f>
        <v>210341046.23999998</v>
      </c>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x14ac:dyDescent="0.25">
      <c r="A219" s="102" t="s">
        <v>367</v>
      </c>
      <c r="B219" s="103"/>
      <c r="C219" s="103"/>
      <c r="D219" s="103"/>
      <c r="E219" s="103"/>
      <c r="F219" s="103"/>
      <c r="G219" s="103"/>
      <c r="H219" s="104"/>
      <c r="I219" s="1">
        <f>3+1</f>
        <v>4</v>
      </c>
      <c r="J219" s="1"/>
      <c r="K219" s="1">
        <v>93000</v>
      </c>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91">
        <v>1</v>
      </c>
      <c r="B220" s="91"/>
      <c r="C220" s="52" t="s">
        <v>86</v>
      </c>
      <c r="D220" s="74" t="s">
        <v>344</v>
      </c>
      <c r="E220" s="73">
        <f>229.79*(10.764)</f>
        <v>2473.4595599999998</v>
      </c>
      <c r="F220" s="74">
        <f t="shared" ref="F220:F221" si="35">(3.78*2.1)*10.764</f>
        <v>85.444631999999999</v>
      </c>
      <c r="G220" s="74">
        <v>0</v>
      </c>
      <c r="H220" s="74">
        <f>E220+F220+(IF(G220&lt;101,G220,IF(G220&lt;201,G220/2,IF(G220&lt;=301,G220/3,G220/4))))</f>
        <v>2558.904192</v>
      </c>
      <c r="I220" s="80">
        <f>213900000/H220</f>
        <v>83590.468399998615</v>
      </c>
      <c r="J220" s="1"/>
      <c r="K220" s="1">
        <f>H220*K219</f>
        <v>237978089.85600001</v>
      </c>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91">
        <v>2</v>
      </c>
      <c r="B221" s="91"/>
      <c r="C221" s="52" t="s">
        <v>86</v>
      </c>
      <c r="D221" s="74" t="s">
        <v>344</v>
      </c>
      <c r="E221" s="73">
        <f>229.79*(10.764)</f>
        <v>2473.4595599999998</v>
      </c>
      <c r="F221" s="74">
        <f t="shared" si="35"/>
        <v>85.444631999999999</v>
      </c>
      <c r="G221" s="74">
        <v>0</v>
      </c>
      <c r="H221" s="74">
        <f t="shared" ref="H221" si="36">E221+F221+(IF(G221&lt;101,G221,IF(G221&lt;201,G221/2,IF(G221&lt;=301,G221/3,G221/4))))</f>
        <v>2558.904192</v>
      </c>
      <c r="I221" s="80" t="s">
        <v>360</v>
      </c>
      <c r="J221" s="1"/>
      <c r="K221" s="1">
        <f>K219*H221</f>
        <v>237978089.85600001</v>
      </c>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x14ac:dyDescent="0.25">
      <c r="A222" s="102" t="s">
        <v>368</v>
      </c>
      <c r="B222" s="103"/>
      <c r="C222" s="103"/>
      <c r="D222" s="103"/>
      <c r="E222" s="103"/>
      <c r="F222" s="103"/>
      <c r="G222" s="103"/>
      <c r="H222" s="104"/>
      <c r="I222" s="1">
        <f>1</f>
        <v>1</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x14ac:dyDescent="0.25">
      <c r="A223" s="91" t="s">
        <v>342</v>
      </c>
      <c r="B223" s="91"/>
      <c r="C223" s="74" t="s">
        <v>366</v>
      </c>
      <c r="D223" s="92" t="s">
        <v>347</v>
      </c>
      <c r="E223" s="93"/>
      <c r="F223" s="93"/>
      <c r="G223" s="93"/>
      <c r="H223" s="9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x14ac:dyDescent="0.25">
      <c r="A224" s="91">
        <v>1</v>
      </c>
      <c r="B224" s="91"/>
      <c r="C224" s="52" t="s">
        <v>86</v>
      </c>
      <c r="D224" s="84" t="s">
        <v>346</v>
      </c>
      <c r="E224" s="74">
        <f>(314.4)*(10.764)</f>
        <v>3384.2015999999994</v>
      </c>
      <c r="F224" s="73">
        <f>(7.76*2.1)*(10.764)</f>
        <v>175.41014399999997</v>
      </c>
      <c r="G224" s="74">
        <v>0</v>
      </c>
      <c r="H224" s="74">
        <f t="shared" ref="H224" si="37">E224+F224+(IF(G224&lt;101,G224,IF(G224&lt;201,G224/2,IF(G224&lt;=301,G224/3,G224/4))))</f>
        <v>3559.6117439999994</v>
      </c>
      <c r="I224" s="80">
        <f>284400000/H224</f>
        <v>79896.353999668136</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8" ht="20.25" x14ac:dyDescent="0.25">
      <c r="A225" s="132" t="s">
        <v>67</v>
      </c>
      <c r="B225" s="132"/>
      <c r="C225" s="132"/>
      <c r="D225" s="132"/>
      <c r="E225" s="132"/>
      <c r="F225" s="132"/>
      <c r="G225" s="132"/>
      <c r="H225" s="132"/>
    </row>
    <row r="226" spans="1:8" ht="20.25" x14ac:dyDescent="0.25">
      <c r="A226" s="82" t="s">
        <v>229</v>
      </c>
      <c r="B226" s="129" t="s">
        <v>393</v>
      </c>
      <c r="C226" s="130"/>
      <c r="D226" s="130"/>
      <c r="E226" s="130"/>
      <c r="F226" s="130"/>
      <c r="G226" s="130"/>
      <c r="H226" s="131"/>
    </row>
    <row r="227" spans="1:8" ht="20.25" x14ac:dyDescent="0.25">
      <c r="A227" s="2" t="s">
        <v>229</v>
      </c>
      <c r="B227" s="129" t="s">
        <v>230</v>
      </c>
      <c r="C227" s="130"/>
      <c r="D227" s="130"/>
      <c r="E227" s="130"/>
      <c r="F227" s="130"/>
      <c r="G227" s="130"/>
      <c r="H227" s="131"/>
    </row>
    <row r="228" spans="1:8" ht="20.25" x14ac:dyDescent="0.25">
      <c r="A228" s="2" t="s">
        <v>229</v>
      </c>
      <c r="B228" s="129" t="s">
        <v>371</v>
      </c>
      <c r="C228" s="130"/>
      <c r="D228" s="130"/>
      <c r="E228" s="130"/>
      <c r="F228" s="130"/>
      <c r="G228" s="130"/>
      <c r="H228" s="131"/>
    </row>
    <row r="229" spans="1:8" ht="20.25" x14ac:dyDescent="0.25">
      <c r="A229" s="2" t="s">
        <v>229</v>
      </c>
      <c r="B229" s="129" t="s">
        <v>231</v>
      </c>
      <c r="C229" s="130"/>
      <c r="D229" s="130"/>
      <c r="E229" s="130"/>
      <c r="F229" s="130"/>
      <c r="G229" s="130"/>
      <c r="H229" s="131"/>
    </row>
    <row r="230" spans="1:8" ht="20.25" x14ac:dyDescent="0.25">
      <c r="A230" s="2" t="s">
        <v>229</v>
      </c>
      <c r="B230" s="129" t="s">
        <v>232</v>
      </c>
      <c r="C230" s="130"/>
      <c r="D230" s="130"/>
      <c r="E230" s="130"/>
      <c r="F230" s="130"/>
      <c r="G230" s="130"/>
      <c r="H230" s="131"/>
    </row>
    <row r="231" spans="1:8" ht="44.25" customHeight="1" x14ac:dyDescent="0.25">
      <c r="A231" s="82" t="s">
        <v>229</v>
      </c>
      <c r="B231" s="129" t="s">
        <v>410</v>
      </c>
      <c r="C231" s="130"/>
      <c r="D231" s="130"/>
      <c r="E231" s="130"/>
      <c r="F231" s="130"/>
      <c r="G231" s="130"/>
      <c r="H231" s="131"/>
    </row>
    <row r="232" spans="1:8" ht="20.25" x14ac:dyDescent="0.25">
      <c r="A232" s="82" t="s">
        <v>229</v>
      </c>
      <c r="B232" s="129" t="s">
        <v>405</v>
      </c>
      <c r="C232" s="130"/>
      <c r="D232" s="130"/>
      <c r="E232" s="130"/>
      <c r="F232" s="130"/>
      <c r="G232" s="130"/>
      <c r="H232" s="131"/>
    </row>
    <row r="233" spans="1:8" ht="20.25" x14ac:dyDescent="0.25">
      <c r="A233" s="82" t="s">
        <v>229</v>
      </c>
      <c r="B233" s="129" t="s">
        <v>401</v>
      </c>
      <c r="C233" s="130"/>
      <c r="D233" s="130"/>
      <c r="E233" s="130"/>
      <c r="F233" s="130"/>
      <c r="G233" s="130"/>
      <c r="H233" s="131"/>
    </row>
    <row r="234" spans="1:8" ht="20.25" x14ac:dyDescent="0.25">
      <c r="A234" s="2" t="s">
        <v>229</v>
      </c>
      <c r="B234" s="129" t="s">
        <v>402</v>
      </c>
      <c r="C234" s="130"/>
      <c r="D234" s="130"/>
      <c r="E234" s="130"/>
      <c r="F234" s="130"/>
      <c r="G234" s="130"/>
      <c r="H234" s="131"/>
    </row>
    <row r="235" spans="1:8" ht="24.75" hidden="1" customHeight="1" x14ac:dyDescent="0.25">
      <c r="A235" s="82" t="s">
        <v>229</v>
      </c>
      <c r="B235" s="129" t="s">
        <v>397</v>
      </c>
      <c r="C235" s="130"/>
      <c r="D235" s="130"/>
      <c r="E235" s="130"/>
      <c r="F235" s="130"/>
      <c r="G235" s="130"/>
      <c r="H235" s="131"/>
    </row>
    <row r="236" spans="1:8" ht="20.25" x14ac:dyDescent="0.25">
      <c r="A236" s="151" t="s">
        <v>73</v>
      </c>
      <c r="B236" s="151"/>
      <c r="C236" s="151"/>
      <c r="D236" s="151"/>
      <c r="E236" s="151"/>
      <c r="F236" s="151"/>
      <c r="G236" s="151"/>
      <c r="H236" s="151"/>
    </row>
    <row r="237" spans="1:8" ht="20.25" x14ac:dyDescent="0.25">
      <c r="A237" s="142" t="s">
        <v>68</v>
      </c>
      <c r="B237" s="142"/>
      <c r="C237" s="142"/>
      <c r="D237" s="129" t="str">
        <f>C3</f>
        <v>Prestige Ocean Towers - North &amp; South</v>
      </c>
      <c r="E237" s="130"/>
      <c r="F237" s="130"/>
      <c r="G237" s="130"/>
      <c r="H237" s="131"/>
    </row>
    <row r="238" spans="1:8" ht="40.5" customHeight="1" x14ac:dyDescent="0.25">
      <c r="A238" s="142" t="s">
        <v>102</v>
      </c>
      <c r="B238" s="142"/>
      <c r="C238" s="142"/>
      <c r="D238" s="129" t="str">
        <f>C9</f>
        <v>Prestige Ocean Towers - North &amp; South, Plot No 2193, Charni Road, Girgaon, Mumbai South, Maharashtra, 400004.</v>
      </c>
      <c r="E238" s="130"/>
      <c r="F238" s="130"/>
      <c r="G238" s="130"/>
      <c r="H238" s="131"/>
    </row>
    <row r="239" spans="1:8" ht="20.25" customHeight="1" x14ac:dyDescent="0.25">
      <c r="A239" s="157" t="s">
        <v>108</v>
      </c>
      <c r="B239" s="157"/>
      <c r="C239" s="157"/>
      <c r="D239" s="129" t="str">
        <f>G3</f>
        <v xml:space="preserve">01/10/2025 at 02:52PM </v>
      </c>
      <c r="E239" s="130"/>
      <c r="F239" s="130"/>
      <c r="G239" s="130"/>
      <c r="H239" s="131"/>
    </row>
    <row r="240" spans="1:8" ht="20.25" x14ac:dyDescent="0.25">
      <c r="A240" s="10"/>
      <c r="B240" s="11"/>
      <c r="C240" s="11"/>
      <c r="D240" s="11"/>
      <c r="E240" s="11"/>
      <c r="F240" s="11"/>
      <c r="G240" s="11"/>
      <c r="H240" s="7"/>
    </row>
    <row r="241" spans="1:9" ht="20.25" x14ac:dyDescent="0.25">
      <c r="A241" s="12"/>
      <c r="B241" s="13"/>
      <c r="C241" s="13"/>
      <c r="D241" s="13"/>
      <c r="E241" s="13"/>
      <c r="F241" s="13"/>
      <c r="G241" s="13"/>
      <c r="H241" s="8"/>
    </row>
    <row r="242" spans="1:9" ht="20.25" x14ac:dyDescent="0.25">
      <c r="A242" s="12"/>
      <c r="B242" s="13"/>
      <c r="C242" s="13"/>
      <c r="D242" s="13"/>
      <c r="E242" s="13"/>
      <c r="F242" s="13"/>
      <c r="G242" s="13"/>
      <c r="H242" s="8"/>
    </row>
    <row r="243" spans="1:9" ht="20.25" x14ac:dyDescent="0.25">
      <c r="A243" s="12"/>
      <c r="B243" s="13"/>
      <c r="C243" s="13"/>
      <c r="D243" s="13"/>
      <c r="E243" s="13"/>
      <c r="F243" s="13"/>
      <c r="G243" s="13"/>
      <c r="H243" s="8"/>
    </row>
    <row r="244" spans="1:9" ht="20.25" x14ac:dyDescent="0.25">
      <c r="A244" s="12"/>
      <c r="B244" s="13"/>
      <c r="C244" s="13"/>
      <c r="D244" s="13"/>
      <c r="E244" s="13"/>
      <c r="F244" s="13"/>
      <c r="G244" s="13"/>
      <c r="H244" s="8"/>
    </row>
    <row r="245" spans="1:9" ht="20.25" x14ac:dyDescent="0.25">
      <c r="A245" s="12"/>
      <c r="B245" s="13"/>
      <c r="C245" s="13"/>
      <c r="D245" s="13"/>
      <c r="E245" s="13"/>
      <c r="F245" s="13"/>
      <c r="G245" s="13"/>
      <c r="H245" s="8"/>
    </row>
    <row r="246" spans="1:9" ht="20.25" x14ac:dyDescent="0.25">
      <c r="A246" s="12"/>
      <c r="B246" s="13"/>
      <c r="C246" s="13"/>
      <c r="D246" s="13"/>
      <c r="E246" s="13"/>
      <c r="F246" s="13"/>
      <c r="G246" s="13"/>
      <c r="H246" s="8"/>
    </row>
    <row r="247" spans="1:9" ht="20.25" x14ac:dyDescent="0.25">
      <c r="A247" s="12"/>
      <c r="B247" s="13"/>
      <c r="C247" s="13"/>
      <c r="D247" s="13"/>
      <c r="E247" s="13"/>
      <c r="F247" s="13"/>
      <c r="G247" s="13"/>
      <c r="H247" s="8"/>
    </row>
    <row r="248" spans="1:9" ht="20.25" x14ac:dyDescent="0.25">
      <c r="A248" s="12"/>
      <c r="B248" s="13"/>
      <c r="C248" s="13"/>
      <c r="D248" s="13"/>
      <c r="E248" s="13"/>
      <c r="F248" s="13"/>
      <c r="G248" s="13"/>
      <c r="H248" s="8"/>
      <c r="I248"/>
    </row>
    <row r="249" spans="1:9" ht="20.25" x14ac:dyDescent="0.25">
      <c r="A249" s="12"/>
      <c r="B249" s="13"/>
      <c r="C249" s="13"/>
      <c r="D249" s="13"/>
      <c r="E249" s="13"/>
      <c r="F249" s="13"/>
      <c r="G249" s="13"/>
      <c r="H249" s="8"/>
    </row>
    <row r="250" spans="1:9" ht="20.25" x14ac:dyDescent="0.25">
      <c r="A250" s="12"/>
      <c r="B250" s="13"/>
      <c r="C250" s="13"/>
      <c r="D250" s="13"/>
      <c r="E250" s="13"/>
      <c r="F250" s="13"/>
      <c r="G250" s="13"/>
      <c r="H250" s="8"/>
    </row>
    <row r="251" spans="1:9" ht="20.25" x14ac:dyDescent="0.25">
      <c r="A251" s="12"/>
      <c r="B251" s="13"/>
      <c r="C251" s="13"/>
      <c r="D251" s="13"/>
      <c r="E251" s="13"/>
      <c r="F251" s="13"/>
      <c r="G251" s="13"/>
      <c r="H251" s="8"/>
    </row>
    <row r="252" spans="1:9" ht="20.25" x14ac:dyDescent="0.25">
      <c r="A252" s="12"/>
      <c r="B252" s="13"/>
      <c r="C252" s="13"/>
      <c r="D252" s="13"/>
      <c r="E252" s="13"/>
      <c r="F252" s="13"/>
      <c r="G252" s="13"/>
      <c r="H252" s="8"/>
    </row>
    <row r="253" spans="1:9" ht="20.25" x14ac:dyDescent="0.25">
      <c r="A253" s="12"/>
      <c r="B253" s="13"/>
      <c r="C253" s="13"/>
      <c r="D253" s="13"/>
      <c r="E253" s="13"/>
      <c r="F253" s="13"/>
      <c r="G253" s="13"/>
      <c r="H253" s="8"/>
    </row>
    <row r="254" spans="1:9" ht="20.25" x14ac:dyDescent="0.25">
      <c r="A254" s="12"/>
      <c r="B254" s="13"/>
      <c r="C254" s="13"/>
      <c r="D254" s="13"/>
      <c r="E254" s="13"/>
      <c r="F254" s="13"/>
      <c r="G254" s="13"/>
      <c r="H254" s="8"/>
    </row>
    <row r="255" spans="1:9" ht="20.25" x14ac:dyDescent="0.25">
      <c r="A255" s="12"/>
      <c r="B255" s="13"/>
      <c r="C255" s="13"/>
      <c r="D255" s="13"/>
      <c r="E255" s="13"/>
      <c r="F255" s="13"/>
      <c r="G255" s="13"/>
      <c r="H255" s="8"/>
    </row>
    <row r="256" spans="1:9"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4"/>
      <c r="B283" s="15"/>
      <c r="C283" s="15"/>
      <c r="D283" s="15"/>
      <c r="E283" s="15"/>
      <c r="F283" s="15"/>
      <c r="G283" s="15"/>
      <c r="H283" s="9"/>
    </row>
    <row r="284" spans="1:8" ht="20.25" x14ac:dyDescent="0.25">
      <c r="A284" s="132" t="s">
        <v>156</v>
      </c>
      <c r="B284" s="132"/>
      <c r="C284" s="132"/>
      <c r="D284" s="132"/>
      <c r="E284" s="132"/>
      <c r="F284" s="132"/>
      <c r="G284" s="132"/>
      <c r="H284" s="132"/>
    </row>
    <row r="285" spans="1:8" ht="20.25" x14ac:dyDescent="0.25">
      <c r="A285" s="10"/>
      <c r="B285" s="11"/>
      <c r="C285" s="11"/>
      <c r="D285" s="11"/>
      <c r="E285" s="11"/>
      <c r="F285" s="11"/>
      <c r="G285" s="11"/>
      <c r="H285" s="7"/>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2"/>
      <c r="B307" s="13"/>
      <c r="C307" s="13"/>
      <c r="D307" s="13"/>
      <c r="E307" s="13"/>
      <c r="F307" s="13"/>
      <c r="G307" s="13"/>
      <c r="H307" s="8"/>
    </row>
    <row r="308" spans="1:8" ht="20.25" x14ac:dyDescent="0.25">
      <c r="A308" s="12"/>
      <c r="B308" s="13"/>
      <c r="C308" s="13"/>
      <c r="D308" s="13"/>
      <c r="E308" s="13"/>
      <c r="F308" s="13"/>
      <c r="G308" s="13"/>
      <c r="H308" s="8"/>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4"/>
      <c r="B333" s="15"/>
      <c r="C333" s="15"/>
      <c r="D333" s="15"/>
      <c r="E333" s="15"/>
      <c r="F333" s="15"/>
      <c r="G333" s="15"/>
      <c r="H333" s="9"/>
    </row>
    <row r="334" spans="1:8" ht="20.25" x14ac:dyDescent="0.25">
      <c r="A334" s="145" t="s">
        <v>74</v>
      </c>
      <c r="B334" s="146"/>
      <c r="C334" s="146"/>
      <c r="D334" s="146"/>
      <c r="E334" s="146"/>
      <c r="F334" s="146"/>
      <c r="G334" s="146"/>
      <c r="H334" s="147"/>
    </row>
    <row r="335" spans="1:8" ht="20.25" x14ac:dyDescent="0.25">
      <c r="A335" s="10"/>
      <c r="B335" s="11"/>
      <c r="C335" s="11"/>
      <c r="D335" s="11"/>
      <c r="E335" s="11"/>
      <c r="F335" s="11"/>
      <c r="G335" s="11"/>
      <c r="H335" s="7"/>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
      <c r="B340" s="13"/>
      <c r="C340" s="13"/>
      <c r="D340" s="13"/>
      <c r="E340" s="13"/>
      <c r="F340" s="13"/>
      <c r="G340" s="13"/>
      <c r="H340" s="8"/>
    </row>
    <row r="341" spans="1:8" ht="20.25" x14ac:dyDescent="0.25">
      <c r="A341" s="12"/>
      <c r="B341" s="13"/>
      <c r="C341" s="13"/>
      <c r="D341" s="13"/>
      <c r="E341" s="13"/>
      <c r="F341" s="13"/>
      <c r="G341" s="13"/>
      <c r="H341" s="8"/>
    </row>
    <row r="342" spans="1:8" ht="20.25" x14ac:dyDescent="0.25">
      <c r="A342" s="12"/>
      <c r="B342" s="13"/>
      <c r="C342" s="13"/>
      <c r="D342" s="13"/>
      <c r="E342" s="13"/>
      <c r="F342" s="13"/>
      <c r="G342" s="13"/>
      <c r="H342" s="8"/>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32" t="s">
        <v>24</v>
      </c>
      <c r="B365" s="132"/>
      <c r="C365" s="132"/>
      <c r="D365" s="132"/>
      <c r="E365" s="132"/>
      <c r="F365" s="132"/>
      <c r="G365" s="132"/>
      <c r="H365" s="132"/>
    </row>
    <row r="366" spans="1:8" ht="20.25" x14ac:dyDescent="0.25">
      <c r="A366" s="125" t="s">
        <v>75</v>
      </c>
      <c r="B366" s="152"/>
      <c r="C366" s="152"/>
      <c r="D366" s="152"/>
      <c r="E366" s="152"/>
      <c r="F366" s="152"/>
      <c r="G366" s="152"/>
      <c r="H366" s="126"/>
    </row>
    <row r="367" spans="1:8" ht="20.25" x14ac:dyDescent="0.25">
      <c r="A367" s="153" t="s">
        <v>76</v>
      </c>
      <c r="B367" s="154"/>
      <c r="C367" s="154"/>
      <c r="D367" s="154"/>
      <c r="E367" s="154"/>
      <c r="F367" s="154"/>
      <c r="G367" s="154"/>
      <c r="H367" s="155"/>
    </row>
    <row r="368" spans="1:8" ht="45" customHeight="1" x14ac:dyDescent="0.25">
      <c r="A368" s="153" t="s">
        <v>77</v>
      </c>
      <c r="B368" s="154"/>
      <c r="C368" s="154"/>
      <c r="D368" s="154"/>
      <c r="E368" s="154"/>
      <c r="F368" s="154"/>
      <c r="G368" s="154"/>
      <c r="H368" s="155"/>
    </row>
    <row r="369" spans="1:8" ht="42.75" customHeight="1" x14ac:dyDescent="0.25">
      <c r="A369" s="153" t="s">
        <v>78</v>
      </c>
      <c r="B369" s="154"/>
      <c r="C369" s="154"/>
      <c r="D369" s="154"/>
      <c r="E369" s="154"/>
      <c r="F369" s="154"/>
      <c r="G369" s="154"/>
      <c r="H369" s="155"/>
    </row>
    <row r="370" spans="1:8" ht="20.25" x14ac:dyDescent="0.25">
      <c r="A370" s="153" t="s">
        <v>79</v>
      </c>
      <c r="B370" s="154"/>
      <c r="C370" s="154"/>
      <c r="D370" s="154"/>
      <c r="E370" s="154"/>
      <c r="F370" s="154"/>
      <c r="G370" s="154"/>
      <c r="H370" s="155"/>
    </row>
    <row r="371" spans="1:8" ht="20.25" x14ac:dyDescent="0.25">
      <c r="A371" s="153" t="s">
        <v>80</v>
      </c>
      <c r="B371" s="154"/>
      <c r="C371" s="154"/>
      <c r="D371" s="154"/>
      <c r="E371" s="154"/>
      <c r="F371" s="154"/>
      <c r="G371" s="154"/>
      <c r="H371" s="155"/>
    </row>
    <row r="372" spans="1:8" ht="45" customHeight="1" x14ac:dyDescent="0.25">
      <c r="A372" s="153" t="s">
        <v>81</v>
      </c>
      <c r="B372" s="154"/>
      <c r="C372" s="154"/>
      <c r="D372" s="154"/>
      <c r="E372" s="154"/>
      <c r="F372" s="154"/>
      <c r="G372" s="154"/>
      <c r="H372" s="155"/>
    </row>
    <row r="373" spans="1:8" ht="45" customHeight="1" x14ac:dyDescent="0.25">
      <c r="A373" s="153" t="s">
        <v>82</v>
      </c>
      <c r="B373" s="154"/>
      <c r="C373" s="154"/>
      <c r="D373" s="154"/>
      <c r="E373" s="154"/>
      <c r="F373" s="154"/>
      <c r="G373" s="154"/>
      <c r="H373" s="155"/>
    </row>
    <row r="374" spans="1:8" ht="20.25" x14ac:dyDescent="0.25">
      <c r="A374" s="127" t="s">
        <v>83</v>
      </c>
      <c r="B374" s="156"/>
      <c r="C374" s="156"/>
      <c r="D374" s="156"/>
      <c r="E374" s="156"/>
      <c r="F374" s="156"/>
      <c r="G374" s="156"/>
      <c r="H374" s="128"/>
    </row>
    <row r="375" spans="1:8" ht="77.25" customHeight="1" x14ac:dyDescent="0.25">
      <c r="A375" s="158" t="s">
        <v>30</v>
      </c>
      <c r="B375" s="159"/>
      <c r="C375" s="160" t="s">
        <v>372</v>
      </c>
      <c r="D375" s="161"/>
      <c r="E375" s="158" t="s">
        <v>9</v>
      </c>
      <c r="F375" s="159"/>
      <c r="G375" s="150"/>
      <c r="H375" s="150"/>
    </row>
  </sheetData>
  <mergeCells count="416">
    <mergeCell ref="A97:B97"/>
    <mergeCell ref="A74:B74"/>
    <mergeCell ref="A75:B75"/>
    <mergeCell ref="A76:B76"/>
    <mergeCell ref="A81:B81"/>
    <mergeCell ref="E81:F81"/>
    <mergeCell ref="A82:B82"/>
    <mergeCell ref="A94:F94"/>
    <mergeCell ref="B233:H233"/>
    <mergeCell ref="B232:H232"/>
    <mergeCell ref="B228:H228"/>
    <mergeCell ref="A145:B145"/>
    <mergeCell ref="A128:H128"/>
    <mergeCell ref="G98:H98"/>
    <mergeCell ref="G102:H102"/>
    <mergeCell ref="A99:H99"/>
    <mergeCell ref="A129:B129"/>
    <mergeCell ref="A102:F102"/>
    <mergeCell ref="A127:B127"/>
    <mergeCell ref="A130:B130"/>
    <mergeCell ref="A136:B136"/>
    <mergeCell ref="A116:H116"/>
    <mergeCell ref="A108:H108"/>
    <mergeCell ref="C111:D111"/>
    <mergeCell ref="A15:B16"/>
    <mergeCell ref="E15:F16"/>
    <mergeCell ref="G15:H16"/>
    <mergeCell ref="A113:B113"/>
    <mergeCell ref="C113:D113"/>
    <mergeCell ref="E113:F113"/>
    <mergeCell ref="G113:H113"/>
    <mergeCell ref="B231:H231"/>
    <mergeCell ref="C189:H191"/>
    <mergeCell ref="C58:F58"/>
    <mergeCell ref="A57:B58"/>
    <mergeCell ref="A96:B96"/>
    <mergeCell ref="C96:D96"/>
    <mergeCell ref="C97:D97"/>
    <mergeCell ref="C98:D98"/>
    <mergeCell ref="E98:F98"/>
    <mergeCell ref="A100:F100"/>
    <mergeCell ref="A101:F101"/>
    <mergeCell ref="A44:B44"/>
    <mergeCell ref="A43:B43"/>
    <mergeCell ref="C43:E43"/>
    <mergeCell ref="F43:H43"/>
    <mergeCell ref="C44:H44"/>
    <mergeCell ref="E35:F35"/>
    <mergeCell ref="J39:K39"/>
    <mergeCell ref="M39:N39"/>
    <mergeCell ref="C39:E39"/>
    <mergeCell ref="F39:H39"/>
    <mergeCell ref="C40:E40"/>
    <mergeCell ref="F40:H40"/>
    <mergeCell ref="F41:H41"/>
    <mergeCell ref="C41:E41"/>
    <mergeCell ref="A42:B42"/>
    <mergeCell ref="C42:E42"/>
    <mergeCell ref="F42:H42"/>
    <mergeCell ref="A40:B40"/>
    <mergeCell ref="A41:B41"/>
    <mergeCell ref="A39:B39"/>
    <mergeCell ref="E36:F36"/>
    <mergeCell ref="E37:F37"/>
    <mergeCell ref="A35:B35"/>
    <mergeCell ref="A36:B36"/>
    <mergeCell ref="A37:B37"/>
    <mergeCell ref="C35:D35"/>
    <mergeCell ref="C36:D36"/>
    <mergeCell ref="C37:D37"/>
    <mergeCell ref="G35:H35"/>
    <mergeCell ref="A20:B20"/>
    <mergeCell ref="A21:B21"/>
    <mergeCell ref="A22:B22"/>
    <mergeCell ref="A23:B23"/>
    <mergeCell ref="A32:B32"/>
    <mergeCell ref="A33:B33"/>
    <mergeCell ref="E27:F27"/>
    <mergeCell ref="E28:F28"/>
    <mergeCell ref="E29:F29"/>
    <mergeCell ref="E30:F30"/>
    <mergeCell ref="E31:F31"/>
    <mergeCell ref="E32:F32"/>
    <mergeCell ref="C29:D29"/>
    <mergeCell ref="C30:D30"/>
    <mergeCell ref="C31:D31"/>
    <mergeCell ref="C32:D32"/>
    <mergeCell ref="C33:H33"/>
    <mergeCell ref="A29:B29"/>
    <mergeCell ref="A30:B30"/>
    <mergeCell ref="A31:B31"/>
    <mergeCell ref="A27:B27"/>
    <mergeCell ref="A28:B28"/>
    <mergeCell ref="C28:D28"/>
    <mergeCell ref="G30:H30"/>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G2:H2"/>
    <mergeCell ref="G3:H3"/>
    <mergeCell ref="G4:H4"/>
    <mergeCell ref="E14:F14"/>
    <mergeCell ref="E17:F17"/>
    <mergeCell ref="E18:F18"/>
    <mergeCell ref="E19:F19"/>
    <mergeCell ref="E20:F20"/>
    <mergeCell ref="A24:B24"/>
    <mergeCell ref="A25:B25"/>
    <mergeCell ref="E21:F21"/>
    <mergeCell ref="E22:F22"/>
    <mergeCell ref="E23:F23"/>
    <mergeCell ref="C14:D14"/>
    <mergeCell ref="C19:D19"/>
    <mergeCell ref="C20:D20"/>
    <mergeCell ref="C21:D21"/>
    <mergeCell ref="C22:D22"/>
    <mergeCell ref="C23:D23"/>
    <mergeCell ref="C25:H25"/>
    <mergeCell ref="C24:H24"/>
    <mergeCell ref="C17:D17"/>
    <mergeCell ref="C18:D18"/>
    <mergeCell ref="A14:B14"/>
    <mergeCell ref="A17:B17"/>
    <mergeCell ref="A18:B18"/>
    <mergeCell ref="A19:B19"/>
    <mergeCell ref="B235:H235"/>
    <mergeCell ref="A149:B149"/>
    <mergeCell ref="A150:B150"/>
    <mergeCell ref="A155:B155"/>
    <mergeCell ref="A156:B156"/>
    <mergeCell ref="B234:H234"/>
    <mergeCell ref="A225:H225"/>
    <mergeCell ref="E3:F3"/>
    <mergeCell ref="E4:F4"/>
    <mergeCell ref="E82:F93"/>
    <mergeCell ref="G82:H93"/>
    <mergeCell ref="A83:B83"/>
    <mergeCell ref="A84:B84"/>
    <mergeCell ref="A85:B85"/>
    <mergeCell ref="A86:B86"/>
    <mergeCell ref="A87:B87"/>
    <mergeCell ref="A88:B88"/>
    <mergeCell ref="A89:B89"/>
    <mergeCell ref="A90:B90"/>
    <mergeCell ref="A91:B91"/>
    <mergeCell ref="A92:B92"/>
    <mergeCell ref="A93:B93"/>
    <mergeCell ref="A67:B67"/>
    <mergeCell ref="A13:H13"/>
    <mergeCell ref="C375:D375"/>
    <mergeCell ref="G14:H14"/>
    <mergeCell ref="G17:H17"/>
    <mergeCell ref="G18:H18"/>
    <mergeCell ref="G19:H19"/>
    <mergeCell ref="G20:H20"/>
    <mergeCell ref="G47:H47"/>
    <mergeCell ref="G32:H32"/>
    <mergeCell ref="G23:H23"/>
    <mergeCell ref="G37:H37"/>
    <mergeCell ref="G36:H36"/>
    <mergeCell ref="E66:F77"/>
    <mergeCell ref="E107:F107"/>
    <mergeCell ref="C104:D104"/>
    <mergeCell ref="E109:F109"/>
    <mergeCell ref="C107:D107"/>
    <mergeCell ref="A95:H95"/>
    <mergeCell ref="G96:H96"/>
    <mergeCell ref="B227:H227"/>
    <mergeCell ref="B226:H226"/>
    <mergeCell ref="B230:H230"/>
    <mergeCell ref="B229:H229"/>
    <mergeCell ref="A72:B72"/>
    <mergeCell ref="G97:H97"/>
    <mergeCell ref="C27:D27"/>
    <mergeCell ref="G375:H375"/>
    <mergeCell ref="A236:H236"/>
    <mergeCell ref="D238:H238"/>
    <mergeCell ref="A366:H366"/>
    <mergeCell ref="A372:H372"/>
    <mergeCell ref="A373:H373"/>
    <mergeCell ref="A374:H374"/>
    <mergeCell ref="A367:H367"/>
    <mergeCell ref="A368:H368"/>
    <mergeCell ref="A369:H369"/>
    <mergeCell ref="A370:H370"/>
    <mergeCell ref="A238:C238"/>
    <mergeCell ref="A365:H365"/>
    <mergeCell ref="A371:H371"/>
    <mergeCell ref="A334:H334"/>
    <mergeCell ref="D237:H237"/>
    <mergeCell ref="A239:C239"/>
    <mergeCell ref="D239:H239"/>
    <mergeCell ref="A284:H284"/>
    <mergeCell ref="E375:F375"/>
    <mergeCell ref="A375:B375"/>
    <mergeCell ref="E96:F96"/>
    <mergeCell ref="A144:H144"/>
    <mergeCell ref="A1:H1"/>
    <mergeCell ref="A237:C237"/>
    <mergeCell ref="G28:H28"/>
    <mergeCell ref="G29:H29"/>
    <mergeCell ref="A38:H38"/>
    <mergeCell ref="A45:H45"/>
    <mergeCell ref="A49:H49"/>
    <mergeCell ref="G101:H101"/>
    <mergeCell ref="G7:H7"/>
    <mergeCell ref="G48:H48"/>
    <mergeCell ref="G46:H46"/>
    <mergeCell ref="A26:H26"/>
    <mergeCell ref="G27:H27"/>
    <mergeCell ref="G21:H21"/>
    <mergeCell ref="G22:H22"/>
    <mergeCell ref="A9:A11"/>
    <mergeCell ref="G6:H6"/>
    <mergeCell ref="A5:H5"/>
    <mergeCell ref="A34:H34"/>
    <mergeCell ref="G31:H31"/>
    <mergeCell ref="C106:D106"/>
    <mergeCell ref="C109:D109"/>
    <mergeCell ref="A117:H117"/>
    <mergeCell ref="A118:H118"/>
    <mergeCell ref="C112:D112"/>
    <mergeCell ref="E112:F112"/>
    <mergeCell ref="G112:H112"/>
    <mergeCell ref="A114:H114"/>
    <mergeCell ref="E105:F105"/>
    <mergeCell ref="E106:F106"/>
    <mergeCell ref="A105:B105"/>
    <mergeCell ref="C110:D110"/>
    <mergeCell ref="E110:F110"/>
    <mergeCell ref="G110:H110"/>
    <mergeCell ref="A46:B46"/>
    <mergeCell ref="A47:B47"/>
    <mergeCell ref="A48:B48"/>
    <mergeCell ref="D47:F47"/>
    <mergeCell ref="D46:F46"/>
    <mergeCell ref="D48:F48"/>
    <mergeCell ref="C55:F55"/>
    <mergeCell ref="C56:F56"/>
    <mergeCell ref="C57:F57"/>
    <mergeCell ref="A50:B50"/>
    <mergeCell ref="A52:B52"/>
    <mergeCell ref="A55:B55"/>
    <mergeCell ref="A56:B56"/>
    <mergeCell ref="A51:B51"/>
    <mergeCell ref="C50:H50"/>
    <mergeCell ref="C51:F51"/>
    <mergeCell ref="C52:F52"/>
    <mergeCell ref="C54:F54"/>
    <mergeCell ref="C53:F53"/>
    <mergeCell ref="A53:B54"/>
    <mergeCell ref="A59:B60"/>
    <mergeCell ref="C60:H60"/>
    <mergeCell ref="C59:F59"/>
    <mergeCell ref="A78:H78"/>
    <mergeCell ref="A79:C80"/>
    <mergeCell ref="E79:F79"/>
    <mergeCell ref="G66:H77"/>
    <mergeCell ref="A62:H62"/>
    <mergeCell ref="A65:B65"/>
    <mergeCell ref="A66:B66"/>
    <mergeCell ref="E65:F65"/>
    <mergeCell ref="E63:F63"/>
    <mergeCell ref="E64:F64"/>
    <mergeCell ref="A63:C64"/>
    <mergeCell ref="A77:B77"/>
    <mergeCell ref="A68:B68"/>
    <mergeCell ref="A69:B69"/>
    <mergeCell ref="A71:B71"/>
    <mergeCell ref="A70:B70"/>
    <mergeCell ref="A73:B73"/>
    <mergeCell ref="E80:F80"/>
    <mergeCell ref="G94:H94"/>
    <mergeCell ref="A119:H119"/>
    <mergeCell ref="A120:H120"/>
    <mergeCell ref="A121:H121"/>
    <mergeCell ref="A122:H122"/>
    <mergeCell ref="A123:H123"/>
    <mergeCell ref="A106:B106"/>
    <mergeCell ref="C105:D105"/>
    <mergeCell ref="G105:H105"/>
    <mergeCell ref="G104:H104"/>
    <mergeCell ref="G106:H106"/>
    <mergeCell ref="G100:H100"/>
    <mergeCell ref="A109:B109"/>
    <mergeCell ref="G109:H109"/>
    <mergeCell ref="A103:H103"/>
    <mergeCell ref="A104:B104"/>
    <mergeCell ref="E104:F104"/>
    <mergeCell ref="A107:B107"/>
    <mergeCell ref="G107:H107"/>
    <mergeCell ref="A98:B98"/>
    <mergeCell ref="E97:F97"/>
    <mergeCell ref="E111:F111"/>
    <mergeCell ref="G111:H111"/>
    <mergeCell ref="A112:B112"/>
    <mergeCell ref="A124:H124"/>
    <mergeCell ref="D129:H129"/>
    <mergeCell ref="A131:H131"/>
    <mergeCell ref="D132:H132"/>
    <mergeCell ref="A125:H125"/>
    <mergeCell ref="A126:B126"/>
    <mergeCell ref="A134:H134"/>
    <mergeCell ref="A135:H135"/>
    <mergeCell ref="A137:B137"/>
    <mergeCell ref="A138:H138"/>
    <mergeCell ref="A139:B139"/>
    <mergeCell ref="A140:B140"/>
    <mergeCell ref="A141:H141"/>
    <mergeCell ref="A132:B132"/>
    <mergeCell ref="A133:B133"/>
    <mergeCell ref="A142:B142"/>
    <mergeCell ref="D142:H142"/>
    <mergeCell ref="A143:B143"/>
    <mergeCell ref="D145:H145"/>
    <mergeCell ref="A147:H147"/>
    <mergeCell ref="A148:H148"/>
    <mergeCell ref="A151:H151"/>
    <mergeCell ref="A152:B152"/>
    <mergeCell ref="A153:B153"/>
    <mergeCell ref="A146:B146"/>
    <mergeCell ref="A154:H154"/>
    <mergeCell ref="D155:H155"/>
    <mergeCell ref="A157:H157"/>
    <mergeCell ref="A158:H158"/>
    <mergeCell ref="A159:H159"/>
    <mergeCell ref="A160:H160"/>
    <mergeCell ref="A161:H161"/>
    <mergeCell ref="A162:H162"/>
    <mergeCell ref="A163:H163"/>
    <mergeCell ref="A164:H164"/>
    <mergeCell ref="A165:H165"/>
    <mergeCell ref="A166:H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H179"/>
    <mergeCell ref="A180:B180"/>
    <mergeCell ref="A181:B181"/>
    <mergeCell ref="A191:B191"/>
    <mergeCell ref="D180:H180"/>
    <mergeCell ref="A192:H192"/>
    <mergeCell ref="A193:B193"/>
    <mergeCell ref="A194:B194"/>
    <mergeCell ref="A195:B195"/>
    <mergeCell ref="A196:B196"/>
    <mergeCell ref="A197:B197"/>
    <mergeCell ref="A182:B182"/>
    <mergeCell ref="A183:B183"/>
    <mergeCell ref="A184:B184"/>
    <mergeCell ref="A185:B185"/>
    <mergeCell ref="A186:B186"/>
    <mergeCell ref="A187:B187"/>
    <mergeCell ref="A188:B188"/>
    <mergeCell ref="A189:B189"/>
    <mergeCell ref="A190:B190"/>
    <mergeCell ref="A198:B198"/>
    <mergeCell ref="A199:B199"/>
    <mergeCell ref="A200:B200"/>
    <mergeCell ref="A201:B201"/>
    <mergeCell ref="A202:B202"/>
    <mergeCell ref="A203:B203"/>
    <mergeCell ref="A204:B204"/>
    <mergeCell ref="A205:H205"/>
    <mergeCell ref="A206:H206"/>
    <mergeCell ref="A223:B223"/>
    <mergeCell ref="D223:H223"/>
    <mergeCell ref="A224:B224"/>
    <mergeCell ref="A110:B111"/>
    <mergeCell ref="C61:F61"/>
    <mergeCell ref="A61:B61"/>
    <mergeCell ref="A214:B214"/>
    <mergeCell ref="A215:H215"/>
    <mergeCell ref="A216:H216"/>
    <mergeCell ref="A217:B217"/>
    <mergeCell ref="A218:B218"/>
    <mergeCell ref="A219:H219"/>
    <mergeCell ref="A220:B220"/>
    <mergeCell ref="A221:B221"/>
    <mergeCell ref="A222:H222"/>
    <mergeCell ref="A207:B207"/>
    <mergeCell ref="A208:B208"/>
    <mergeCell ref="A209:H209"/>
    <mergeCell ref="A210:B210"/>
    <mergeCell ref="A211:B211"/>
    <mergeCell ref="D210:H210"/>
    <mergeCell ref="A212:H212"/>
    <mergeCell ref="A213:B213"/>
    <mergeCell ref="D213:H213"/>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7:H27">
      <formula1>"Middle,Upper"</formula1>
    </dataValidation>
    <dataValidation type="list" allowBlank="1" showInputMessage="1" showErrorMessage="1" sqref="C98">
      <formula1>"300000,350000,400000,500000,600000,700000,800000,900000,1000000,1200000,1400000,1500000,1600000"</formula1>
    </dataValidation>
    <dataValidation type="list" allowBlank="1" showInputMessage="1" showErrorMessage="1" sqref="F115">
      <formula1>"Deck Area, Fungible area,Balcony Area,Chajja Area,Cornice Area,AP Area,WS Area"</formula1>
    </dataValidation>
    <dataValidation type="list" allowBlank="1" showInputMessage="1" showErrorMessage="1" sqref="C28:D28">
      <formula1>"Bitumen,Concrete"</formula1>
    </dataValidation>
    <dataValidation type="list" allowBlank="1" showInputMessage="1" showErrorMessage="1" sqref="C50:H50 G36:H36">
      <formula1>"Yes,No"</formula1>
    </dataValidation>
    <dataValidation type="list" allowBlank="1" showInputMessage="1" showErrorMessage="1" sqref="C115">
      <formula1>"Sale /         Rehab /           PAP,Sale / Mhada,Sale / Landowner, Sale / AH/RR"</formula1>
    </dataValidation>
  </dataValidations>
  <hyperlinks>
    <hyperlink ref="C24"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235" max="8" man="1"/>
    <brk id="283" max="16383" man="1"/>
    <brk id="33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2" t="s">
        <v>66</v>
      </c>
      <c r="B3" s="132"/>
      <c r="C3" s="132"/>
      <c r="D3" s="132"/>
      <c r="E3" s="132"/>
      <c r="F3" s="132"/>
      <c r="G3" s="132"/>
      <c r="H3" s="132"/>
      <c r="I3" s="132"/>
    </row>
    <row r="4" spans="1:11" s="1" customFormat="1" ht="20.25" customHeight="1" x14ac:dyDescent="0.3">
      <c r="A4" s="209">
        <v>1</v>
      </c>
      <c r="B4" s="209"/>
      <c r="C4" s="209"/>
      <c r="D4" s="210" t="s">
        <v>4</v>
      </c>
      <c r="E4" s="30" t="s">
        <v>113</v>
      </c>
      <c r="F4" s="134" t="s">
        <v>100</v>
      </c>
      <c r="G4" s="134"/>
      <c r="H4" s="30" t="s">
        <v>114</v>
      </c>
      <c r="I4" s="30" t="s">
        <v>115</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09"/>
      <c r="B5" s="209"/>
      <c r="C5" s="209"/>
      <c r="D5" s="210"/>
      <c r="E5" s="30">
        <v>3</v>
      </c>
      <c r="F5" s="134">
        <v>1</v>
      </c>
      <c r="G5" s="134"/>
      <c r="H5" s="30">
        <v>0</v>
      </c>
      <c r="I5" s="30">
        <f ca="1">--TRIM(RIGHT(SUBSTITUTE(LEFT(A4,_xlfn.AGGREGATE(16,6,FIND({0,1,2,3,4,5,6,7,8,9},A4,ROW(INDIRECT("1:"&amp;LEN(A4)))),1))," ",REPT(" ",LEN(A4))),LEN(A4)))</f>
        <v>1</v>
      </c>
      <c r="J5" s="17" t="s">
        <v>119</v>
      </c>
      <c r="K5" s="18"/>
    </row>
    <row r="6" spans="1:11" s="1" customFormat="1" ht="20.25" customHeight="1" x14ac:dyDescent="0.3">
      <c r="A6" s="136" t="s">
        <v>117</v>
      </c>
      <c r="B6" s="136"/>
      <c r="C6" s="136" t="s">
        <v>127</v>
      </c>
      <c r="D6" s="136"/>
      <c r="E6" s="28" t="s">
        <v>128</v>
      </c>
      <c r="F6" s="136" t="s">
        <v>118</v>
      </c>
      <c r="G6" s="136"/>
      <c r="H6" s="29" t="s">
        <v>116</v>
      </c>
      <c r="I6" s="29"/>
      <c r="J6" s="20" t="s">
        <v>129</v>
      </c>
      <c r="K6" s="19">
        <f ca="1">I5*25%</f>
        <v>0.25</v>
      </c>
    </row>
    <row r="7" spans="1:11" s="1" customFormat="1" ht="20.25" customHeight="1" x14ac:dyDescent="0.3">
      <c r="A7" s="135" t="s">
        <v>130</v>
      </c>
      <c r="B7" s="135"/>
      <c r="C7" s="134">
        <f ca="1">K8</f>
        <v>1</v>
      </c>
      <c r="D7" s="134"/>
      <c r="E7" s="5">
        <f ca="1">((100/I5)*C7)/100</f>
        <v>1</v>
      </c>
      <c r="F7" s="135">
        <f ca="1">(((C7/I5*5)+(C8/I5*20)+(25/(F5+H5+I5)*C9)+(5/(I5)*C10)+(2.5/(I5)*C11)+(2.5/(I5)*C12)+(5/I5*C13)+(10/I5*C14)+(2.5/I5*C15)+(2.5/I5*C16)+(10/I5*C17)+(10/I5*C18))/100)</f>
        <v>0.25</v>
      </c>
      <c r="G7" s="135"/>
      <c r="H7" s="135" t="str">
        <f ca="1">J4</f>
        <v>Excavation work Completed. Plinth work completed</v>
      </c>
      <c r="I7" s="135"/>
      <c r="J7" s="20" t="s">
        <v>120</v>
      </c>
      <c r="K7" s="24">
        <f ca="1">I5*50%</f>
        <v>0.5</v>
      </c>
    </row>
    <row r="8" spans="1:11" s="1" customFormat="1" ht="20.25" x14ac:dyDescent="0.3">
      <c r="A8" s="135" t="s">
        <v>101</v>
      </c>
      <c r="B8" s="135"/>
      <c r="C8" s="208">
        <f ca="1">K16</f>
        <v>1</v>
      </c>
      <c r="D8" s="134"/>
      <c r="E8" s="5">
        <f ca="1">((100/I5)*C8)/100</f>
        <v>1</v>
      </c>
      <c r="F8" s="135"/>
      <c r="G8" s="135"/>
      <c r="H8" s="135"/>
      <c r="I8" s="135"/>
      <c r="J8" s="20" t="s">
        <v>121</v>
      </c>
      <c r="K8" s="24">
        <f ca="1">I5</f>
        <v>1</v>
      </c>
    </row>
    <row r="9" spans="1:11" s="1" customFormat="1" ht="21" customHeight="1" x14ac:dyDescent="0.35">
      <c r="A9" s="135" t="s">
        <v>131</v>
      </c>
      <c r="B9" s="135"/>
      <c r="C9" s="134">
        <v>0</v>
      </c>
      <c r="D9" s="134"/>
      <c r="E9" s="5">
        <f ca="1">((100/(F5+H5+I5))*C9)/100</f>
        <v>0</v>
      </c>
      <c r="F9" s="135"/>
      <c r="G9" s="135"/>
      <c r="H9" s="135"/>
      <c r="I9" s="135"/>
      <c r="J9" s="20" t="s">
        <v>122</v>
      </c>
      <c r="K9" s="25">
        <f ca="1">(IF(E5&gt;1,(I5/(E5+2)),I5*0.2))</f>
        <v>0.2</v>
      </c>
    </row>
    <row r="10" spans="1:11" s="1" customFormat="1" ht="21" customHeight="1" x14ac:dyDescent="0.35">
      <c r="A10" s="135" t="s">
        <v>132</v>
      </c>
      <c r="B10" s="135"/>
      <c r="C10" s="134">
        <v>0</v>
      </c>
      <c r="D10" s="134"/>
      <c r="E10" s="5">
        <f ca="1">((100/I5)*C10)/100</f>
        <v>0</v>
      </c>
      <c r="F10" s="135"/>
      <c r="G10" s="135"/>
      <c r="H10" s="135"/>
      <c r="I10" s="135"/>
      <c r="J10" s="20" t="s">
        <v>123</v>
      </c>
      <c r="K10" s="25">
        <f ca="1">(IF(E5&gt;1,(I5/(E5+2)+K9),I5*0.2+K9))</f>
        <v>0.4</v>
      </c>
    </row>
    <row r="11" spans="1:11" s="1" customFormat="1" ht="21" customHeight="1" x14ac:dyDescent="0.35">
      <c r="A11" s="137" t="s">
        <v>133</v>
      </c>
      <c r="B11" s="138"/>
      <c r="C11" s="134">
        <v>0</v>
      </c>
      <c r="D11" s="134"/>
      <c r="E11" s="5">
        <f ca="1">((100/I5)*C11)/100</f>
        <v>0</v>
      </c>
      <c r="F11" s="135"/>
      <c r="G11" s="135"/>
      <c r="H11" s="135"/>
      <c r="I11" s="135"/>
      <c r="J11" s="20" t="s">
        <v>134</v>
      </c>
      <c r="K11" s="25">
        <f ca="1">(IF(E5&gt;1,(I5/(E5+2)+K10),0))</f>
        <v>0.60000000000000009</v>
      </c>
    </row>
    <row r="12" spans="1:11" s="1" customFormat="1" ht="21" customHeight="1" x14ac:dyDescent="0.35">
      <c r="A12" s="137" t="s">
        <v>164</v>
      </c>
      <c r="B12" s="138"/>
      <c r="C12" s="134">
        <v>0</v>
      </c>
      <c r="D12" s="134"/>
      <c r="E12" s="5">
        <f ca="1">((100/I5)*C12)/100</f>
        <v>0</v>
      </c>
      <c r="F12" s="135"/>
      <c r="G12" s="135"/>
      <c r="H12" s="135"/>
      <c r="I12" s="135"/>
      <c r="J12" s="20" t="s">
        <v>135</v>
      </c>
      <c r="K12" s="25">
        <f ca="1">(IF(E5&gt;2,(I5/(E5+2)+K11),0))</f>
        <v>0.8</v>
      </c>
    </row>
    <row r="13" spans="1:11" s="1" customFormat="1" ht="57.75" customHeight="1" x14ac:dyDescent="0.35">
      <c r="A13" s="137" t="s">
        <v>161</v>
      </c>
      <c r="B13" s="138"/>
      <c r="C13" s="134">
        <v>0</v>
      </c>
      <c r="D13" s="134"/>
      <c r="E13" s="5">
        <f ca="1">((100/(I5))*C13)/100</f>
        <v>0</v>
      </c>
      <c r="F13" s="135"/>
      <c r="G13" s="135"/>
      <c r="H13" s="135"/>
      <c r="I13" s="135"/>
      <c r="J13" s="20" t="s">
        <v>137</v>
      </c>
      <c r="K13" s="26">
        <f>(IF(E5&gt;3,(I5/(E5+2)+K12),0))</f>
        <v>0</v>
      </c>
    </row>
    <row r="14" spans="1:11" s="1" customFormat="1" ht="21" x14ac:dyDescent="0.35">
      <c r="A14" s="135" t="s">
        <v>136</v>
      </c>
      <c r="B14" s="135"/>
      <c r="C14" s="134">
        <v>0</v>
      </c>
      <c r="D14" s="134"/>
      <c r="E14" s="5">
        <f ca="1">((100/(I5))*C14)/100</f>
        <v>0</v>
      </c>
      <c r="F14" s="135"/>
      <c r="G14" s="135"/>
      <c r="H14" s="135"/>
      <c r="I14" s="135"/>
      <c r="J14" s="20" t="s">
        <v>138</v>
      </c>
      <c r="K14" s="25">
        <f>(IF(E5&gt;4,(I5/(E5+2)+K13),0))</f>
        <v>0</v>
      </c>
    </row>
    <row r="15" spans="1:11" s="1" customFormat="1" ht="21" customHeight="1" x14ac:dyDescent="0.35">
      <c r="A15" s="135" t="s">
        <v>163</v>
      </c>
      <c r="B15" s="135"/>
      <c r="C15" s="134">
        <v>0</v>
      </c>
      <c r="D15" s="134"/>
      <c r="E15" s="5">
        <f ca="1">((100/I5)*C15)/100</f>
        <v>0</v>
      </c>
      <c r="F15" s="135"/>
      <c r="G15" s="135"/>
      <c r="H15" s="135"/>
      <c r="I15" s="135"/>
      <c r="J15" s="20" t="s">
        <v>124</v>
      </c>
      <c r="K15" s="25">
        <f>(IF(E5=1,(I5/(E5+3)+K10),IF(E5=0,(I5*0.3+K10),IF(E5&gt;1,0))))</f>
        <v>0</v>
      </c>
    </row>
    <row r="16" spans="1:11" s="1" customFormat="1" ht="21.75" thickBot="1" x14ac:dyDescent="0.4">
      <c r="A16" s="135" t="s">
        <v>162</v>
      </c>
      <c r="B16" s="135"/>
      <c r="C16" s="134">
        <v>0</v>
      </c>
      <c r="D16" s="134"/>
      <c r="E16" s="5">
        <f ca="1">((100/I5)*C16)/100</f>
        <v>0</v>
      </c>
      <c r="F16" s="135"/>
      <c r="G16" s="135"/>
      <c r="H16" s="135"/>
      <c r="I16" s="135"/>
      <c r="J16" s="22" t="s">
        <v>125</v>
      </c>
      <c r="K16" s="27">
        <f ca="1">(IF(E5&gt;1.5,(I5/(E5+2)+K10+MAX(0,K11-K10)+MAX(0,K12-K11)+MAX(0,K13-K12)+MAX(0,K14-K13)+MAX(0,K15-K14)),IF(E5=1,(I5/(E5+3)+K15),IF(E5=0,I5*0.3+K15))))</f>
        <v>1</v>
      </c>
    </row>
    <row r="17" spans="1:9" s="1" customFormat="1" ht="20.25" x14ac:dyDescent="0.25">
      <c r="A17" s="135" t="s">
        <v>139</v>
      </c>
      <c r="B17" s="135"/>
      <c r="C17" s="134">
        <v>0</v>
      </c>
      <c r="D17" s="134"/>
      <c r="E17" s="5">
        <f ca="1">((100/(I5))*C17)/100</f>
        <v>0</v>
      </c>
      <c r="F17" s="135"/>
      <c r="G17" s="135"/>
      <c r="H17" s="135"/>
      <c r="I17" s="135"/>
    </row>
    <row r="18" spans="1:9" s="1" customFormat="1" ht="20.25" x14ac:dyDescent="0.25">
      <c r="A18" s="135" t="s">
        <v>140</v>
      </c>
      <c r="B18" s="135"/>
      <c r="C18" s="134">
        <v>0</v>
      </c>
      <c r="D18" s="134"/>
      <c r="E18" s="5">
        <f ca="1">((100/(I5))*C18)/100</f>
        <v>0</v>
      </c>
      <c r="F18" s="135"/>
      <c r="G18" s="135"/>
      <c r="H18" s="135"/>
      <c r="I18" s="135"/>
    </row>
    <row r="23" spans="1:9" x14ac:dyDescent="0.25">
      <c r="B23" s="207" t="s">
        <v>165</v>
      </c>
      <c r="C23" s="207"/>
      <c r="D23" s="207"/>
      <c r="E23" s="207"/>
      <c r="F23" s="207"/>
      <c r="G23" s="207"/>
    </row>
    <row r="24" spans="1:9" ht="14.45" customHeight="1" x14ac:dyDescent="0.25">
      <c r="B24" s="202" t="s">
        <v>166</v>
      </c>
      <c r="C24" s="202" t="s">
        <v>167</v>
      </c>
      <c r="D24" s="205" t="s">
        <v>168</v>
      </c>
      <c r="E24" s="206" t="s">
        <v>169</v>
      </c>
      <c r="F24" s="203" t="s">
        <v>170</v>
      </c>
      <c r="G24" s="202" t="s">
        <v>171</v>
      </c>
    </row>
    <row r="25" spans="1:9" x14ac:dyDescent="0.25">
      <c r="B25" s="202"/>
      <c r="C25" s="202"/>
      <c r="D25" s="205"/>
      <c r="E25" s="206"/>
      <c r="F25" s="203"/>
      <c r="G25" s="202"/>
    </row>
    <row r="26" spans="1:9" x14ac:dyDescent="0.25">
      <c r="B26" s="36" t="s">
        <v>172</v>
      </c>
      <c r="C26" s="37">
        <v>10</v>
      </c>
      <c r="D26" s="37">
        <v>1</v>
      </c>
      <c r="E26" s="38"/>
      <c r="F26" s="39">
        <f>((E26/D26)*0.05)*100</f>
        <v>0</v>
      </c>
      <c r="G26" s="39">
        <f t="shared" ref="G26:G37" si="0">((E26/D26)*(C26/100))*100</f>
        <v>0</v>
      </c>
    </row>
    <row r="27" spans="1:9" x14ac:dyDescent="0.25">
      <c r="B27" s="36" t="s">
        <v>173</v>
      </c>
      <c r="C27" s="38">
        <v>10</v>
      </c>
      <c r="D27" s="38">
        <v>1</v>
      </c>
      <c r="E27" s="38"/>
      <c r="F27" s="39">
        <f>((E27/D27)*0.05)*100</f>
        <v>0</v>
      </c>
      <c r="G27" s="39">
        <f t="shared" si="0"/>
        <v>0</v>
      </c>
    </row>
    <row r="28" spans="1:9" x14ac:dyDescent="0.25">
      <c r="B28" s="36" t="s">
        <v>174</v>
      </c>
      <c r="C28" s="38">
        <v>15</v>
      </c>
      <c r="D28" s="38">
        <v>1</v>
      </c>
      <c r="E28" s="38"/>
      <c r="F28" s="39">
        <f>((E28/D28)*0.15)*100</f>
        <v>0</v>
      </c>
      <c r="G28" s="39">
        <f t="shared" si="0"/>
        <v>0</v>
      </c>
    </row>
    <row r="29" spans="1:9" x14ac:dyDescent="0.25">
      <c r="B29" s="40" t="s">
        <v>175</v>
      </c>
      <c r="C29" s="38">
        <v>25</v>
      </c>
      <c r="D29" s="38">
        <v>40</v>
      </c>
      <c r="E29" s="38"/>
      <c r="F29" s="39">
        <f>((E29/D29)*0.25)*100</f>
        <v>0</v>
      </c>
      <c r="G29" s="39">
        <f t="shared" si="0"/>
        <v>0</v>
      </c>
    </row>
    <row r="30" spans="1:9" x14ac:dyDescent="0.25">
      <c r="B30" s="40" t="s">
        <v>176</v>
      </c>
      <c r="C30" s="38">
        <v>5</v>
      </c>
      <c r="D30" s="38">
        <v>39</v>
      </c>
      <c r="E30" s="38"/>
      <c r="F30" s="39">
        <f>((E30/D30)*0.05)*100</f>
        <v>0</v>
      </c>
      <c r="G30" s="39">
        <f t="shared" si="0"/>
        <v>0</v>
      </c>
    </row>
    <row r="31" spans="1:9" ht="30" x14ac:dyDescent="0.25">
      <c r="B31" s="40" t="s">
        <v>177</v>
      </c>
      <c r="C31" s="38">
        <v>2.5</v>
      </c>
      <c r="D31" s="38">
        <v>39</v>
      </c>
      <c r="E31" s="38"/>
      <c r="F31" s="39">
        <f>((E31/D31)*0.025)*100</f>
        <v>0</v>
      </c>
      <c r="G31" s="39">
        <f t="shared" si="0"/>
        <v>0</v>
      </c>
    </row>
    <row r="32" spans="1:9" ht="30" x14ac:dyDescent="0.25">
      <c r="B32" s="40" t="s">
        <v>178</v>
      </c>
      <c r="C32" s="38">
        <v>2.5</v>
      </c>
      <c r="D32" s="38">
        <v>39</v>
      </c>
      <c r="E32" s="38"/>
      <c r="F32" s="39">
        <f>((E32/D32)*0.025)*100</f>
        <v>0</v>
      </c>
      <c r="G32" s="39">
        <f t="shared" si="0"/>
        <v>0</v>
      </c>
    </row>
    <row r="33" spans="1:7" ht="45" x14ac:dyDescent="0.25">
      <c r="B33" s="41" t="s">
        <v>179</v>
      </c>
      <c r="C33" s="38">
        <v>5</v>
      </c>
      <c r="D33" s="38">
        <v>39</v>
      </c>
      <c r="E33" s="38"/>
      <c r="F33" s="39">
        <f>((E33/D33)*0.05)*100</f>
        <v>0</v>
      </c>
      <c r="G33" s="39">
        <f t="shared" si="0"/>
        <v>0</v>
      </c>
    </row>
    <row r="34" spans="1:7" ht="30" x14ac:dyDescent="0.25">
      <c r="B34" s="41" t="s">
        <v>180</v>
      </c>
      <c r="C34" s="38">
        <v>5</v>
      </c>
      <c r="D34" s="38">
        <v>39</v>
      </c>
      <c r="E34" s="38"/>
      <c r="F34" s="39">
        <f>((E34/D34)*0.1)*100</f>
        <v>0</v>
      </c>
      <c r="G34" s="39">
        <f t="shared" si="0"/>
        <v>0</v>
      </c>
    </row>
    <row r="35" spans="1:7" ht="30" x14ac:dyDescent="0.25">
      <c r="B35" s="41" t="s">
        <v>181</v>
      </c>
      <c r="C35" s="38">
        <v>5</v>
      </c>
      <c r="D35" s="38">
        <v>39</v>
      </c>
      <c r="E35" s="38"/>
      <c r="F35" s="39">
        <f>((E35/D35)*0.05)*100</f>
        <v>0</v>
      </c>
      <c r="G35" s="39">
        <f t="shared" si="0"/>
        <v>0</v>
      </c>
    </row>
    <row r="36" spans="1:7" ht="60" x14ac:dyDescent="0.25">
      <c r="B36" s="41" t="s">
        <v>182</v>
      </c>
      <c r="C36" s="38">
        <v>10</v>
      </c>
      <c r="D36" s="38">
        <v>39</v>
      </c>
      <c r="E36" s="38"/>
      <c r="F36" s="39">
        <f>((E36/D36)*0.1)*100</f>
        <v>0</v>
      </c>
      <c r="G36" s="39">
        <f t="shared" si="0"/>
        <v>0</v>
      </c>
    </row>
    <row r="37" spans="1:7" ht="45" x14ac:dyDescent="0.25">
      <c r="B37" s="41" t="s">
        <v>183</v>
      </c>
      <c r="C37" s="38">
        <v>5</v>
      </c>
      <c r="D37" s="38">
        <v>39</v>
      </c>
      <c r="E37" s="38"/>
      <c r="F37" s="39">
        <f>((E37/D37)*0.1)*100</f>
        <v>0</v>
      </c>
      <c r="G37" s="39">
        <f t="shared" si="0"/>
        <v>0</v>
      </c>
    </row>
    <row r="38" spans="1:7" ht="15.75" x14ac:dyDescent="0.25">
      <c r="B38" s="42" t="s">
        <v>184</v>
      </c>
      <c r="C38" s="43">
        <f>SUM(C26:C37)</f>
        <v>100</v>
      </c>
      <c r="D38" s="42"/>
      <c r="E38" s="42"/>
      <c r="F38" s="43">
        <f>SUM(F26:F37)</f>
        <v>0</v>
      </c>
      <c r="G38" s="43">
        <f>SUM(G26:G37)</f>
        <v>0</v>
      </c>
    </row>
    <row r="39" spans="1:7" x14ac:dyDescent="0.25">
      <c r="B39" s="203" t="s">
        <v>185</v>
      </c>
      <c r="C39" s="203"/>
      <c r="D39" s="203"/>
      <c r="E39" s="203"/>
      <c r="F39" s="203"/>
      <c r="G39" s="203"/>
    </row>
    <row r="40" spans="1:7" x14ac:dyDescent="0.25">
      <c r="B40" s="204" t="s">
        <v>186</v>
      </c>
      <c r="C40" s="204"/>
      <c r="D40" s="204"/>
      <c r="E40" s="204" t="s">
        <v>187</v>
      </c>
      <c r="F40" s="204"/>
      <c r="G40" s="204"/>
    </row>
    <row r="41" spans="1:7" x14ac:dyDescent="0.25">
      <c r="B41" s="200" t="s">
        <v>188</v>
      </c>
      <c r="C41" s="200"/>
      <c r="D41" s="200"/>
      <c r="E41" s="200" t="s">
        <v>189</v>
      </c>
      <c r="F41" s="200"/>
      <c r="G41" s="200"/>
    </row>
    <row r="42" spans="1:7" x14ac:dyDescent="0.25">
      <c r="B42" s="200" t="s">
        <v>190</v>
      </c>
      <c r="C42" s="200"/>
      <c r="D42" s="200"/>
      <c r="E42" s="200" t="s">
        <v>191</v>
      </c>
      <c r="F42" s="200"/>
      <c r="G42" s="200"/>
    </row>
    <row r="43" spans="1:7" x14ac:dyDescent="0.25">
      <c r="B43" s="201" t="s">
        <v>192</v>
      </c>
      <c r="C43" s="201"/>
      <c r="D43" s="201"/>
      <c r="E43" s="201" t="s">
        <v>193</v>
      </c>
      <c r="F43" s="201"/>
      <c r="G43" s="201"/>
    </row>
    <row r="45" spans="1:7" ht="15.75" thickBot="1" x14ac:dyDescent="0.3"/>
    <row r="46" spans="1:7" ht="17.25" thickTop="1" thickBot="1" x14ac:dyDescent="0.3">
      <c r="A46" s="44" t="s">
        <v>194</v>
      </c>
      <c r="B46" s="44" t="s">
        <v>166</v>
      </c>
      <c r="C46" s="45" t="s">
        <v>195</v>
      </c>
      <c r="D46" s="45" t="s">
        <v>196</v>
      </c>
      <c r="E46" s="45" t="s">
        <v>197</v>
      </c>
    </row>
    <row r="47" spans="1:7" ht="31.5" thickTop="1" thickBot="1" x14ac:dyDescent="0.3">
      <c r="A47" s="46">
        <v>1</v>
      </c>
      <c r="B47" s="47" t="s">
        <v>198</v>
      </c>
      <c r="C47" s="48">
        <v>0</v>
      </c>
      <c r="D47" s="49">
        <v>0.1</v>
      </c>
      <c r="E47" s="48">
        <v>0.1</v>
      </c>
    </row>
    <row r="48" spans="1:7" ht="31.5" thickTop="1" thickBot="1" x14ac:dyDescent="0.3">
      <c r="A48" s="46">
        <v>2</v>
      </c>
      <c r="B48" s="47" t="s">
        <v>199</v>
      </c>
      <c r="C48" s="48" t="s">
        <v>200</v>
      </c>
      <c r="D48" s="49" t="s">
        <v>201</v>
      </c>
      <c r="E48" s="48">
        <v>0.3</v>
      </c>
    </row>
    <row r="49" spans="1:5" ht="61.5" thickTop="1" thickBot="1" x14ac:dyDescent="0.3">
      <c r="A49" s="46">
        <v>3</v>
      </c>
      <c r="B49" s="47" t="s">
        <v>202</v>
      </c>
      <c r="C49" s="48" t="s">
        <v>203</v>
      </c>
      <c r="D49" s="49" t="s">
        <v>204</v>
      </c>
      <c r="E49" s="48">
        <v>0.45</v>
      </c>
    </row>
    <row r="50" spans="1:5" ht="76.5" thickTop="1" thickBot="1" x14ac:dyDescent="0.3">
      <c r="A50" s="46">
        <v>4</v>
      </c>
      <c r="B50" s="47" t="s">
        <v>205</v>
      </c>
      <c r="C50" s="48" t="s">
        <v>206</v>
      </c>
      <c r="D50" s="49" t="s">
        <v>207</v>
      </c>
      <c r="E50" s="48">
        <v>0.7</v>
      </c>
    </row>
    <row r="51" spans="1:5" ht="76.5" thickTop="1" thickBot="1" x14ac:dyDescent="0.3">
      <c r="A51" s="46">
        <v>5</v>
      </c>
      <c r="B51" s="47" t="s">
        <v>208</v>
      </c>
      <c r="C51" s="48" t="s">
        <v>209</v>
      </c>
      <c r="D51" s="49" t="s">
        <v>210</v>
      </c>
      <c r="E51" s="48">
        <v>0.75</v>
      </c>
    </row>
    <row r="52" spans="1:5" ht="76.5" thickTop="1" thickBot="1" x14ac:dyDescent="0.3">
      <c r="A52" s="46">
        <v>6</v>
      </c>
      <c r="B52" s="47" t="s">
        <v>211</v>
      </c>
      <c r="C52" s="48" t="s">
        <v>212</v>
      </c>
      <c r="D52" s="49" t="s">
        <v>213</v>
      </c>
      <c r="E52" s="48">
        <v>0.8</v>
      </c>
    </row>
    <row r="53" spans="1:5" ht="121.5" thickTop="1" thickBot="1" x14ac:dyDescent="0.3">
      <c r="A53" s="46">
        <v>7</v>
      </c>
      <c r="B53" s="47" t="s">
        <v>214</v>
      </c>
      <c r="C53" s="48" t="s">
        <v>215</v>
      </c>
      <c r="D53" s="49" t="s">
        <v>216</v>
      </c>
      <c r="E53" s="48">
        <v>0.85</v>
      </c>
    </row>
    <row r="54" spans="1:5" ht="211.5" thickTop="1" thickBot="1" x14ac:dyDescent="0.3">
      <c r="A54" s="46">
        <v>8</v>
      </c>
      <c r="B54" s="47" t="s">
        <v>217</v>
      </c>
      <c r="C54" s="48" t="s">
        <v>218</v>
      </c>
      <c r="D54" s="49" t="s">
        <v>219</v>
      </c>
      <c r="E54" s="48">
        <v>0.95</v>
      </c>
    </row>
    <row r="55" spans="1:5" ht="91.5" thickTop="1" thickBot="1" x14ac:dyDescent="0.3">
      <c r="A55" s="46">
        <v>9</v>
      </c>
      <c r="B55" s="47" t="s">
        <v>220</v>
      </c>
      <c r="C55" s="48" t="s">
        <v>221</v>
      </c>
      <c r="D55" s="49" t="s">
        <v>222</v>
      </c>
      <c r="E55" s="48">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5" t="s">
        <v>236</v>
      </c>
    </row>
    <row r="3" spans="2:3" x14ac:dyDescent="0.25">
      <c r="B3" s="38">
        <v>2</v>
      </c>
      <c r="C3" s="56" t="s">
        <v>237</v>
      </c>
    </row>
    <row r="4" spans="2:3" x14ac:dyDescent="0.25">
      <c r="B4" s="38">
        <v>3</v>
      </c>
      <c r="C4" s="38" t="s">
        <v>238</v>
      </c>
    </row>
    <row r="5" spans="2:3" x14ac:dyDescent="0.25">
      <c r="B5" s="38">
        <v>4</v>
      </c>
      <c r="C5" s="56" t="s">
        <v>239</v>
      </c>
    </row>
    <row r="6" spans="2:3" x14ac:dyDescent="0.25">
      <c r="B6" s="38">
        <v>5</v>
      </c>
      <c r="C6" s="38" t="s">
        <v>240</v>
      </c>
    </row>
    <row r="7" spans="2:3" ht="30" x14ac:dyDescent="0.25">
      <c r="B7" s="38">
        <v>6</v>
      </c>
      <c r="C7" s="56" t="s">
        <v>241</v>
      </c>
    </row>
    <row r="8" spans="2:3" ht="75" x14ac:dyDescent="0.25">
      <c r="B8" s="38">
        <v>7</v>
      </c>
      <c r="C8" s="56" t="s">
        <v>242</v>
      </c>
    </row>
    <row r="9" spans="2:3" x14ac:dyDescent="0.25">
      <c r="B9" s="38">
        <v>8</v>
      </c>
      <c r="C9" s="38" t="s">
        <v>243</v>
      </c>
    </row>
    <row r="10" spans="2:3" x14ac:dyDescent="0.25">
      <c r="B10" s="38">
        <v>9</v>
      </c>
      <c r="C10" s="38" t="s">
        <v>244</v>
      </c>
    </row>
    <row r="11" spans="2:3" x14ac:dyDescent="0.25">
      <c r="B11" s="38">
        <v>10</v>
      </c>
      <c r="C11" s="38" t="s">
        <v>245</v>
      </c>
    </row>
    <row r="12" spans="2:3" x14ac:dyDescent="0.25">
      <c r="B12" s="38">
        <v>11</v>
      </c>
      <c r="C12" s="38" t="s">
        <v>246</v>
      </c>
    </row>
    <row r="13" spans="2:3" x14ac:dyDescent="0.25">
      <c r="B13" s="38">
        <v>12</v>
      </c>
      <c r="C13" s="38" t="s">
        <v>247</v>
      </c>
    </row>
    <row r="14" spans="2:3" x14ac:dyDescent="0.25">
      <c r="B14" s="38">
        <v>13</v>
      </c>
      <c r="C14" s="38" t="s">
        <v>248</v>
      </c>
    </row>
    <row r="15" spans="2:3" x14ac:dyDescent="0.25">
      <c r="B15" s="38">
        <v>14</v>
      </c>
      <c r="C15" s="38" t="s">
        <v>238</v>
      </c>
    </row>
    <row r="16" spans="2:3" x14ac:dyDescent="0.25">
      <c r="B16" s="38">
        <v>15</v>
      </c>
      <c r="C16" s="38" t="s">
        <v>233</v>
      </c>
    </row>
    <row r="17" spans="2:3" x14ac:dyDescent="0.25">
      <c r="B17" s="57">
        <v>16</v>
      </c>
      <c r="C17" s="58" t="s">
        <v>249</v>
      </c>
    </row>
    <row r="18" spans="2:3" x14ac:dyDescent="0.25">
      <c r="B18" s="59">
        <v>17</v>
      </c>
      <c r="C18" s="58" t="s">
        <v>250</v>
      </c>
    </row>
    <row r="19" spans="2:3" x14ac:dyDescent="0.25">
      <c r="B19" s="60">
        <v>18</v>
      </c>
      <c r="C19" s="38" t="s">
        <v>251</v>
      </c>
    </row>
    <row r="20" spans="2:3" x14ac:dyDescent="0.25">
      <c r="B20" s="59">
        <v>19</v>
      </c>
      <c r="C20" s="38" t="s">
        <v>252</v>
      </c>
    </row>
    <row r="21" spans="2:3" x14ac:dyDescent="0.25">
      <c r="B21" s="38">
        <v>20</v>
      </c>
      <c r="C21" s="38" t="s">
        <v>253</v>
      </c>
    </row>
    <row r="22" spans="2:3" x14ac:dyDescent="0.25">
      <c r="B22" s="59">
        <v>21</v>
      </c>
      <c r="C22" s="38" t="s">
        <v>251</v>
      </c>
    </row>
    <row r="23" spans="2:3" s="62" customFormat="1" ht="30" x14ac:dyDescent="0.25">
      <c r="B23" s="61">
        <v>22</v>
      </c>
      <c r="C23" s="55" t="s">
        <v>254</v>
      </c>
    </row>
    <row r="24" spans="2:3" s="62" customFormat="1" ht="30" x14ac:dyDescent="0.25">
      <c r="B24" s="63">
        <v>23</v>
      </c>
      <c r="C24" s="55" t="s">
        <v>255</v>
      </c>
    </row>
    <row r="25" spans="2:3" x14ac:dyDescent="0.25">
      <c r="B25" s="38">
        <v>24</v>
      </c>
      <c r="C25" s="38" t="s">
        <v>256</v>
      </c>
    </row>
    <row r="26" spans="2:3" x14ac:dyDescent="0.25">
      <c r="B26" s="59">
        <v>25</v>
      </c>
      <c r="C26" s="38" t="s">
        <v>257</v>
      </c>
    </row>
    <row r="27" spans="2:3" x14ac:dyDescent="0.25">
      <c r="B27" s="63">
        <v>26</v>
      </c>
      <c r="C27" s="38" t="s">
        <v>258</v>
      </c>
    </row>
    <row r="28" spans="2:3" x14ac:dyDescent="0.25">
      <c r="B28" s="59">
        <v>27</v>
      </c>
      <c r="C28" s="38" t="s">
        <v>259</v>
      </c>
    </row>
    <row r="29" spans="2:3" ht="60" x14ac:dyDescent="0.25">
      <c r="B29" s="64">
        <v>28</v>
      </c>
      <c r="C29" s="56" t="s">
        <v>260</v>
      </c>
    </row>
    <row r="30" spans="2:3" x14ac:dyDescent="0.25">
      <c r="B30" s="63">
        <v>29</v>
      </c>
      <c r="C30" s="38" t="s">
        <v>261</v>
      </c>
    </row>
    <row r="31" spans="2:3" ht="30" x14ac:dyDescent="0.25">
      <c r="B31" s="63">
        <v>30</v>
      </c>
      <c r="C31" s="56" t="s">
        <v>289</v>
      </c>
    </row>
    <row r="32" spans="2:3" x14ac:dyDescent="0.25">
      <c r="B32" s="63">
        <v>31</v>
      </c>
      <c r="C32" s="38" t="s">
        <v>290</v>
      </c>
    </row>
    <row r="33" spans="2:3" x14ac:dyDescent="0.25">
      <c r="B33" s="63">
        <v>32</v>
      </c>
      <c r="C33" s="38" t="s">
        <v>291</v>
      </c>
    </row>
    <row r="34" spans="2:3" ht="30" x14ac:dyDescent="0.25">
      <c r="B34" s="63">
        <v>33</v>
      </c>
      <c r="C34" s="58" t="s">
        <v>292</v>
      </c>
    </row>
    <row r="35" spans="2:3" x14ac:dyDescent="0.25">
      <c r="B35" s="63">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262</v>
      </c>
      <c r="C2" s="211"/>
      <c r="D2" s="211"/>
    </row>
    <row r="3" spans="1:12" x14ac:dyDescent="0.25">
      <c r="D3" s="67"/>
      <c r="E3" s="67"/>
      <c r="F3" s="67"/>
      <c r="G3" s="67"/>
      <c r="H3" s="67"/>
      <c r="I3" s="67"/>
    </row>
    <row r="4" spans="1:12" x14ac:dyDescent="0.25">
      <c r="A4" s="66" t="s">
        <v>263</v>
      </c>
      <c r="B4" s="54" t="s">
        <v>264</v>
      </c>
      <c r="C4" s="212" t="s">
        <v>265</v>
      </c>
      <c r="D4" s="212"/>
      <c r="E4" s="212"/>
      <c r="F4" s="54"/>
      <c r="G4" s="213" t="s">
        <v>266</v>
      </c>
      <c r="H4" s="213"/>
      <c r="I4" s="213"/>
      <c r="J4" s="214" t="s">
        <v>267</v>
      </c>
      <c r="K4" s="214"/>
      <c r="L4" s="214"/>
    </row>
    <row r="5" spans="1:12" x14ac:dyDescent="0.25">
      <c r="A5" s="66"/>
      <c r="B5" s="54"/>
      <c r="C5" s="54" t="s">
        <v>268</v>
      </c>
      <c r="D5" s="54" t="s">
        <v>269</v>
      </c>
      <c r="E5" s="54" t="s">
        <v>270</v>
      </c>
      <c r="F5" s="54"/>
      <c r="G5" s="54" t="s">
        <v>268</v>
      </c>
      <c r="H5" s="54" t="s">
        <v>269</v>
      </c>
      <c r="I5" s="54" t="s">
        <v>270</v>
      </c>
      <c r="J5" s="54" t="s">
        <v>268</v>
      </c>
      <c r="K5" s="54" t="s">
        <v>269</v>
      </c>
      <c r="L5" s="54" t="s">
        <v>270</v>
      </c>
    </row>
    <row r="6" spans="1:12" x14ac:dyDescent="0.25">
      <c r="B6" s="53" t="s">
        <v>271</v>
      </c>
      <c r="C6" s="53"/>
      <c r="D6" s="53"/>
      <c r="E6" s="53">
        <f>C6*D6</f>
        <v>0</v>
      </c>
      <c r="F6" s="53" t="s">
        <v>272</v>
      </c>
      <c r="G6" s="53"/>
      <c r="H6" s="53"/>
      <c r="I6" s="53">
        <f>G6*H6</f>
        <v>0</v>
      </c>
      <c r="J6" s="53"/>
      <c r="K6" s="53"/>
      <c r="L6" s="53">
        <f>J6*K6</f>
        <v>0</v>
      </c>
    </row>
    <row r="7" spans="1:12" x14ac:dyDescent="0.25">
      <c r="B7" s="53"/>
      <c r="C7" s="53"/>
      <c r="D7" s="53"/>
      <c r="E7" s="53">
        <f t="shared" ref="E7:E41" si="0">C7*D7</f>
        <v>0</v>
      </c>
      <c r="F7" s="53" t="s">
        <v>272</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273</v>
      </c>
      <c r="G9" s="53"/>
      <c r="H9" s="53"/>
      <c r="I9" s="53">
        <f t="shared" si="1"/>
        <v>0</v>
      </c>
      <c r="J9" s="53"/>
      <c r="K9" s="53"/>
      <c r="L9" s="53">
        <f t="shared" si="2"/>
        <v>0</v>
      </c>
    </row>
    <row r="10" spans="1:12" x14ac:dyDescent="0.25">
      <c r="B10" s="53" t="s">
        <v>274</v>
      </c>
      <c r="C10" s="53"/>
      <c r="D10" s="53"/>
      <c r="E10" s="53">
        <f t="shared" si="0"/>
        <v>0</v>
      </c>
      <c r="F10" s="53" t="s">
        <v>273</v>
      </c>
      <c r="G10" s="53"/>
      <c r="H10" s="53"/>
      <c r="I10" s="53">
        <f t="shared" si="1"/>
        <v>0</v>
      </c>
      <c r="J10" s="53"/>
      <c r="K10" s="53"/>
      <c r="L10" s="53">
        <f t="shared" si="2"/>
        <v>0</v>
      </c>
    </row>
    <row r="11" spans="1:12" x14ac:dyDescent="0.25">
      <c r="B11" s="53"/>
      <c r="C11" s="53"/>
      <c r="D11" s="53"/>
      <c r="E11" s="53">
        <f t="shared" si="0"/>
        <v>0</v>
      </c>
      <c r="F11" s="53" t="s">
        <v>275</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276</v>
      </c>
      <c r="C14" s="53"/>
      <c r="D14" s="53"/>
      <c r="E14" s="53">
        <f t="shared" si="0"/>
        <v>0</v>
      </c>
      <c r="F14" s="53" t="s">
        <v>273</v>
      </c>
      <c r="G14" s="53"/>
      <c r="H14" s="53"/>
      <c r="I14" s="53">
        <f t="shared" si="1"/>
        <v>0</v>
      </c>
      <c r="J14" s="53"/>
      <c r="K14" s="53"/>
      <c r="L14" s="53">
        <f t="shared" si="2"/>
        <v>0</v>
      </c>
    </row>
    <row r="15" spans="1:12" x14ac:dyDescent="0.25">
      <c r="B15" s="53"/>
      <c r="C15" s="53"/>
      <c r="D15" s="53"/>
      <c r="E15" s="53">
        <f t="shared" si="0"/>
        <v>0</v>
      </c>
      <c r="F15" s="53" t="s">
        <v>275</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277</v>
      </c>
      <c r="C18" s="53"/>
      <c r="D18" s="53"/>
      <c r="E18" s="53">
        <f t="shared" si="0"/>
        <v>0</v>
      </c>
      <c r="F18" s="53" t="s">
        <v>273</v>
      </c>
      <c r="G18" s="53"/>
      <c r="H18" s="53"/>
      <c r="I18" s="53">
        <f t="shared" si="1"/>
        <v>0</v>
      </c>
      <c r="J18" s="53"/>
      <c r="K18" s="53"/>
      <c r="L18" s="53">
        <f t="shared" si="2"/>
        <v>0</v>
      </c>
    </row>
    <row r="19" spans="2:12" x14ac:dyDescent="0.25">
      <c r="B19" s="53"/>
      <c r="C19" s="53"/>
      <c r="D19" s="53"/>
      <c r="E19" s="53">
        <f t="shared" si="0"/>
        <v>0</v>
      </c>
      <c r="F19" s="53" t="s">
        <v>275</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278</v>
      </c>
      <c r="C21" s="53"/>
      <c r="D21" s="53"/>
      <c r="E21" s="53">
        <f t="shared" si="0"/>
        <v>0</v>
      </c>
      <c r="F21" s="53" t="s">
        <v>273</v>
      </c>
      <c r="G21" s="53"/>
      <c r="H21" s="53"/>
      <c r="I21" s="53">
        <f t="shared" si="1"/>
        <v>0</v>
      </c>
      <c r="J21" s="53"/>
      <c r="K21" s="53"/>
      <c r="L21" s="53">
        <f t="shared" si="2"/>
        <v>0</v>
      </c>
    </row>
    <row r="22" spans="2:12" x14ac:dyDescent="0.25">
      <c r="B22" s="53"/>
      <c r="C22" s="53"/>
      <c r="D22" s="53"/>
      <c r="E22" s="53">
        <f t="shared" si="0"/>
        <v>0</v>
      </c>
      <c r="F22" s="53" t="s">
        <v>275</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279</v>
      </c>
      <c r="C24" s="53"/>
      <c r="D24" s="53"/>
      <c r="E24" s="53">
        <f t="shared" si="0"/>
        <v>0</v>
      </c>
      <c r="F24" s="53" t="s">
        <v>280</v>
      </c>
      <c r="G24" s="53"/>
      <c r="H24" s="53"/>
      <c r="I24" s="53">
        <f t="shared" si="1"/>
        <v>0</v>
      </c>
      <c r="J24" s="53"/>
      <c r="K24" s="53"/>
      <c r="L24" s="53">
        <f t="shared" si="2"/>
        <v>0</v>
      </c>
    </row>
    <row r="25" spans="2:12" x14ac:dyDescent="0.25">
      <c r="B25" s="53"/>
      <c r="C25" s="53"/>
      <c r="D25" s="53"/>
      <c r="E25" s="53">
        <f t="shared" si="0"/>
        <v>0</v>
      </c>
      <c r="F25" s="53" t="s">
        <v>280</v>
      </c>
      <c r="G25" s="53"/>
      <c r="H25" s="53"/>
      <c r="I25" s="53">
        <f t="shared" si="1"/>
        <v>0</v>
      </c>
      <c r="J25" s="53"/>
      <c r="K25" s="53"/>
      <c r="L25" s="53">
        <f t="shared" si="2"/>
        <v>0</v>
      </c>
    </row>
    <row r="26" spans="2:12" x14ac:dyDescent="0.25">
      <c r="B26" s="53"/>
      <c r="C26" s="53"/>
      <c r="D26" s="53"/>
      <c r="E26" s="53">
        <f t="shared" si="0"/>
        <v>0</v>
      </c>
      <c r="F26" s="53" t="s">
        <v>280</v>
      </c>
      <c r="G26" s="53"/>
      <c r="H26" s="53"/>
      <c r="I26" s="53">
        <f t="shared" si="1"/>
        <v>0</v>
      </c>
      <c r="J26" s="53"/>
      <c r="K26" s="53"/>
      <c r="L26" s="53">
        <f t="shared" si="2"/>
        <v>0</v>
      </c>
    </row>
    <row r="27" spans="2:12" x14ac:dyDescent="0.25">
      <c r="B27" s="53"/>
      <c r="C27" s="53"/>
      <c r="D27" s="53"/>
      <c r="E27" s="53">
        <f t="shared" si="0"/>
        <v>0</v>
      </c>
      <c r="F27" s="53" t="s">
        <v>280</v>
      </c>
      <c r="G27" s="53"/>
      <c r="H27" s="53"/>
      <c r="I27" s="53">
        <f t="shared" si="1"/>
        <v>0</v>
      </c>
      <c r="J27" s="53"/>
      <c r="K27" s="53"/>
      <c r="L27" s="53">
        <f t="shared" si="2"/>
        <v>0</v>
      </c>
    </row>
    <row r="28" spans="2:12" x14ac:dyDescent="0.25">
      <c r="B28" s="53" t="s">
        <v>281</v>
      </c>
      <c r="C28" s="53"/>
      <c r="D28" s="53"/>
      <c r="E28" s="53">
        <f t="shared" si="0"/>
        <v>0</v>
      </c>
      <c r="F28" s="53" t="s">
        <v>280</v>
      </c>
      <c r="G28" s="53"/>
      <c r="H28" s="53"/>
      <c r="I28" s="53">
        <f t="shared" si="1"/>
        <v>0</v>
      </c>
      <c r="J28" s="53"/>
      <c r="K28" s="53"/>
      <c r="L28" s="53">
        <f t="shared" si="2"/>
        <v>0</v>
      </c>
    </row>
    <row r="29" spans="2:12" x14ac:dyDescent="0.25">
      <c r="B29" s="53" t="s">
        <v>282</v>
      </c>
      <c r="C29" s="53"/>
      <c r="D29" s="53"/>
      <c r="E29" s="53">
        <f t="shared" si="0"/>
        <v>0</v>
      </c>
      <c r="F29" s="53" t="s">
        <v>280</v>
      </c>
      <c r="G29" s="53"/>
      <c r="H29" s="53"/>
      <c r="I29" s="53">
        <f t="shared" si="1"/>
        <v>0</v>
      </c>
      <c r="J29" s="53"/>
      <c r="K29" s="53"/>
      <c r="L29" s="53">
        <f t="shared" si="2"/>
        <v>0</v>
      </c>
    </row>
    <row r="30" spans="2:12" x14ac:dyDescent="0.25">
      <c r="B30" s="53" t="s">
        <v>283</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284</v>
      </c>
      <c r="C33" s="53"/>
      <c r="D33" s="53"/>
      <c r="E33" s="53">
        <f t="shared" si="0"/>
        <v>0</v>
      </c>
      <c r="F33" s="53"/>
      <c r="G33" s="53"/>
      <c r="H33" s="53"/>
      <c r="I33" s="53">
        <f t="shared" si="1"/>
        <v>0</v>
      </c>
      <c r="J33" s="53"/>
      <c r="K33" s="53"/>
      <c r="L33" s="53">
        <f t="shared" si="2"/>
        <v>0</v>
      </c>
    </row>
    <row r="34" spans="2:12" x14ac:dyDescent="0.25">
      <c r="B34" s="53" t="s">
        <v>285</v>
      </c>
      <c r="C34" s="53"/>
      <c r="D34" s="53"/>
      <c r="E34" s="53">
        <f t="shared" si="0"/>
        <v>0</v>
      </c>
      <c r="F34" s="53"/>
      <c r="G34" s="53"/>
      <c r="H34" s="53"/>
      <c r="I34" s="53">
        <f t="shared" si="1"/>
        <v>0</v>
      </c>
      <c r="J34" s="53"/>
      <c r="K34" s="53"/>
      <c r="L34" s="53">
        <f t="shared" si="2"/>
        <v>0</v>
      </c>
    </row>
    <row r="35" spans="2:12" x14ac:dyDescent="0.25">
      <c r="B35" s="53" t="s">
        <v>286</v>
      </c>
      <c r="C35" s="53"/>
      <c r="D35" s="53"/>
      <c r="E35" s="53">
        <f t="shared" si="0"/>
        <v>0</v>
      </c>
      <c r="F35" s="53"/>
      <c r="G35" s="53"/>
      <c r="H35" s="53"/>
      <c r="I35" s="53">
        <f t="shared" si="1"/>
        <v>0</v>
      </c>
      <c r="J35" s="53"/>
      <c r="K35" s="53"/>
      <c r="L35" s="53">
        <f t="shared" si="2"/>
        <v>0</v>
      </c>
    </row>
    <row r="36" spans="2:12" x14ac:dyDescent="0.25">
      <c r="B36" s="53" t="s">
        <v>287</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288</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150</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2025-10-03T06:09:30Z</cp:lastPrinted>
  <dcterms:created xsi:type="dcterms:W3CDTF">2010-11-23T11:42:48Z</dcterms:created>
  <dcterms:modified xsi:type="dcterms:W3CDTF">2025-10-03T06:50:29Z</dcterms:modified>
</cp:coreProperties>
</file>