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Sept 25\Old\"/>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Report!$A$1:$H$381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2" i="3" l="1"/>
  <c r="C71" i="3"/>
  <c r="C70" i="3"/>
  <c r="N3" i="3"/>
  <c r="L175" i="3" l="1"/>
  <c r="J175" i="3"/>
  <c r="J171" i="3"/>
  <c r="J155" i="3"/>
  <c r="G118" i="3"/>
  <c r="G117" i="3"/>
  <c r="G130" i="3"/>
  <c r="E130" i="3"/>
  <c r="G129" i="3"/>
  <c r="E129" i="3"/>
  <c r="E122" i="3"/>
  <c r="E124" i="3" s="1"/>
  <c r="E128" i="3"/>
  <c r="E127" i="3"/>
  <c r="G128" i="3"/>
  <c r="G127" i="3"/>
  <c r="G124" i="3"/>
  <c r="G122" i="3"/>
  <c r="F195" i="3"/>
  <c r="E195" i="3"/>
  <c r="F194" i="3"/>
  <c r="E194" i="3"/>
  <c r="F193" i="3"/>
  <c r="E193" i="3"/>
  <c r="H193" i="3" s="1"/>
  <c r="F192" i="3"/>
  <c r="E192" i="3"/>
  <c r="F190" i="3"/>
  <c r="H190" i="3" s="1"/>
  <c r="E190" i="3"/>
  <c r="F189" i="3"/>
  <c r="E189" i="3"/>
  <c r="F188" i="3"/>
  <c r="E188" i="3"/>
  <c r="F186" i="3"/>
  <c r="E186" i="3"/>
  <c r="F185" i="3"/>
  <c r="E185" i="3"/>
  <c r="F184" i="3"/>
  <c r="E184" i="3"/>
  <c r="F183" i="3"/>
  <c r="E183" i="3"/>
  <c r="F182" i="3"/>
  <c r="E182" i="3"/>
  <c r="F181" i="3"/>
  <c r="E181" i="3"/>
  <c r="F180" i="3"/>
  <c r="E180" i="3"/>
  <c r="F178" i="3"/>
  <c r="E178" i="3"/>
  <c r="F177" i="3"/>
  <c r="E177" i="3"/>
  <c r="F176" i="3"/>
  <c r="E176" i="3"/>
  <c r="F175" i="3"/>
  <c r="E175" i="3"/>
  <c r="F171" i="3"/>
  <c r="E171" i="3"/>
  <c r="F169" i="3"/>
  <c r="E169" i="3"/>
  <c r="F168" i="3"/>
  <c r="E168" i="3"/>
  <c r="F167" i="3"/>
  <c r="E167" i="3"/>
  <c r="F166" i="3"/>
  <c r="E166" i="3"/>
  <c r="F165" i="3"/>
  <c r="E165" i="3"/>
  <c r="F164" i="3"/>
  <c r="E164" i="3"/>
  <c r="F163" i="3"/>
  <c r="E163" i="3"/>
  <c r="F162" i="3"/>
  <c r="E162" i="3"/>
  <c r="F160" i="3"/>
  <c r="E160" i="3"/>
  <c r="F159" i="3"/>
  <c r="E159" i="3"/>
  <c r="F158" i="3"/>
  <c r="E158" i="3"/>
  <c r="F157" i="3"/>
  <c r="E157" i="3"/>
  <c r="F156" i="3"/>
  <c r="E156" i="3"/>
  <c r="F155" i="3"/>
  <c r="E155" i="3"/>
  <c r="F154" i="3"/>
  <c r="E154" i="3"/>
  <c r="F153" i="3"/>
  <c r="E153" i="3"/>
  <c r="J135" i="3"/>
  <c r="H188" i="3"/>
  <c r="H194" i="3"/>
  <c r="H184" i="3"/>
  <c r="H180" i="3"/>
  <c r="H185" i="3"/>
  <c r="H183" i="3"/>
  <c r="A181" i="3"/>
  <c r="A182" i="3" s="1"/>
  <c r="A184" i="3" s="1"/>
  <c r="A185" i="3" s="1"/>
  <c r="A186" i="3" s="1"/>
  <c r="H195" i="3"/>
  <c r="A189" i="3"/>
  <c r="A190" i="3" s="1"/>
  <c r="A191" i="3" s="1"/>
  <c r="A192" i="3" s="1"/>
  <c r="A193" i="3" s="1"/>
  <c r="A194" i="3" s="1"/>
  <c r="A195" i="3" s="1"/>
  <c r="H186" i="3" l="1"/>
  <c r="H192" i="3"/>
  <c r="H182" i="3"/>
  <c r="H189" i="3"/>
  <c r="H181" i="3"/>
  <c r="H178" i="3" l="1"/>
  <c r="H177" i="3"/>
  <c r="H176" i="3"/>
  <c r="H175" i="3"/>
  <c r="A172" i="3"/>
  <c r="A173" i="3" s="1"/>
  <c r="A174" i="3" s="1"/>
  <c r="A175" i="3" s="1"/>
  <c r="A176" i="3" s="1"/>
  <c r="A177" i="3" s="1"/>
  <c r="A178" i="3" s="1"/>
  <c r="H171" i="3"/>
  <c r="H169" i="3"/>
  <c r="H168" i="3"/>
  <c r="H167" i="3"/>
  <c r="H166" i="3"/>
  <c r="H165" i="3"/>
  <c r="H164" i="3"/>
  <c r="H163" i="3"/>
  <c r="H162" i="3"/>
  <c r="A163" i="3"/>
  <c r="A164" i="3" s="1"/>
  <c r="A165" i="3" s="1"/>
  <c r="A166" i="3" s="1"/>
  <c r="A167" i="3" s="1"/>
  <c r="A168" i="3" s="1"/>
  <c r="A169" i="3" s="1"/>
  <c r="I153" i="3"/>
  <c r="H155" i="3"/>
  <c r="H154" i="3"/>
  <c r="H160" i="3"/>
  <c r="H159" i="3"/>
  <c r="H158" i="3"/>
  <c r="A154" i="3"/>
  <c r="A155" i="3" s="1"/>
  <c r="A156" i="3" s="1"/>
  <c r="A157" i="3" s="1"/>
  <c r="A158" i="3" s="1"/>
  <c r="A159" i="3" s="1"/>
  <c r="A160" i="3" s="1"/>
  <c r="E149" i="3"/>
  <c r="H149" i="3" s="1"/>
  <c r="E148" i="3"/>
  <c r="H148" i="3" s="1"/>
  <c r="E147" i="3"/>
  <c r="H147" i="3" s="1"/>
  <c r="E146" i="3"/>
  <c r="H146" i="3" s="1"/>
  <c r="E145" i="3"/>
  <c r="H145" i="3" s="1"/>
  <c r="E144" i="3"/>
  <c r="H144" i="3" s="1"/>
  <c r="E143" i="3"/>
  <c r="E142" i="3"/>
  <c r="H142" i="3" s="1"/>
  <c r="E141" i="3"/>
  <c r="H141" i="3" s="1"/>
  <c r="E140" i="3"/>
  <c r="H140" i="3" s="1"/>
  <c r="E139" i="3"/>
  <c r="H139" i="3" s="1"/>
  <c r="E138" i="3"/>
  <c r="E137" i="3"/>
  <c r="E136" i="3"/>
  <c r="A137" i="3"/>
  <c r="A138" i="3" s="1"/>
  <c r="A139" i="3" s="1"/>
  <c r="A140" i="3" s="1"/>
  <c r="A141" i="3" s="1"/>
  <c r="A142" i="3" s="1"/>
  <c r="A143" i="3" s="1"/>
  <c r="A144" i="3" s="1"/>
  <c r="A145" i="3" s="1"/>
  <c r="A146" i="3" s="1"/>
  <c r="A147" i="3" s="1"/>
  <c r="A148" i="3" s="1"/>
  <c r="A149" i="3" s="1"/>
  <c r="H138" i="3"/>
  <c r="H157" i="3" l="1"/>
  <c r="H156" i="3"/>
  <c r="H153" i="3"/>
  <c r="H143" i="3"/>
  <c r="H136" i="3"/>
  <c r="H137" i="3"/>
  <c r="D245" i="3" l="1"/>
  <c r="D243" i="3"/>
  <c r="H197" i="3"/>
  <c r="H198" i="3"/>
  <c r="H199" i="3"/>
  <c r="H200" i="3"/>
  <c r="H201" i="3"/>
  <c r="A64"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231" i="3"/>
  <c r="H230" i="3"/>
  <c r="H229" i="3"/>
  <c r="H228" i="3"/>
  <c r="H227" i="3"/>
  <c r="H226" i="3"/>
  <c r="H225" i="3"/>
  <c r="H224" i="3"/>
  <c r="H222" i="3"/>
  <c r="H221" i="3"/>
  <c r="H220" i="3"/>
  <c r="H219" i="3"/>
  <c r="H218" i="3"/>
  <c r="H217" i="3"/>
  <c r="H216" i="3"/>
  <c r="H215" i="3"/>
  <c r="H213" i="3"/>
  <c r="H212" i="3"/>
  <c r="H211" i="3"/>
  <c r="H210" i="3"/>
  <c r="H209" i="3"/>
  <c r="H208" i="3"/>
  <c r="H207" i="3"/>
  <c r="H206" i="3"/>
  <c r="H202" i="3"/>
  <c r="H203" i="3"/>
  <c r="H204" i="3"/>
  <c r="A96" i="3" l="1"/>
  <c r="D97" i="3" s="1"/>
  <c r="J106" i="3" s="1"/>
  <c r="A80" i="3"/>
  <c r="D81" i="3" s="1"/>
  <c r="D65" i="3"/>
  <c r="J105"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81" i="3"/>
  <c r="I5" i="4"/>
  <c r="F38" i="4" l="1"/>
  <c r="G38" i="4"/>
  <c r="E18" i="4"/>
  <c r="E15" i="4"/>
  <c r="E17" i="4"/>
  <c r="E11" i="4"/>
  <c r="K6" i="4"/>
  <c r="E9" i="4"/>
  <c r="K8" i="4"/>
  <c r="C7" i="4" s="1"/>
  <c r="E14" i="4"/>
  <c r="E12" i="4"/>
  <c r="E16" i="4"/>
  <c r="E10" i="4"/>
  <c r="K9" i="4"/>
  <c r="K10" i="4" s="1"/>
  <c r="K11" i="4" s="1"/>
  <c r="E13" i="4"/>
  <c r="K7" i="4"/>
  <c r="J90" i="3"/>
  <c r="J89" i="3"/>
  <c r="K12" i="4" l="1"/>
  <c r="K16" i="4" s="1"/>
  <c r="C8" i="4" s="1"/>
  <c r="E8" i="4" s="1"/>
  <c r="E7" i="4"/>
  <c r="A197" i="3"/>
  <c r="A198" i="3" s="1"/>
  <c r="A199" i="3" s="1"/>
  <c r="A200" i="3" s="1"/>
  <c r="A201" i="3" s="1"/>
  <c r="A202" i="3" s="1"/>
  <c r="A203" i="3" s="1"/>
  <c r="A204" i="3" s="1"/>
  <c r="F7" i="4" l="1"/>
  <c r="J4" i="4" s="1"/>
  <c r="H7" i="4" s="1"/>
  <c r="G4" i="3" l="1"/>
  <c r="D244" i="3" l="1"/>
  <c r="G119" i="3"/>
  <c r="J74" i="3"/>
  <c r="J73" i="3"/>
  <c r="H65" i="3"/>
  <c r="J69" i="3" l="1"/>
  <c r="D74" i="3"/>
  <c r="D71" i="3"/>
  <c r="D69" i="3"/>
  <c r="J67" i="3"/>
  <c r="D78" i="3"/>
  <c r="D76" i="3"/>
  <c r="D73" i="3"/>
  <c r="D70" i="3"/>
  <c r="J68" i="3"/>
  <c r="C67" i="3" s="1"/>
  <c r="J66" i="3"/>
  <c r="D77" i="3"/>
  <c r="D75" i="3"/>
  <c r="D72" i="3"/>
  <c r="D94" i="3" l="1"/>
  <c r="D86" i="3"/>
  <c r="D89" i="3"/>
  <c r="J83" i="3"/>
  <c r="D93" i="3"/>
  <c r="D87" i="3"/>
  <c r="J82" i="3"/>
  <c r="D92" i="3"/>
  <c r="J85" i="3"/>
  <c r="J86" i="3" s="1"/>
  <c r="D91" i="3"/>
  <c r="D85" i="3"/>
  <c r="J84" i="3"/>
  <c r="C83" i="3" s="1"/>
  <c r="D90" i="3"/>
  <c r="D88" i="3"/>
  <c r="J70" i="3"/>
  <c r="J75" i="3" s="1"/>
  <c r="D83" i="3" l="1"/>
  <c r="J87" i="3"/>
  <c r="J91" i="3"/>
  <c r="J88" i="3"/>
  <c r="J71" i="3"/>
  <c r="H97" i="3"/>
  <c r="J92" i="3" l="1"/>
  <c r="C84" i="3" s="1"/>
  <c r="D110" i="3"/>
  <c r="D109" i="3"/>
  <c r="D103" i="3"/>
  <c r="J100" i="3"/>
  <c r="C99" i="3" s="1"/>
  <c r="D105" i="3"/>
  <c r="D104" i="3"/>
  <c r="J98" i="3"/>
  <c r="D108" i="3"/>
  <c r="D102" i="3"/>
  <c r="J101" i="3"/>
  <c r="J102" i="3" s="1"/>
  <c r="J103" i="3" s="1"/>
  <c r="J104" i="3" s="1"/>
  <c r="D107" i="3"/>
  <c r="D101" i="3"/>
  <c r="J99" i="3"/>
  <c r="D106" i="3"/>
  <c r="J72" i="3"/>
  <c r="D84" i="3" l="1"/>
  <c r="E83" i="3"/>
  <c r="I80" i="3" s="1"/>
  <c r="G83" i="3" s="1"/>
  <c r="J107" i="3"/>
  <c r="J108" i="3" s="1"/>
  <c r="C100" i="3" s="1"/>
  <c r="D100" i="3" s="1"/>
  <c r="D99" i="3"/>
  <c r="J76" i="3"/>
  <c r="C68" i="3" s="1"/>
  <c r="V215" i="3"/>
  <c r="V224" i="3"/>
  <c r="U215" i="3"/>
  <c r="U224" i="3"/>
  <c r="U206" i="3"/>
  <c r="V206" i="3"/>
  <c r="D67" i="3" l="1"/>
  <c r="E99" i="3"/>
  <c r="I96" i="3" s="1"/>
  <c r="G99" i="3" s="1"/>
  <c r="E67" i="3"/>
  <c r="G111" i="3" s="1"/>
  <c r="T224" i="3"/>
  <c r="U225" i="3"/>
  <c r="V225" i="3"/>
  <c r="V226" i="3" s="1"/>
  <c r="V227" i="3" s="1"/>
  <c r="V228" i="3" s="1"/>
  <c r="V229" i="3" s="1"/>
  <c r="V230" i="3" s="1"/>
  <c r="V231" i="3" s="1"/>
  <c r="T215" i="3"/>
  <c r="U216" i="3"/>
  <c r="V216" i="3"/>
  <c r="V217" i="3" s="1"/>
  <c r="V218" i="3" s="1"/>
  <c r="V219" i="3" s="1"/>
  <c r="V220" i="3" s="1"/>
  <c r="V221" i="3" s="1"/>
  <c r="V222" i="3" s="1"/>
  <c r="V207" i="3"/>
  <c r="V208" i="3" s="1"/>
  <c r="V209" i="3" s="1"/>
  <c r="V210" i="3" s="1"/>
  <c r="V211" i="3" s="1"/>
  <c r="V212" i="3" s="1"/>
  <c r="V213" i="3" s="1"/>
  <c r="U207" i="3"/>
  <c r="T206" i="3"/>
  <c r="D68" i="3" l="1"/>
  <c r="I64" i="3"/>
  <c r="G67" i="3" s="1"/>
  <c r="A224" i="3"/>
  <c r="A215" i="3"/>
  <c r="A206" i="3"/>
  <c r="T225" i="3"/>
  <c r="A225" i="3" s="1"/>
  <c r="U226" i="3"/>
  <c r="T226" i="3" s="1"/>
  <c r="T216" i="3"/>
  <c r="A216" i="3" s="1"/>
  <c r="U217" i="3"/>
  <c r="T217" i="3" s="1"/>
  <c r="U208" i="3"/>
  <c r="T207" i="3"/>
  <c r="A207" i="3" s="1"/>
  <c r="A226" i="3" l="1"/>
  <c r="A217" i="3"/>
  <c r="U227" i="3"/>
  <c r="T227" i="3" s="1"/>
  <c r="U218" i="3"/>
  <c r="T218" i="3" s="1"/>
  <c r="U209" i="3"/>
  <c r="T208" i="3"/>
  <c r="A208" i="3" s="1"/>
  <c r="A227" i="3" l="1"/>
  <c r="A218" i="3"/>
  <c r="U228" i="3"/>
  <c r="T228" i="3" s="1"/>
  <c r="U219" i="3"/>
  <c r="T219" i="3" s="1"/>
  <c r="U210" i="3"/>
  <c r="T209" i="3"/>
  <c r="A209" i="3" s="1"/>
  <c r="A228" i="3" l="1"/>
  <c r="A219" i="3"/>
  <c r="U229" i="3"/>
  <c r="T229" i="3" s="1"/>
  <c r="U220" i="3"/>
  <c r="T220" i="3" s="1"/>
  <c r="U211" i="3"/>
  <c r="T210" i="3"/>
  <c r="A210" i="3" s="1"/>
  <c r="A229" i="3" l="1"/>
  <c r="A220" i="3"/>
  <c r="U230" i="3"/>
  <c r="T230" i="3" s="1"/>
  <c r="U221" i="3"/>
  <c r="T221" i="3" s="1"/>
  <c r="U212" i="3"/>
  <c r="T211" i="3"/>
  <c r="A211" i="3" s="1"/>
  <c r="A230" i="3" l="1"/>
  <c r="A221" i="3"/>
  <c r="U231" i="3"/>
  <c r="T231" i="3" s="1"/>
  <c r="U222" i="3"/>
  <c r="T222" i="3" s="1"/>
  <c r="U213" i="3"/>
  <c r="T212" i="3"/>
  <c r="A212" i="3" s="1"/>
  <c r="A231" i="3" l="1"/>
  <c r="A222" i="3"/>
  <c r="T213" i="3"/>
  <c r="A213"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7"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<sst xmlns="http://schemas.openxmlformats.org/spreadsheetml/2006/main" count="699" uniqueCount="382">
  <si>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</si>
  <si>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</si>
  <si>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</si>
  <si>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</si>
  <si>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</si>
  <si>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</si>
  <si>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</si>
  <si>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</si>
  <si>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</si>
  <si>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</si>
  <si>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</si>
  <si>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</si>
  <si>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</si>
  <si>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</si>
  <si>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</si>
  <si>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</si>
  <si>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</si>
  <si>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</si>
  <si>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</si>
  <si>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</si>
  <si>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</si>
  <si>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</si>
  <si>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</si>
  <si>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</si>
  <si>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</si>
  <si>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</si>
  <si>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</si>
  <si>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</si>
  <si>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</si>
  <si>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</si>
  <si>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</si>
  <si>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</si>
  <si>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</si>
  <si>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</si>
  <si>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</si>
  <si>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</si>
  <si>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</si>
  <si>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</si>
  <si>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</si>
  <si>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</si>
  <si>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</si>
  <si>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</si>
  <si>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</si>
  <si>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</si>
  <si>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</si>
  <si>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</si>
  <si>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</si>
  <si>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</si>
  <si>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</si>
  <si>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</si>
  <si>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</si>
  <si>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</si>
  <si>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</si>
  <si>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</si>
  <si>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</si>
  <si>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</si>
  <si>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</si>
  <si>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</si>
  <si>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</si>
  <si>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</si>
  <si>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</si>
  <si>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</si>
  <si>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</si>
  <si>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</si>
  <si>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</si>
  <si>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</si>
  <si>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</si>
  <si>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</si>
  <si>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</si>
  <si>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</si>
  <si>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</si>
  <si>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</si>
  <si>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</si>
  <si>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</si>
  <si>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</si>
  <si>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</si>
  <si>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</si>
  <si>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</si>
  <si>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</si>
  <si>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</si>
  <si>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</si>
  <si>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</si>
  <si>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</si>
  <si>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</si>
  <si>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</si>
  <si>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</si>
  <si>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</si>
  <si>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</si>
  <si>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</si>
  <si>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</si>
  <si>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</si>
  <si>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</si>
  <si>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</si>
  <si>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</si>
  <si>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</si>
  <si>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</si>
  <si>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</si>
  <si>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</si>
  <si>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</si>
  <si>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</si>
  <si>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</si>
  <si>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</si>
  <si>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</si>
  <si>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</si>
  <si>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</si>
  <si>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</si>
  <si>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</si>
  <si>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</si>
  <si>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</si>
  <si>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</si>
  <si>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</si>
  <si>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</si>
  <si>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</si>
  <si>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</si>
  <si>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</si>
  <si>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</si>
  <si>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</si>
  <si>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</si>
  <si>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</si>
  <si>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</si>
  <si>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</si>
  <si>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</si>
  <si>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</si>
  <si>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</si>
  <si>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</si>
  <si>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</si>
  <si>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</si>
  <si>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</si>
  <si>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</si>
  <si>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</si>
  <si>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</si>
  <si>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</si>
  <si>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</si>
  <si>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</si>
  <si>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</si>
  <si>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</si>
  <si>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</si>
  <si>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</si>
  <si>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</si>
  <si>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</si>
  <si>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</si>
  <si>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</si>
  <si>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</si>
  <si>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</si>
  <si>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</si>
  <si>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</si>
  <si>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</si>
  <si>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</si>
  <si>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</si>
  <si>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</si>
  <si>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</si>
  <si>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</si>
  <si>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</si>
  <si>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</si>
  <si>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</si>
  <si>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</si>
  <si>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</si>
  <si>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</si>
  <si>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</si>
  <si>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</si>
  <si>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Approved Layout &amp; Floor Plans, CC, RERA certificate, NOC</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</si>
  <si>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</si>
  <si>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</si>
  <si>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</si>
  <si>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</si>
  <si>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</si>
  <si>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</si>
  <si>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</si>
  <si>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</si>
  <si>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</si>
  <si>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</si>
  <si>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</si>
  <si>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</si>
  <si>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</si>
  <si>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</si>
  <si>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</si>
  <si>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</si>
  <si>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</si>
  <si>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</si>
  <si>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</si>
  <si>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</si>
  <si>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</si>
  <si>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</si>
  <si>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</si>
  <si>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</si>
  <si>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</si>
  <si>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</si>
  <si>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</si>
  <si>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</si>
  <si>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</si>
  <si>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</si>
  <si>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</si>
  <si>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</si>
  <si>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</si>
  <si>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</si>
  <si>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</si>
  <si>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</si>
  <si>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</si>
  <si>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</si>
  <si>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</si>
  <si>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</si>
  <si>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</si>
  <si>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</si>
  <si>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</si>
  <si>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</si>
  <si>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</si>
  <si>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</si>
  <si>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</si>
  <si>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</si>
  <si>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</si>
  <si>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</si>
  <si>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</si>
  <si>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</si>
  <si>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</si>
  <si>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</si>
  <si>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</si>
  <si>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</si>
  <si>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</si>
  <si>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</si>
  <si>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</si>
  <si>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</si>
  <si>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</si>
  <si>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</si>
  <si>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</si>
  <si>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</si>
  <si>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</si>
  <si>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</si>
  <si>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</si>
  <si>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</si>
  <si>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</si>
  <si>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</si>
  <si>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</si>
  <si>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</si>
  <si>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</si>
  <si>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</si>
  <si>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</si>
  <si>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</si>
  <si>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</si>
  <si>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</si>
  <si>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</si>
  <si>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</si>
  <si>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</si>
  <si>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</si>
  <si>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</si>
  <si>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</si>
  <si>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</si>
  <si>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</si>
  <si>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</si>
  <si>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</si>
  <si>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</si>
  <si>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</si>
  <si>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</si>
  <si>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</si>
  <si>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</si>
  <si>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</si>
  <si>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</si>
  <si>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</si>
  <si>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</si>
  <si>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</si>
  <si>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</si>
  <si>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</si>
  <si>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</si>
  <si>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</si>
  <si>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</si>
  <si>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</si>
  <si>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</si>
  <si>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</si>
  <si>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</si>
  <si>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</si>
  <si>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</si>
  <si>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</si>
  <si>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</si>
  <si>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</si>
  <si>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</si>
  <si>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</si>
  <si>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</si>
  <si>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</si>
  <si>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</si>
  <si>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</si>
  <si>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</si>
  <si>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</si>
  <si>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</si>
  <si>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</si>
  <si>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</si>
  <si>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</si>
  <si>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</si>
  <si>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</si>
  <si>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</si>
  <si>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</si>
  <si>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</si>
  <si>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</si>
  <si>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</si>
  <si>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</si>
  <si>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</si>
  <si>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</si>
  <si>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</si>
  <si>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</si>
  <si>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</si>
  <si>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</si>
  <si>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</si>
  <si>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</si>
  <si>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</si>
  <si>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</si>
  <si>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</si>
  <si>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</si>
  <si>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</si>
  <si>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</si>
  <si>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</si>
  <si>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</si>
  <si>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Upper</t>
  </si>
  <si>
    <t>7 RCC
3Brick 
2 plaster</t>
  </si>
  <si>
    <t>Mr. Suraj Khare</t>
  </si>
  <si>
    <t>Narang Vivenda</t>
  </si>
  <si>
    <t>Mumbai-RO Thane</t>
  </si>
  <si>
    <t>Narang Propco Private Limited</t>
  </si>
  <si>
    <t>Narang Propco Private Limited (Narang Realty)</t>
  </si>
  <si>
    <t>Windsor, 1st floor, C.S.T. Road,, Kalina, Santacruz (East),, Mumbai, Maharashtra 400098</t>
  </si>
  <si>
    <t>Narang Vivenda, CTS No. 307/3 ,307/4 ,307/5 ,307/6, Evershine Nagar Rd, Malad, Malad West, Mumbai, Maharashtra 400064</t>
  </si>
  <si>
    <t>Proposed Redevelopment of Residential Building on Plot No. 1 to 7 Bearing CTS No. 307/3, 307/4, 307/5 and 307/6 of Village Valnai at Malad (West), Mumbai</t>
  </si>
  <si>
    <t xml:space="preserve">Narang Vivenda, Plot No.1 to 7 &amp; CTS No. 307/3, 307/4, 307/5 &amp; 307/6
Redevelopement of "Ushma Nagar CHS Federation Ltd", near Sandesh CHS,
Evershine Nagar Road, Ushma Nagar, Valnai, Malad West, Borivali, Mumbai -
400064.
</t>
  </si>
  <si>
    <t xml:space="preserve">Municipal Corporation of Greater Mumbai (MCGM)
</t>
  </si>
  <si>
    <t>P51800055504</t>
  </si>
  <si>
    <t>ICICI BANK LIMITED
IFSC Code - ICIC0007710</t>
  </si>
  <si>
    <t>19.1941039,72.8324685</t>
  </si>
  <si>
    <t>Abrol Vastu Park</t>
  </si>
  <si>
    <t>https://maps.app.goo.gl/SGoqJcusRRqZ4LRz7</t>
  </si>
  <si>
    <t>Fitness Center, Swimming Pool, Play Park, Multipurpose Lawn, Mini Theatre, Kids Play Area, Indoor games, Seating Area, Banquet Hall, etc.</t>
  </si>
  <si>
    <t xml:space="preserve">As per RERA Site Flats &amp; Shop = Not provided </t>
  </si>
  <si>
    <t>Concrete</t>
  </si>
  <si>
    <t>13.40M</t>
  </si>
  <si>
    <t>0.550 KM from Evershine Nagar (Malad-W) Bus Stop</t>
  </si>
  <si>
    <t>About 0.350 KM from Ryan International School, Malad</t>
  </si>
  <si>
    <t xml:space="preserve">About 0.700 KM form Zenith Hospital </t>
  </si>
  <si>
    <t>Distance from the Main C (Km)</t>
  </si>
  <si>
    <t>1. Approx. 1.20 KM from 20th Century Super Market.
2. Approx. 1.20 KM from Reliance SMART Superstore.</t>
  </si>
  <si>
    <t>3.30 KM from Malad Railway Station
3.40 KM from Kandivli Railway Station</t>
  </si>
  <si>
    <t>Other Plot</t>
  </si>
  <si>
    <t>13.40 M W Road</t>
  </si>
  <si>
    <t>Sandesh CHS</t>
  </si>
  <si>
    <t>Samir CHS</t>
  </si>
  <si>
    <t>Vishal Nagar CHS</t>
  </si>
  <si>
    <t>Evershine Nagar Road</t>
  </si>
  <si>
    <t>Building No.1 (Wing D) = 2B + G + P1 to P4 + 5th to 38th Floor</t>
  </si>
  <si>
    <t>Building No.1 (Wing D) = 2B + G + P1 to P4 + 5th to 39th Floor</t>
  </si>
  <si>
    <t xml:space="preserve">Building No. 1 (Wing D) </t>
  </si>
  <si>
    <t>P-15166/2023/(307/3 AND OTHER) P/N WARD/ VALNAI/337/2/AMEND</t>
  </si>
  <si>
    <t>P-15166/2023/(307/3 And Other)/P/N Ward/VALNAI/ FCC/3/Amend</t>
  </si>
  <si>
    <t>This C.C. is now granted for the work of remaining podium portion between Wing ‘A’ &amp; ‘D’ of building No. 1 comprising of 02 levels basement + stilt (pt) + ground (pt)+ 1st to 4th level podium (Marked E-F-G-H in plan) as per approved amended plans dtd. 20.08.2024.</t>
  </si>
  <si>
    <t xml:space="preserve">SIA/MH/INFRA2/422706/2023
Valid Up to:
CTS No. 307/3, 307/4, 307/5 &amp; 307/6
Proposed Builtup Area = 99419.94 Sq.m
</t>
  </si>
  <si>
    <t>Fire NOC Details</t>
  </si>
  <si>
    <t>Lower &amp; Upper Basement for Parking</t>
  </si>
  <si>
    <t>Ground Floor For Commercial, Electrical Panel Room, Meter Room &amp; Parking</t>
  </si>
  <si>
    <t>Rehab</t>
  </si>
  <si>
    <t>Shop</t>
  </si>
  <si>
    <t>1st to 3rd Podium Floor For Parking</t>
  </si>
  <si>
    <t>4th Podium Floor For Amenity</t>
  </si>
  <si>
    <t>Building No.1 (Wing D)</t>
  </si>
  <si>
    <t>5th Floor For Residential</t>
  </si>
  <si>
    <t>3BHK</t>
  </si>
  <si>
    <t>2BHK</t>
  </si>
  <si>
    <t>6th, 8th to 13th, 15th to 19th, 22nd to 27th, 29th to 34th &amp; 36th to 38th Floor For Residential</t>
  </si>
  <si>
    <t>4BHK</t>
  </si>
  <si>
    <t>20th Floor</t>
  </si>
  <si>
    <t>7th, 14th, 21st &amp; 28th Floor (Part Refuge Area)</t>
  </si>
  <si>
    <t>35th Floor (Part Refuge Area)</t>
  </si>
  <si>
    <t>1BHK</t>
  </si>
  <si>
    <t>Refuge Area</t>
  </si>
  <si>
    <t>P-15155/2023/(307/3 And Other)/P/N Ward/Valnai-CFO/ 1/New
Wing D = 2B + Gr. + 1P to 4P + 5th to 39th Floor (Total height = 138.39 mtrs)</t>
  </si>
  <si>
    <t>In Wing D, flat no. 2003 &amp; 2004 is merged as Single unit named as flat no.2003.</t>
  </si>
  <si>
    <t xml:space="preserve">We considered Gross carpet area = Net carpet + Balcony.
</t>
  </si>
  <si>
    <t>Wing D</t>
  </si>
  <si>
    <t>Wing D (Shop)</t>
  </si>
  <si>
    <t>Sale Flats = 254    
Rehab Flats = 04
Shop = 14</t>
  </si>
  <si>
    <t>Sanket Salvi</t>
  </si>
  <si>
    <t>Ms. Sneha</t>
  </si>
  <si>
    <t>31000 to 32000</t>
  </si>
  <si>
    <t>Please provide revised CC.</t>
  </si>
  <si>
    <t>We have taken approved plans &amp; CC from MCGM Site on 09/07/2025.</t>
  </si>
  <si>
    <t>30/09/2025 @ 01:49PM</t>
  </si>
  <si>
    <t>P-15166/2023/(307/3 And Other)/P/N Ward/VALNAI/ FCC/2/Amend</t>
  </si>
  <si>
    <t>This Further C.C. is now granted for the work above the remaining portion of plinth of sale Wing ‘D’ of building No. 1 (i.e. entire Wing ‘D’) comprising of 02 levels basement + stilt (pt) + ground (pt) + 1st to 4th level podium + 5th to 36th upper floors as per approved amended plans dated 20.08.2024.</t>
  </si>
  <si>
    <t>Construction work is in process at the time of Visit. Internal visit was not allowed.</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</si>
</sst>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2">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0"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center" wrapText="1"/>
    </xf>
    <xf numFmtId="1" fontId="3" fillId="0" borderId="1" xfId="0" applyNumberFormat="1" applyFont="1" applyBorder="1" applyAlignment="1">
      <alignment horizontal="center" vertical="top"/>
    </xf>
    <xf numFmtId="14" fontId="4" fillId="4" borderId="1" xfId="0" applyNumberFormat="1"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0" fontId="3" fillId="0" borderId="0" xfId="0" applyFont="1" applyAlignment="1">
      <alignment vertical="center"/>
    </xf>
    <xf numFmtId="14" fontId="3" fillId="0" borderId="0" xfId="0" applyNumberFormat="1" applyFont="1" applyAlignment="1">
      <alignment vertical="top"/>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Border="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6" fillId="4" borderId="7"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0" applyFont="1" applyFill="1" applyBorder="1" applyAlignment="1">
      <alignment horizontal="left" vertical="top" wrapText="1"/>
    </xf>
    <xf numFmtId="0" fontId="26" fillId="4" borderId="1" xfId="2" applyFont="1" applyFill="1" applyBorder="1" applyAlignment="1">
      <alignment horizontal="center" vertical="top" wrapText="1"/>
    </xf>
    <xf numFmtId="0" fontId="4" fillId="4" borderId="1" xfId="0" applyFont="1" applyFill="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1" xfId="0" applyFont="1" applyFill="1" applyBorder="1" applyAlignment="1">
      <alignment horizontal="left" vertical="top"/>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1" xfId="0" applyFont="1" applyFill="1" applyBorder="1" applyAlignment="1">
      <alignment horizontal="left" vertical="top" wrapText="1"/>
    </xf>
    <xf numFmtId="0" fontId="2" fillId="0" borderId="1" xfId="0" applyFont="1" applyBorder="1" applyAlignment="1">
      <alignment horizontal="left" vertical="top" wrapText="1"/>
    </xf>
    <xf numFmtId="0" fontId="2"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3" xfId="0" applyFont="1" applyBorder="1" applyAlignment="1">
      <alignment horizontal="left" vertical="top" wrapText="1"/>
    </xf>
    <xf numFmtId="0" fontId="4" fillId="0" borderId="2" xfId="0" applyFont="1" applyFill="1" applyBorder="1" applyAlignment="1">
      <alignment horizontal="left" vertical="top" wrapText="1"/>
    </xf>
    <xf numFmtId="0" fontId="4" fillId="0" borderId="5" xfId="0" applyFont="1" applyFill="1" applyBorder="1" applyAlignment="1">
      <alignment horizontal="left" vertical="top" wrapText="1"/>
    </xf>
    <xf numFmtId="0" fontId="9" fillId="4" borderId="2" xfId="0" applyFont="1" applyFill="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1945822</xdr:colOff>
      <xdr:row>8</xdr:row>
      <xdr:rowOff>27214</xdr:rowOff>
    </xdr:from>
    <xdr:to>
      <xdr:col>17</xdr:col>
      <xdr:colOff>178245</xdr:colOff>
      <xdr:row>10</xdr:row>
      <xdr:rowOff>77404</xdr:rowOff>
    </xdr:to>
    <xdr:pic>
      <xdr:nvPicPr>
        <xdr:cNvPr id="2" name="Picture 1"/>
        <xdr:cNvPicPr>
          <a:picLocks noChangeAspect="1"/>
        </xdr:cNvPicPr>
      </xdr:nvPicPr>
      <xdr:blipFill>
        <a:blip xmlns:r="http://schemas.openxmlformats.org/officeDocument/2006/relationships" r:embed="rId1"/>
        <a:stretch>
          <a:fillRect/>
        </a:stretch>
      </xdr:blipFill>
      <xdr:spPr>
        <a:xfrm>
          <a:off x="11307536" y="3850821"/>
          <a:ext cx="6009524" cy="1247619"/>
        </a:xfrm>
        <a:prstGeom prst="rect">
          <a:avLst/>
        </a:prstGeom>
      </xdr:spPr>
    </xdr:pic>
    <xdr:clientData/>
  </xdr:twoCellAnchor>
  <xdr:twoCellAnchor>
    <xdr:from>
      <xdr:col>2</xdr:col>
      <xdr:colOff>131902</xdr:colOff>
      <xdr:row>291</xdr:row>
      <xdr:rowOff>34636</xdr:rowOff>
    </xdr:from>
    <xdr:to>
      <xdr:col>6</xdr:col>
      <xdr:colOff>69273</xdr:colOff>
      <xdr:row>312</xdr:row>
      <xdr:rowOff>86590</xdr:rowOff>
    </xdr:to>
    <xdr:grpSp>
      <xdr:nvGrpSpPr>
        <xdr:cNvPr id="4" name="Group 3"/>
        <xdr:cNvGrpSpPr/>
      </xdr:nvGrpSpPr>
      <xdr:grpSpPr>
        <a:xfrm>
          <a:off x="2472331" y="73581243"/>
          <a:ext cx="4618228" cy="5481204"/>
          <a:chOff x="1264715" y="60534174"/>
          <a:chExt cx="3772036" cy="4320000"/>
        </a:xfrm>
      </xdr:grpSpPr>
      <xdr:pic>
        <xdr:nvPicPr>
          <xdr:cNvPr id="5" name="Picture 4"/>
          <xdr:cNvPicPr>
            <a:picLocks noChangeAspect="1"/>
          </xdr:cNvPicPr>
        </xdr:nvPicPr>
        <xdr:blipFill>
          <a:blip xmlns:r="http://schemas.openxmlformats.org/officeDocument/2006/relationships" r:embed="rId2"/>
          <a:stretch>
            <a:fillRect/>
          </a:stretch>
        </xdr:blipFill>
        <xdr:spPr>
          <a:xfrm>
            <a:off x="1264715" y="60534174"/>
            <a:ext cx="3772036" cy="4320000"/>
          </a:xfrm>
          <a:prstGeom prst="rect">
            <a:avLst/>
          </a:prstGeom>
          <a:ln>
            <a:solidFill>
              <a:schemeClr val="tx1"/>
            </a:solidFill>
          </a:ln>
        </xdr:spPr>
      </xdr:pic>
      <xdr:cxnSp macro="">
        <xdr:nvCxnSpPr>
          <xdr:cNvPr id="6" name="Straight Arrow Connector 5"/>
          <xdr:cNvCxnSpPr/>
        </xdr:nvCxnSpPr>
        <xdr:spPr>
          <a:xfrm flipV="1">
            <a:off x="1712948" y="63907147"/>
            <a:ext cx="1" cy="53788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TextBox 6"/>
          <xdr:cNvSpPr txBox="1"/>
        </xdr:nvSpPr>
        <xdr:spPr>
          <a:xfrm>
            <a:off x="1533655" y="63503733"/>
            <a:ext cx="414618"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N</a:t>
            </a:r>
          </a:p>
        </xdr:txBody>
      </xdr:sp>
    </xdr:grpSp>
    <xdr:clientData/>
  </xdr:twoCellAnchor>
  <xdr:twoCellAnchor>
    <xdr:from>
      <xdr:col>0</xdr:col>
      <xdr:colOff>242455</xdr:colOff>
      <xdr:row>313</xdr:row>
      <xdr:rowOff>22161</xdr:rowOff>
    </xdr:from>
    <xdr:to>
      <xdr:col>7</xdr:col>
      <xdr:colOff>1047294</xdr:colOff>
      <xdr:row>333</xdr:row>
      <xdr:rowOff>69272</xdr:rowOff>
    </xdr:to>
    <xdr:grpSp>
      <xdr:nvGrpSpPr>
        <xdr:cNvPr id="13" name="Group 12"/>
        <xdr:cNvGrpSpPr/>
      </xdr:nvGrpSpPr>
      <xdr:grpSpPr>
        <a:xfrm>
          <a:off x="242455" y="79256554"/>
          <a:ext cx="8996339" cy="5217825"/>
          <a:chOff x="242455" y="78265706"/>
          <a:chExt cx="9048294" cy="5242566"/>
        </a:xfrm>
      </xdr:grpSpPr>
      <xdr:pic>
        <xdr:nvPicPr>
          <xdr:cNvPr id="3" name="Picture 2"/>
          <xdr:cNvPicPr>
            <a:picLocks noChangeAspect="1"/>
          </xdr:cNvPicPr>
        </xdr:nvPicPr>
        <xdr:blipFill>
          <a:blip xmlns:r="http://schemas.openxmlformats.org/officeDocument/2006/relationships" r:embed="rId3"/>
          <a:stretch>
            <a:fillRect/>
          </a:stretch>
        </xdr:blipFill>
        <xdr:spPr>
          <a:xfrm>
            <a:off x="242455" y="78265706"/>
            <a:ext cx="9048294" cy="5242566"/>
          </a:xfrm>
          <a:prstGeom prst="rect">
            <a:avLst/>
          </a:prstGeom>
          <a:ln>
            <a:solidFill>
              <a:schemeClr val="tx1"/>
            </a:solidFill>
          </a:ln>
        </xdr:spPr>
      </xdr:pic>
      <xdr:grpSp>
        <xdr:nvGrpSpPr>
          <xdr:cNvPr id="8" name="Group 7"/>
          <xdr:cNvGrpSpPr/>
        </xdr:nvGrpSpPr>
        <xdr:grpSpPr>
          <a:xfrm>
            <a:off x="8037676" y="78646706"/>
            <a:ext cx="414618" cy="930088"/>
            <a:chOff x="5580530" y="64994118"/>
            <a:chExt cx="414618" cy="930088"/>
          </a:xfrm>
        </xdr:grpSpPr>
        <xdr:cxnSp macro="">
          <xdr:nvCxnSpPr>
            <xdr:cNvPr id="9" name="Straight Arrow Connector 8"/>
            <xdr:cNvCxnSpPr/>
          </xdr:nvCxnSpPr>
          <xdr:spPr>
            <a:xfrm flipV="1">
              <a:off x="5771029" y="65386326"/>
              <a:ext cx="1" cy="53788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TextBox 9"/>
            <xdr:cNvSpPr txBox="1"/>
          </xdr:nvSpPr>
          <xdr:spPr>
            <a:xfrm>
              <a:off x="5580530" y="64994118"/>
              <a:ext cx="414618"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N</a:t>
              </a:r>
            </a:p>
          </xdr:txBody>
        </xdr:sp>
      </xdr:grpSp>
      <xdr:sp macro="" textlink="">
        <xdr:nvSpPr>
          <xdr:cNvPr id="11" name="Rectangle 10"/>
          <xdr:cNvSpPr/>
        </xdr:nvSpPr>
        <xdr:spPr>
          <a:xfrm>
            <a:off x="4000500" y="80771749"/>
            <a:ext cx="2320635" cy="2043796"/>
          </a:xfrm>
          <a:prstGeom prst="rect">
            <a:avLst/>
          </a:prstGeom>
          <a:noFill/>
          <a:ln w="571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2" name="TextBox 11"/>
          <xdr:cNvSpPr txBox="1"/>
        </xdr:nvSpPr>
        <xdr:spPr>
          <a:xfrm>
            <a:off x="4325471" y="80323514"/>
            <a:ext cx="2705711" cy="448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002060"/>
                </a:solidFill>
              </a:rPr>
              <a:t>Building</a:t>
            </a:r>
            <a:r>
              <a:rPr lang="en-IN" sz="2000" b="1" baseline="0">
                <a:solidFill>
                  <a:srgbClr val="002060"/>
                </a:solidFill>
              </a:rPr>
              <a:t> No.1 Wing D (Sale)</a:t>
            </a:r>
            <a:endParaRPr lang="en-IN" sz="2000" b="1">
              <a:solidFill>
                <a:srgbClr val="002060"/>
              </a:solidFill>
            </a:endParaRPr>
          </a:p>
        </xdr:txBody>
      </xdr:sp>
    </xdr:grpSp>
    <xdr:clientData/>
  </xdr:twoCellAnchor>
  <xdr:twoCellAnchor>
    <xdr:from>
      <xdr:col>1</xdr:col>
      <xdr:colOff>467590</xdr:colOff>
      <xdr:row>340</xdr:row>
      <xdr:rowOff>121228</xdr:rowOff>
    </xdr:from>
    <xdr:to>
      <xdr:col>6</xdr:col>
      <xdr:colOff>658091</xdr:colOff>
      <xdr:row>369</xdr:row>
      <xdr:rowOff>0</xdr:rowOff>
    </xdr:to>
    <xdr:grpSp>
      <xdr:nvGrpSpPr>
        <xdr:cNvPr id="18" name="Group 17"/>
        <xdr:cNvGrpSpPr/>
      </xdr:nvGrpSpPr>
      <xdr:grpSpPr>
        <a:xfrm>
          <a:off x="1637804" y="86336085"/>
          <a:ext cx="6041573" cy="7376308"/>
          <a:chOff x="1645226" y="85378637"/>
          <a:chExt cx="6078683" cy="7412181"/>
        </a:xfrm>
      </xdr:grpSpPr>
      <xdr:pic>
        <xdr:nvPicPr>
          <xdr:cNvPr id="14" name="Picture 13"/>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645226" y="85378637"/>
            <a:ext cx="6078683" cy="3384862"/>
          </a:xfrm>
          <a:prstGeom prst="rect">
            <a:avLst/>
          </a:prstGeom>
          <a:ln>
            <a:solidFill>
              <a:schemeClr val="tx1"/>
            </a:solidFill>
          </a:ln>
        </xdr:spPr>
      </xdr:pic>
      <xdr:grpSp>
        <xdr:nvGrpSpPr>
          <xdr:cNvPr id="17" name="Group 16"/>
          <xdr:cNvGrpSpPr/>
        </xdr:nvGrpSpPr>
        <xdr:grpSpPr>
          <a:xfrm>
            <a:off x="1870363" y="88859591"/>
            <a:ext cx="5602917" cy="3931227"/>
            <a:chOff x="1870363" y="88859591"/>
            <a:chExt cx="5602917" cy="3931227"/>
          </a:xfrm>
        </xdr:grpSpPr>
        <xdr:pic>
          <xdr:nvPicPr>
            <xdr:cNvPr id="15" name="Picture 14"/>
            <xdr:cNvPicPr>
              <a:picLocks noChangeAspect="1"/>
            </xdr:cNvPicPr>
          </xdr:nvPicPr>
          <xdr:blipFill rotWithShape="1">
            <a:blip xmlns:r="http://schemas.openxmlformats.org/officeDocument/2006/relationships" r:embed="rId5"/>
            <a:srcRect b="9091"/>
            <a:stretch/>
          </xdr:blipFill>
          <xdr:spPr>
            <a:xfrm>
              <a:off x="1870363" y="88859591"/>
              <a:ext cx="5602917" cy="3931227"/>
            </a:xfrm>
            <a:prstGeom prst="rect">
              <a:avLst/>
            </a:prstGeom>
            <a:ln>
              <a:solidFill>
                <a:schemeClr val="tx1"/>
              </a:solidFill>
            </a:ln>
          </xdr:spPr>
        </xdr:pic>
        <xdr:sp macro="" textlink="">
          <xdr:nvSpPr>
            <xdr:cNvPr id="16" name="Rectangle 15"/>
            <xdr:cNvSpPr/>
          </xdr:nvSpPr>
          <xdr:spPr>
            <a:xfrm rot="21345118">
              <a:off x="3760880" y="89962240"/>
              <a:ext cx="1402937" cy="1144114"/>
            </a:xfrm>
            <a:prstGeom prst="rect">
              <a:avLst/>
            </a:prstGeom>
            <a:noFill/>
            <a:ln w="57150">
              <a:solidFill>
                <a:srgbClr val="FCF5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editAs="oneCell">
    <xdr:from>
      <xdr:col>11</xdr:col>
      <xdr:colOff>449035</xdr:colOff>
      <xdr:row>119</xdr:row>
      <xdr:rowOff>204107</xdr:rowOff>
    </xdr:from>
    <xdr:to>
      <xdr:col>18</xdr:col>
      <xdr:colOff>176893</xdr:colOff>
      <xdr:row>129</xdr:row>
      <xdr:rowOff>20145</xdr:rowOff>
    </xdr:to>
    <xdr:pic>
      <xdr:nvPicPr>
        <xdr:cNvPr id="19" name="Picture 18"/>
        <xdr:cNvPicPr>
          <a:picLocks noChangeAspect="1"/>
        </xdr:cNvPicPr>
      </xdr:nvPicPr>
      <xdr:blipFill>
        <a:blip xmlns:r="http://schemas.openxmlformats.org/officeDocument/2006/relationships" r:embed="rId6"/>
        <a:stretch>
          <a:fillRect/>
        </a:stretch>
      </xdr:blipFill>
      <xdr:spPr>
        <a:xfrm>
          <a:off x="13484678" y="36140571"/>
          <a:ext cx="4447619" cy="2142858"/>
        </a:xfrm>
        <a:prstGeom prst="rect">
          <a:avLst/>
        </a:prstGeom>
      </xdr:spPr>
    </xdr:pic>
    <xdr:clientData/>
  </xdr:twoCellAnchor>
  <xdr:twoCellAnchor editAs="oneCell">
    <xdr:from>
      <xdr:col>10</xdr:col>
      <xdr:colOff>264939</xdr:colOff>
      <xdr:row>77</xdr:row>
      <xdr:rowOff>206987</xdr:rowOff>
    </xdr:from>
    <xdr:to>
      <xdr:col>26</xdr:col>
      <xdr:colOff>438393</xdr:colOff>
      <xdr:row>119</xdr:row>
      <xdr:rowOff>50542</xdr:rowOff>
    </xdr:to>
    <xdr:pic>
      <xdr:nvPicPr>
        <xdr:cNvPr id="20" name="Picture 19"/>
        <xdr:cNvPicPr>
          <a:picLocks noChangeAspect="1"/>
        </xdr:cNvPicPr>
      </xdr:nvPicPr>
      <xdr:blipFill>
        <a:blip xmlns:r="http://schemas.openxmlformats.org/officeDocument/2006/relationships" r:embed="rId7"/>
        <a:stretch>
          <a:fillRect/>
        </a:stretch>
      </xdr:blipFill>
      <xdr:spPr>
        <a:xfrm>
          <a:off x="12688260" y="32619201"/>
          <a:ext cx="8487419" cy="3367805"/>
        </a:xfrm>
        <a:prstGeom prst="rect">
          <a:avLst/>
        </a:prstGeom>
      </xdr:spPr>
    </xdr:pic>
    <xdr:clientData/>
  </xdr:twoCellAnchor>
  <xdr:twoCellAnchor>
    <xdr:from>
      <xdr:col>8</xdr:col>
      <xdr:colOff>938892</xdr:colOff>
      <xdr:row>246</xdr:row>
      <xdr:rowOff>229281</xdr:rowOff>
    </xdr:from>
    <xdr:to>
      <xdr:col>23</xdr:col>
      <xdr:colOff>535426</xdr:colOff>
      <xdr:row>278</xdr:row>
      <xdr:rowOff>29938</xdr:rowOff>
    </xdr:to>
    <xdr:grpSp>
      <xdr:nvGrpSpPr>
        <xdr:cNvPr id="26" name="Group 25"/>
        <xdr:cNvGrpSpPr/>
      </xdr:nvGrpSpPr>
      <xdr:grpSpPr>
        <a:xfrm>
          <a:off x="10300606" y="62141781"/>
          <a:ext cx="9216784" cy="8073800"/>
          <a:chOff x="95250" y="60209566"/>
          <a:chExt cx="9216784" cy="8073800"/>
        </a:xfrm>
      </xdr:grpSpPr>
      <xdr:pic>
        <xdr:nvPicPr>
          <xdr:cNvPr id="21" name="Picture 20" descr="https://vsjcllp.vsjadon.com/upload/insp-239641-152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6150428" y="64701963"/>
            <a:ext cx="2681215" cy="357868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39641-847.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47008" y="64704686"/>
            <a:ext cx="2681215" cy="357868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39641-849.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95250" y="60209566"/>
            <a:ext cx="5829341" cy="437605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9641-85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6033408" y="60217050"/>
            <a:ext cx="3278626" cy="437605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9641-93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341915" y="64696522"/>
            <a:ext cx="2681215" cy="357868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683077</xdr:colOff>
      <xdr:row>246</xdr:row>
      <xdr:rowOff>59870</xdr:rowOff>
    </xdr:from>
    <xdr:to>
      <xdr:col>7</xdr:col>
      <xdr:colOff>571501</xdr:colOff>
      <xdr:row>279</xdr:row>
      <xdr:rowOff>217714</xdr:rowOff>
    </xdr:to>
    <xdr:grpSp>
      <xdr:nvGrpSpPr>
        <xdr:cNvPr id="32" name="Group 31"/>
        <xdr:cNvGrpSpPr/>
      </xdr:nvGrpSpPr>
      <xdr:grpSpPr>
        <a:xfrm>
          <a:off x="683077" y="61972370"/>
          <a:ext cx="8079924" cy="8689523"/>
          <a:chOff x="601434" y="59944906"/>
          <a:chExt cx="8079924" cy="8689523"/>
        </a:xfrm>
      </xdr:grpSpPr>
      <xdr:pic>
        <xdr:nvPicPr>
          <xdr:cNvPr id="27" name="Picture 26" descr="https://vsjcllp.vsjadon.com/upload/insp-248813-1525.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a:ext>
            </a:extLst>
          </a:blip>
          <a:srcRect b="4876"/>
          <a:stretch/>
        </xdr:blipFill>
        <xdr:spPr bwMode="auto">
          <a:xfrm>
            <a:off x="6014356" y="65219034"/>
            <a:ext cx="2554695" cy="34153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48813-843.jp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a:ext>
            </a:extLst>
          </a:blip>
          <a:srcRect b="3742"/>
          <a:stretch/>
        </xdr:blipFill>
        <xdr:spPr bwMode="auto">
          <a:xfrm>
            <a:off x="601434" y="59955790"/>
            <a:ext cx="4029826" cy="512717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48813-849.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754336" y="59944906"/>
            <a:ext cx="3927022" cy="516527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48813-861.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639536" y="65213593"/>
            <a:ext cx="2554695" cy="34098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8813-93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3317420" y="65216314"/>
            <a:ext cx="2554695" cy="34098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244928</xdr:colOff>
      <xdr:row>24</xdr:row>
      <xdr:rowOff>0</xdr:rowOff>
    </xdr:from>
    <xdr:to>
      <xdr:col>15</xdr:col>
      <xdr:colOff>294381</xdr:colOff>
      <xdr:row>41</xdr:row>
      <xdr:rowOff>147630</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85714" y="6232071"/>
          <a:ext cx="7152381" cy="5495238"/>
        </a:xfrm>
        <a:prstGeom prst="rect">
          <a:avLst/>
        </a:prstGeom>
      </xdr:spPr>
    </xdr:pic>
    <xdr:clientData/>
  </xdr:twoCellAnchor>
  <xdr:twoCellAnchor editAs="oneCell">
    <xdr:from>
      <xdr:col>3</xdr:col>
      <xdr:colOff>503464</xdr:colOff>
      <xdr:row>25</xdr:row>
      <xdr:rowOff>136072</xdr:rowOff>
    </xdr:from>
    <xdr:to>
      <xdr:col>7</xdr:col>
      <xdr:colOff>755750</xdr:colOff>
      <xdr:row>36</xdr:row>
      <xdr:rowOff>297501</xdr:rowOff>
    </xdr:to>
    <xdr:pic>
      <xdr:nvPicPr>
        <xdr:cNvPr id="3" name="Picture 2"/>
        <xdr:cNvPicPr>
          <a:picLocks noChangeAspect="1"/>
        </xdr:cNvPicPr>
      </xdr:nvPicPr>
      <xdr:blipFill>
        <a:blip xmlns:r="http://schemas.openxmlformats.org/officeDocument/2006/relationships" r:embed="rId2"/>
        <a:stretch>
          <a:fillRect/>
        </a:stretch>
      </xdr:blipFill>
      <xdr:spPr>
        <a:xfrm>
          <a:off x="4939393" y="6558643"/>
          <a:ext cx="6457143" cy="3971429"/>
        </a:xfrm>
        <a:prstGeom prst="rect">
          <a:avLst/>
        </a:prstGeom>
      </xdr:spPr>
    </xdr:pic>
    <xdr:clientData/>
  </xdr:twoCellAnchor>
  <xdr:twoCellAnchor editAs="oneCell">
    <xdr:from>
      <xdr:col>2</xdr:col>
      <xdr:colOff>217715</xdr:colOff>
      <xdr:row>36</xdr:row>
      <xdr:rowOff>557893</xdr:rowOff>
    </xdr:from>
    <xdr:to>
      <xdr:col>6</xdr:col>
      <xdr:colOff>1057822</xdr:colOff>
      <xdr:row>49</xdr:row>
      <xdr:rowOff>662167</xdr:rowOff>
    </xdr:to>
    <xdr:pic>
      <xdr:nvPicPr>
        <xdr:cNvPr id="4" name="Picture 3"/>
        <xdr:cNvPicPr>
          <a:picLocks noChangeAspect="1"/>
        </xdr:cNvPicPr>
      </xdr:nvPicPr>
      <xdr:blipFill>
        <a:blip xmlns:r="http://schemas.openxmlformats.org/officeDocument/2006/relationships" r:embed="rId3"/>
        <a:stretch>
          <a:fillRect/>
        </a:stretch>
      </xdr:blipFill>
      <xdr:spPr>
        <a:xfrm>
          <a:off x="3469822" y="10790464"/>
          <a:ext cx="6514286" cy="4009524"/>
        </a:xfrm>
        <a:prstGeom prst="rect">
          <a:avLst/>
        </a:prstGeom>
      </xdr:spPr>
    </xdr:pic>
    <xdr:clientData/>
  </xdr:twoCellAnchor>
  <xdr:twoCellAnchor editAs="oneCell">
    <xdr:from>
      <xdr:col>6</xdr:col>
      <xdr:colOff>707572</xdr:colOff>
      <xdr:row>48</xdr:row>
      <xdr:rowOff>13608</xdr:rowOff>
    </xdr:from>
    <xdr:to>
      <xdr:col>13</xdr:col>
      <xdr:colOff>524311</xdr:colOff>
      <xdr:row>50</xdr:row>
      <xdr:rowOff>605226</xdr:rowOff>
    </xdr:to>
    <xdr:pic>
      <xdr:nvPicPr>
        <xdr:cNvPr id="5" name="Picture 4"/>
        <xdr:cNvPicPr>
          <a:picLocks noChangeAspect="1"/>
        </xdr:cNvPicPr>
      </xdr:nvPicPr>
      <xdr:blipFill>
        <a:blip xmlns:r="http://schemas.openxmlformats.org/officeDocument/2006/relationships" r:embed="rId4"/>
        <a:stretch>
          <a:fillRect/>
        </a:stretch>
      </xdr:blipFill>
      <xdr:spPr>
        <a:xfrm>
          <a:off x="9633858" y="13375822"/>
          <a:ext cx="7409524" cy="23333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SGoqJcusRRqZ4LRz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81"/>
  <sheetViews>
    <sheetView tabSelected="1" view="pageBreakPreview" topLeftCell="A66" zoomScale="70" zoomScaleNormal="85" zoomScaleSheetLayoutView="70" zoomScalePageLayoutView="70" workbookViewId="0">
      <selection activeCell="P57" sqref="P57"/>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1" width="9.140625" style="1"/>
    <col min="12" max="12" width="15.7109375" style="1" bestFit="1" customWidth="1"/>
    <col min="13" max="19" width="9.140625" style="1"/>
    <col min="20" max="22" width="0" style="1" hidden="1" customWidth="1"/>
    <col min="23" max="25" width="9.140625" style="1"/>
    <col min="26" max="26" width="7.85546875" style="1" customWidth="1"/>
    <col min="27" max="16384" width="9.140625" style="1"/>
  </cols>
  <sheetData>
    <row r="1" spans="1:14" ht="20.25" x14ac:dyDescent="0.25">
      <c r="A1" s="131" t="s">
        <v>37</v>
      </c>
      <c r="B1" s="132"/>
      <c r="C1" s="132"/>
      <c r="D1" s="132"/>
      <c r="E1" s="132"/>
      <c r="F1" s="132"/>
      <c r="G1" s="132"/>
      <c r="H1" s="133"/>
    </row>
    <row r="2" spans="1:14" ht="42" customHeight="1" x14ac:dyDescent="0.25">
      <c r="A2" s="142" t="s">
        <v>10</v>
      </c>
      <c r="B2" s="142"/>
      <c r="C2" s="116" t="s">
        <v>86</v>
      </c>
      <c r="D2" s="116"/>
      <c r="E2" s="142" t="s">
        <v>12</v>
      </c>
      <c r="F2" s="142"/>
      <c r="G2" s="173">
        <v>45929</v>
      </c>
      <c r="H2" s="116"/>
      <c r="J2" s="176"/>
      <c r="K2" s="177"/>
    </row>
    <row r="3" spans="1:14" ht="42.75" customHeight="1" x14ac:dyDescent="0.25">
      <c r="A3" s="179" t="s">
        <v>38</v>
      </c>
      <c r="B3" s="179"/>
      <c r="C3" s="180" t="s">
        <v>312</v>
      </c>
      <c r="D3" s="180"/>
      <c r="E3" s="142" t="s">
        <v>159</v>
      </c>
      <c r="F3" s="142"/>
      <c r="G3" s="116" t="s">
        <v>378</v>
      </c>
      <c r="H3" s="116"/>
      <c r="L3" s="84">
        <v>45846</v>
      </c>
      <c r="N3" s="1">
        <f>L4-L3</f>
        <v>84</v>
      </c>
    </row>
    <row r="4" spans="1:14" ht="43.5" customHeight="1" x14ac:dyDescent="0.25">
      <c r="A4" s="178" t="s">
        <v>35</v>
      </c>
      <c r="B4" s="178"/>
      <c r="C4" s="116" t="s">
        <v>374</v>
      </c>
      <c r="D4" s="116"/>
      <c r="E4" s="142" t="s">
        <v>32</v>
      </c>
      <c r="F4" s="142"/>
      <c r="G4" s="116" t="str">
        <f ca="1">TEXT(TODAY(),"DD/MM/YYYY")</f>
        <v>03/10/2025</v>
      </c>
      <c r="H4" s="116"/>
      <c r="L4" s="84">
        <v>45930</v>
      </c>
    </row>
    <row r="5" spans="1:14" ht="20.25" x14ac:dyDescent="0.25">
      <c r="A5" s="114" t="s">
        <v>39</v>
      </c>
      <c r="B5" s="114"/>
      <c r="C5" s="114"/>
      <c r="D5" s="114"/>
      <c r="E5" s="114"/>
      <c r="F5" s="114"/>
      <c r="G5" s="114"/>
      <c r="H5" s="114"/>
    </row>
    <row r="6" spans="1:14" ht="43.5" customHeight="1" x14ac:dyDescent="0.25">
      <c r="A6" s="142" t="s">
        <v>28</v>
      </c>
      <c r="B6" s="142"/>
      <c r="C6" s="116" t="s">
        <v>313</v>
      </c>
      <c r="D6" s="116"/>
      <c r="E6" s="142" t="s">
        <v>34</v>
      </c>
      <c r="F6" s="142"/>
      <c r="G6" s="116" t="s">
        <v>311</v>
      </c>
      <c r="H6" s="116"/>
    </row>
    <row r="7" spans="1:14" ht="43.5" customHeight="1" x14ac:dyDescent="0.25">
      <c r="A7" s="142" t="s">
        <v>41</v>
      </c>
      <c r="B7" s="142"/>
      <c r="C7" s="116" t="s">
        <v>314</v>
      </c>
      <c r="D7" s="116"/>
      <c r="E7" s="142" t="s">
        <v>42</v>
      </c>
      <c r="F7" s="142"/>
      <c r="G7" s="116" t="s">
        <v>315</v>
      </c>
      <c r="H7" s="116"/>
    </row>
    <row r="8" spans="1:14" ht="44.25" customHeight="1" x14ac:dyDescent="0.25">
      <c r="A8" s="142" t="s">
        <v>43</v>
      </c>
      <c r="B8" s="142"/>
      <c r="C8" s="116" t="s">
        <v>316</v>
      </c>
      <c r="D8" s="116"/>
      <c r="E8" s="116"/>
      <c r="F8" s="116"/>
      <c r="G8" s="116"/>
      <c r="H8" s="116"/>
    </row>
    <row r="9" spans="1:14" ht="45" customHeight="1" x14ac:dyDescent="0.25">
      <c r="A9" s="125" t="s">
        <v>150</v>
      </c>
      <c r="B9" s="36" t="s">
        <v>40</v>
      </c>
      <c r="C9" s="116" t="s">
        <v>317</v>
      </c>
      <c r="D9" s="116"/>
      <c r="E9" s="116"/>
      <c r="F9" s="116"/>
      <c r="G9" s="116"/>
      <c r="H9" s="116"/>
    </row>
    <row r="10" spans="1:14" ht="48.75" customHeight="1" x14ac:dyDescent="0.25">
      <c r="A10" s="125"/>
      <c r="B10" s="36" t="s">
        <v>11</v>
      </c>
      <c r="C10" s="116" t="s">
        <v>318</v>
      </c>
      <c r="D10" s="116"/>
      <c r="E10" s="116"/>
      <c r="F10" s="116"/>
      <c r="G10" s="116"/>
      <c r="H10" s="116"/>
    </row>
    <row r="11" spans="1:14" ht="82.5" customHeight="1" x14ac:dyDescent="0.25">
      <c r="A11" s="125"/>
      <c r="B11" s="36" t="s">
        <v>5</v>
      </c>
      <c r="C11" s="116" t="s">
        <v>319</v>
      </c>
      <c r="D11" s="116"/>
      <c r="E11" s="116"/>
      <c r="F11" s="116"/>
      <c r="G11" s="116"/>
      <c r="H11" s="116"/>
    </row>
    <row r="12" spans="1:14" ht="40.5" customHeight="1" x14ac:dyDescent="0.25">
      <c r="A12" s="178" t="s">
        <v>33</v>
      </c>
      <c r="B12" s="178"/>
      <c r="C12" s="116" t="s">
        <v>160</v>
      </c>
      <c r="D12" s="116"/>
      <c r="E12" s="116"/>
      <c r="F12" s="116"/>
      <c r="G12" s="116"/>
      <c r="H12" s="116"/>
    </row>
    <row r="13" spans="1:14" ht="20.100000000000001" customHeight="1" x14ac:dyDescent="0.25">
      <c r="A13" s="114" t="s">
        <v>44</v>
      </c>
      <c r="B13" s="114"/>
      <c r="C13" s="114"/>
      <c r="D13" s="114"/>
      <c r="E13" s="114"/>
      <c r="F13" s="114"/>
      <c r="G13" s="114"/>
      <c r="H13" s="114"/>
    </row>
    <row r="14" spans="1:14" ht="41.25" customHeight="1" x14ac:dyDescent="0.25">
      <c r="A14" s="142" t="s">
        <v>26</v>
      </c>
      <c r="B14" s="142" t="s">
        <v>4</v>
      </c>
      <c r="C14" s="116" t="s">
        <v>87</v>
      </c>
      <c r="D14" s="116"/>
      <c r="E14" s="142" t="s">
        <v>45</v>
      </c>
      <c r="F14" s="142" t="s">
        <v>4</v>
      </c>
      <c r="G14" s="116" t="s">
        <v>320</v>
      </c>
      <c r="H14" s="116"/>
    </row>
    <row r="15" spans="1:14" ht="41.25" customHeight="1" x14ac:dyDescent="0.25">
      <c r="A15" s="142" t="s">
        <v>46</v>
      </c>
      <c r="B15" s="142" t="s">
        <v>4</v>
      </c>
      <c r="C15" s="116" t="s">
        <v>321</v>
      </c>
      <c r="D15" s="116"/>
      <c r="E15" s="142" t="s">
        <v>47</v>
      </c>
      <c r="F15" s="142" t="s">
        <v>4</v>
      </c>
      <c r="G15" s="173">
        <v>47483</v>
      </c>
      <c r="H15" s="116"/>
    </row>
    <row r="16" spans="1:14" ht="41.25" customHeight="1" x14ac:dyDescent="0.25">
      <c r="A16" s="142" t="s">
        <v>48</v>
      </c>
      <c r="B16" s="142" t="s">
        <v>4</v>
      </c>
      <c r="C16" s="173">
        <v>45384</v>
      </c>
      <c r="D16" s="116"/>
      <c r="E16" s="142" t="s">
        <v>49</v>
      </c>
      <c r="F16" s="142" t="s">
        <v>4</v>
      </c>
      <c r="G16" s="172">
        <v>45383</v>
      </c>
      <c r="H16" s="116"/>
    </row>
    <row r="17" spans="1:8" ht="41.25" customHeight="1" x14ac:dyDescent="0.25">
      <c r="A17" s="142" t="s">
        <v>50</v>
      </c>
      <c r="B17" s="142" t="s">
        <v>4</v>
      </c>
      <c r="C17" s="173">
        <v>47483</v>
      </c>
      <c r="D17" s="116"/>
      <c r="E17" s="142" t="s">
        <v>51</v>
      </c>
      <c r="F17" s="142" t="s">
        <v>4</v>
      </c>
      <c r="G17" s="116" t="s">
        <v>322</v>
      </c>
      <c r="H17" s="116"/>
    </row>
    <row r="18" spans="1:8" ht="41.25" customHeight="1" x14ac:dyDescent="0.25">
      <c r="A18" s="142" t="s">
        <v>52</v>
      </c>
      <c r="B18" s="142" t="s">
        <v>4</v>
      </c>
      <c r="C18" s="116"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16"/>
      <c r="E18" s="142" t="s">
        <v>94</v>
      </c>
      <c r="F18" s="142" t="s">
        <v>4</v>
      </c>
      <c r="G18" s="116">
        <v>11731</v>
      </c>
      <c r="H18" s="116"/>
    </row>
    <row r="19" spans="1:8" ht="41.25" customHeight="1" x14ac:dyDescent="0.25">
      <c r="A19" s="142" t="s">
        <v>53</v>
      </c>
      <c r="B19" s="142" t="s">
        <v>4</v>
      </c>
      <c r="C19" s="116">
        <v>4</v>
      </c>
      <c r="D19" s="116"/>
      <c r="E19" s="142" t="s">
        <v>244</v>
      </c>
      <c r="F19" s="142" t="s">
        <v>4</v>
      </c>
      <c r="G19" s="116">
        <v>11090.2</v>
      </c>
      <c r="H19" s="116"/>
    </row>
    <row r="20" spans="1:8" ht="41.25" customHeight="1" x14ac:dyDescent="0.25">
      <c r="A20" s="142" t="s">
        <v>92</v>
      </c>
      <c r="B20" s="142" t="s">
        <v>4</v>
      </c>
      <c r="C20" s="116">
        <v>44360.800000000003</v>
      </c>
      <c r="D20" s="116"/>
      <c r="E20" s="142" t="s">
        <v>93</v>
      </c>
      <c r="F20" s="142" t="s">
        <v>4</v>
      </c>
      <c r="G20" s="116">
        <v>53754.271000000001</v>
      </c>
      <c r="H20" s="116"/>
    </row>
    <row r="21" spans="1:8" ht="63" customHeight="1" x14ac:dyDescent="0.25">
      <c r="A21" s="178" t="s">
        <v>55</v>
      </c>
      <c r="B21" s="178" t="s">
        <v>4</v>
      </c>
      <c r="C21" s="116" t="s">
        <v>372</v>
      </c>
      <c r="D21" s="116"/>
      <c r="E21" s="142" t="s">
        <v>54</v>
      </c>
      <c r="F21" s="142" t="s">
        <v>4</v>
      </c>
      <c r="G21" s="116" t="s">
        <v>327</v>
      </c>
      <c r="H21" s="116"/>
    </row>
    <row r="22" spans="1:8" ht="41.25" customHeight="1" x14ac:dyDescent="0.25">
      <c r="A22" s="142" t="s">
        <v>164</v>
      </c>
      <c r="B22" s="142" t="s">
        <v>4</v>
      </c>
      <c r="C22" s="116" t="s">
        <v>323</v>
      </c>
      <c r="D22" s="116"/>
      <c r="E22" s="142" t="s">
        <v>165</v>
      </c>
      <c r="F22" s="142" t="s">
        <v>4</v>
      </c>
      <c r="G22" s="116" t="s">
        <v>324</v>
      </c>
      <c r="H22" s="116"/>
    </row>
    <row r="23" spans="1:8" ht="38.25" customHeight="1" x14ac:dyDescent="0.25">
      <c r="A23" s="142" t="s">
        <v>162</v>
      </c>
      <c r="B23" s="142" t="s">
        <v>4</v>
      </c>
      <c r="C23" s="117" t="s">
        <v>325</v>
      </c>
      <c r="D23" s="118"/>
      <c r="E23" s="118"/>
      <c r="F23" s="118"/>
      <c r="G23" s="118"/>
      <c r="H23" s="118"/>
    </row>
    <row r="24" spans="1:8" ht="42.75" customHeight="1" x14ac:dyDescent="0.25">
      <c r="A24" s="142" t="s">
        <v>24</v>
      </c>
      <c r="B24" s="142" t="s">
        <v>4</v>
      </c>
      <c r="C24" s="116" t="s">
        <v>326</v>
      </c>
      <c r="D24" s="116"/>
      <c r="E24" s="116"/>
      <c r="F24" s="116"/>
      <c r="G24" s="116"/>
      <c r="H24" s="116"/>
    </row>
    <row r="25" spans="1:8" ht="24" customHeight="1" x14ac:dyDescent="0.25">
      <c r="A25" s="114" t="s">
        <v>19</v>
      </c>
      <c r="B25" s="114"/>
      <c r="C25" s="114"/>
      <c r="D25" s="114"/>
      <c r="E25" s="114"/>
      <c r="F25" s="114"/>
      <c r="G25" s="114"/>
      <c r="H25" s="114"/>
    </row>
    <row r="26" spans="1:8" ht="43.5" customHeight="1" x14ac:dyDescent="0.25">
      <c r="A26" s="142" t="s">
        <v>25</v>
      </c>
      <c r="B26" s="142" t="s">
        <v>4</v>
      </c>
      <c r="C26" s="116" t="str">
        <f>IF(AND(G26="Upper"),"Developed","Developing")</f>
        <v>Developed</v>
      </c>
      <c r="D26" s="116"/>
      <c r="E26" s="142" t="s">
        <v>13</v>
      </c>
      <c r="F26" s="142" t="s">
        <v>4</v>
      </c>
      <c r="G26" s="116" t="s">
        <v>309</v>
      </c>
      <c r="H26" s="116"/>
    </row>
    <row r="27" spans="1:8" ht="43.5" customHeight="1" x14ac:dyDescent="0.25">
      <c r="A27" s="142" t="s">
        <v>14</v>
      </c>
      <c r="B27" s="142" t="s">
        <v>4</v>
      </c>
      <c r="C27" s="116" t="s">
        <v>328</v>
      </c>
      <c r="D27" s="116"/>
      <c r="E27" s="142" t="s">
        <v>151</v>
      </c>
      <c r="F27" s="142" t="s">
        <v>4</v>
      </c>
      <c r="G27" s="116" t="s">
        <v>329</v>
      </c>
      <c r="H27" s="116"/>
    </row>
    <row r="28" spans="1:8" ht="43.5" customHeight="1" x14ac:dyDescent="0.25">
      <c r="A28" s="142" t="s">
        <v>22</v>
      </c>
      <c r="B28" s="142" t="s">
        <v>4</v>
      </c>
      <c r="C28" s="116" t="s">
        <v>96</v>
      </c>
      <c r="D28" s="116"/>
      <c r="E28" s="142" t="s">
        <v>16</v>
      </c>
      <c r="F28" s="142" t="s">
        <v>4</v>
      </c>
      <c r="G28" s="116" t="s">
        <v>330</v>
      </c>
      <c r="H28" s="116"/>
    </row>
    <row r="29" spans="1:8" ht="43.5" customHeight="1" x14ac:dyDescent="0.25">
      <c r="A29" s="142" t="s">
        <v>105</v>
      </c>
      <c r="B29" s="142" t="s">
        <v>4</v>
      </c>
      <c r="C29" s="116" t="s">
        <v>331</v>
      </c>
      <c r="D29" s="116"/>
      <c r="E29" s="142" t="s">
        <v>106</v>
      </c>
      <c r="F29" s="142" t="s">
        <v>4</v>
      </c>
      <c r="G29" s="116" t="s">
        <v>332</v>
      </c>
      <c r="H29" s="116"/>
    </row>
    <row r="30" spans="1:8" ht="104.25" customHeight="1" x14ac:dyDescent="0.25">
      <c r="A30" s="142" t="s">
        <v>333</v>
      </c>
      <c r="B30" s="142" t="s">
        <v>4</v>
      </c>
      <c r="C30" s="116" t="s">
        <v>334</v>
      </c>
      <c r="D30" s="116"/>
      <c r="E30" s="142" t="s">
        <v>15</v>
      </c>
      <c r="F30" s="142" t="s">
        <v>4</v>
      </c>
      <c r="G30" s="116" t="s">
        <v>335</v>
      </c>
      <c r="H30" s="116"/>
    </row>
    <row r="31" spans="1:8" ht="20.25" x14ac:dyDescent="0.25">
      <c r="A31" s="142" t="s">
        <v>111</v>
      </c>
      <c r="B31" s="142" t="s">
        <v>4</v>
      </c>
      <c r="C31" s="116" t="s">
        <v>112</v>
      </c>
      <c r="D31" s="116"/>
      <c r="E31" s="142" t="s">
        <v>113</v>
      </c>
      <c r="F31" s="142" t="s">
        <v>4</v>
      </c>
      <c r="G31" s="116" t="s">
        <v>112</v>
      </c>
      <c r="H31" s="116"/>
    </row>
    <row r="32" spans="1:8" ht="21.75" customHeight="1" x14ac:dyDescent="0.25">
      <c r="A32" s="142" t="s">
        <v>114</v>
      </c>
      <c r="B32" s="142" t="s">
        <v>4</v>
      </c>
      <c r="C32" s="116" t="s">
        <v>112</v>
      </c>
      <c r="D32" s="116"/>
      <c r="E32" s="116"/>
      <c r="F32" s="116"/>
      <c r="G32" s="116"/>
      <c r="H32" s="116"/>
    </row>
    <row r="33" spans="1:15" ht="20.25" x14ac:dyDescent="0.25">
      <c r="A33" s="153" t="s">
        <v>36</v>
      </c>
      <c r="B33" s="153"/>
      <c r="C33" s="153"/>
      <c r="D33" s="153"/>
      <c r="E33" s="153"/>
      <c r="F33" s="153"/>
      <c r="G33" s="153"/>
      <c r="H33" s="153"/>
    </row>
    <row r="34" spans="1:15" ht="43.5" customHeight="1" x14ac:dyDescent="0.25">
      <c r="A34" s="142" t="s">
        <v>17</v>
      </c>
      <c r="B34" s="142"/>
      <c r="C34" s="116" t="s">
        <v>97</v>
      </c>
      <c r="D34" s="116"/>
      <c r="E34" s="142" t="s">
        <v>18</v>
      </c>
      <c r="F34" s="142" t="s">
        <v>4</v>
      </c>
      <c r="G34" s="116" t="s">
        <v>98</v>
      </c>
      <c r="H34" s="116"/>
    </row>
    <row r="35" spans="1:15" ht="43.5" customHeight="1" x14ac:dyDescent="0.25">
      <c r="A35" s="142" t="s">
        <v>21</v>
      </c>
      <c r="B35" s="142"/>
      <c r="C35" s="116" t="s">
        <v>98</v>
      </c>
      <c r="D35" s="116"/>
      <c r="E35" s="142" t="s">
        <v>31</v>
      </c>
      <c r="F35" s="142" t="s">
        <v>4</v>
      </c>
      <c r="G35" s="116" t="s">
        <v>98</v>
      </c>
      <c r="H35" s="116"/>
    </row>
    <row r="36" spans="1:15" ht="20.25" x14ac:dyDescent="0.25">
      <c r="A36" s="142" t="s">
        <v>30</v>
      </c>
      <c r="B36" s="142"/>
      <c r="C36" s="116" t="s">
        <v>99</v>
      </c>
      <c r="D36" s="116"/>
      <c r="E36" s="142" t="s">
        <v>20</v>
      </c>
      <c r="F36" s="142" t="s">
        <v>4</v>
      </c>
      <c r="G36" s="116" t="s">
        <v>100</v>
      </c>
      <c r="H36" s="116"/>
    </row>
    <row r="37" spans="1:15" ht="20.25" x14ac:dyDescent="0.25">
      <c r="A37" s="114" t="s">
        <v>0</v>
      </c>
      <c r="B37" s="114"/>
      <c r="C37" s="114"/>
      <c r="D37" s="114"/>
      <c r="E37" s="114"/>
      <c r="F37" s="114"/>
      <c r="G37" s="114"/>
      <c r="H37" s="114"/>
    </row>
    <row r="38" spans="1:15" ht="20.25" x14ac:dyDescent="0.25">
      <c r="A38" s="124" t="s">
        <v>0</v>
      </c>
      <c r="B38" s="124"/>
      <c r="C38" s="124" t="s">
        <v>230</v>
      </c>
      <c r="D38" s="124"/>
      <c r="E38" s="124"/>
      <c r="F38" s="124" t="s">
        <v>7</v>
      </c>
      <c r="G38" s="124"/>
      <c r="H38" s="124"/>
      <c r="J38" s="181" t="s">
        <v>1</v>
      </c>
      <c r="K38" s="182"/>
      <c r="L38" s="2" t="s">
        <v>6</v>
      </c>
      <c r="M38" s="181" t="s">
        <v>2</v>
      </c>
      <c r="N38" s="182"/>
      <c r="O38" s="2" t="s">
        <v>3</v>
      </c>
    </row>
    <row r="39" spans="1:15" ht="20.25" x14ac:dyDescent="0.25">
      <c r="A39" s="125" t="s">
        <v>2</v>
      </c>
      <c r="B39" s="125"/>
      <c r="C39" s="118" t="s">
        <v>336</v>
      </c>
      <c r="D39" s="118"/>
      <c r="E39" s="118"/>
      <c r="F39" s="118" t="s">
        <v>338</v>
      </c>
      <c r="G39" s="118"/>
      <c r="H39" s="118"/>
    </row>
    <row r="40" spans="1:15" ht="20.25" x14ac:dyDescent="0.25">
      <c r="A40" s="125" t="s">
        <v>3</v>
      </c>
      <c r="B40" s="125"/>
      <c r="C40" s="118" t="s">
        <v>336</v>
      </c>
      <c r="D40" s="118"/>
      <c r="E40" s="118"/>
      <c r="F40" s="118" t="s">
        <v>339</v>
      </c>
      <c r="G40" s="118"/>
      <c r="H40" s="118"/>
    </row>
    <row r="41" spans="1:15" ht="20.25" x14ac:dyDescent="0.25">
      <c r="A41" s="125" t="s">
        <v>1</v>
      </c>
      <c r="B41" s="125"/>
      <c r="C41" s="118" t="s">
        <v>336</v>
      </c>
      <c r="D41" s="118"/>
      <c r="E41" s="118"/>
      <c r="F41" s="118" t="s">
        <v>340</v>
      </c>
      <c r="G41" s="118"/>
      <c r="H41" s="118"/>
    </row>
    <row r="42" spans="1:15" ht="20.25" x14ac:dyDescent="0.25">
      <c r="A42" s="125" t="s">
        <v>6</v>
      </c>
      <c r="B42" s="125"/>
      <c r="C42" s="118" t="s">
        <v>337</v>
      </c>
      <c r="D42" s="118"/>
      <c r="E42" s="118"/>
      <c r="F42" s="118" t="s">
        <v>341</v>
      </c>
      <c r="G42" s="118"/>
      <c r="H42" s="118"/>
    </row>
    <row r="43" spans="1:15" ht="51" customHeight="1" x14ac:dyDescent="0.25">
      <c r="A43" s="142" t="s">
        <v>231</v>
      </c>
      <c r="B43" s="142"/>
      <c r="C43" s="116" t="s">
        <v>96</v>
      </c>
      <c r="D43" s="116"/>
      <c r="E43" s="116"/>
      <c r="F43" s="116"/>
      <c r="G43" s="116"/>
      <c r="H43" s="116"/>
    </row>
    <row r="44" spans="1:15" ht="20.25" x14ac:dyDescent="0.25">
      <c r="A44" s="114" t="s">
        <v>56</v>
      </c>
      <c r="B44" s="114"/>
      <c r="C44" s="114"/>
      <c r="D44" s="114"/>
      <c r="E44" s="114"/>
      <c r="F44" s="114"/>
      <c r="G44" s="114"/>
      <c r="H44" s="114"/>
    </row>
    <row r="45" spans="1:15" ht="21" customHeight="1" x14ac:dyDescent="0.25">
      <c r="A45" s="124" t="s">
        <v>57</v>
      </c>
      <c r="B45" s="124"/>
      <c r="C45" s="2" t="s">
        <v>58</v>
      </c>
      <c r="D45" s="124" t="s">
        <v>149</v>
      </c>
      <c r="E45" s="124"/>
      <c r="F45" s="124"/>
      <c r="G45" s="124" t="s">
        <v>59</v>
      </c>
      <c r="H45" s="124"/>
    </row>
    <row r="46" spans="1:15" ht="62.25" customHeight="1" x14ac:dyDescent="0.25">
      <c r="A46" s="125" t="s">
        <v>344</v>
      </c>
      <c r="B46" s="125"/>
      <c r="C46" s="79" t="s">
        <v>88</v>
      </c>
      <c r="D46" s="127" t="s">
        <v>343</v>
      </c>
      <c r="E46" s="127"/>
      <c r="F46" s="127"/>
      <c r="G46" s="118" t="s">
        <v>342</v>
      </c>
      <c r="H46" s="118"/>
    </row>
    <row r="47" spans="1:15" ht="20.25" hidden="1" x14ac:dyDescent="0.25">
      <c r="A47" s="126" t="s">
        <v>306</v>
      </c>
      <c r="B47" s="126"/>
      <c r="C47" s="35" t="s">
        <v>88</v>
      </c>
      <c r="D47" s="116"/>
      <c r="E47" s="116"/>
      <c r="F47" s="116"/>
      <c r="G47" s="116"/>
      <c r="H47" s="116"/>
    </row>
    <row r="48" spans="1:15" ht="20.25" hidden="1" x14ac:dyDescent="0.25">
      <c r="A48" s="126" t="s">
        <v>307</v>
      </c>
      <c r="B48" s="126"/>
      <c r="C48" s="35" t="s">
        <v>88</v>
      </c>
      <c r="D48" s="116"/>
      <c r="E48" s="116"/>
      <c r="F48" s="116"/>
      <c r="G48" s="116"/>
      <c r="H48" s="116"/>
    </row>
    <row r="49" spans="1:14" ht="20.25" hidden="1" x14ac:dyDescent="0.25">
      <c r="A49" s="126" t="s">
        <v>308</v>
      </c>
      <c r="B49" s="126"/>
      <c r="C49" s="35" t="s">
        <v>88</v>
      </c>
      <c r="D49" s="116"/>
      <c r="E49" s="116"/>
      <c r="F49" s="116"/>
      <c r="G49" s="116"/>
      <c r="H49" s="116"/>
    </row>
    <row r="50" spans="1:14" ht="20.25" x14ac:dyDescent="0.25">
      <c r="A50" s="114" t="s">
        <v>60</v>
      </c>
      <c r="B50" s="114"/>
      <c r="C50" s="114"/>
      <c r="D50" s="114"/>
      <c r="E50" s="114"/>
      <c r="F50" s="114"/>
      <c r="G50" s="114"/>
      <c r="H50" s="114"/>
      <c r="N50" s="83"/>
    </row>
    <row r="51" spans="1:14" ht="42.75" customHeight="1" x14ac:dyDescent="0.25">
      <c r="A51" s="142" t="s">
        <v>61</v>
      </c>
      <c r="B51" s="142" t="s">
        <v>4</v>
      </c>
      <c r="C51" s="116" t="s">
        <v>96</v>
      </c>
      <c r="D51" s="116"/>
      <c r="E51" s="116"/>
      <c r="F51" s="116"/>
      <c r="G51" s="116"/>
      <c r="H51" s="116"/>
    </row>
    <row r="52" spans="1:14" ht="44.25" customHeight="1" x14ac:dyDescent="0.25">
      <c r="A52" s="142" t="s">
        <v>62</v>
      </c>
      <c r="B52" s="142" t="s">
        <v>4</v>
      </c>
      <c r="C52" s="116" t="s">
        <v>345</v>
      </c>
      <c r="D52" s="116"/>
      <c r="E52" s="116"/>
      <c r="F52" s="116"/>
      <c r="G52" s="51" t="s">
        <v>232</v>
      </c>
      <c r="H52" s="77">
        <v>45524</v>
      </c>
    </row>
    <row r="53" spans="1:14" ht="44.25" customHeight="1" x14ac:dyDescent="0.25">
      <c r="A53" s="142" t="s">
        <v>63</v>
      </c>
      <c r="B53" s="142" t="s">
        <v>4</v>
      </c>
      <c r="C53" s="116" t="s">
        <v>345</v>
      </c>
      <c r="D53" s="116"/>
      <c r="E53" s="116"/>
      <c r="F53" s="116"/>
      <c r="G53" s="51" t="s">
        <v>232</v>
      </c>
      <c r="H53" s="77">
        <v>45524</v>
      </c>
      <c r="M53" s="83"/>
    </row>
    <row r="54" spans="1:14" ht="44.25" customHeight="1" x14ac:dyDescent="0.25">
      <c r="A54" s="142" t="s">
        <v>245</v>
      </c>
      <c r="B54" s="142"/>
      <c r="C54" s="116" t="s">
        <v>379</v>
      </c>
      <c r="D54" s="116"/>
      <c r="E54" s="116"/>
      <c r="F54" s="116"/>
      <c r="G54" s="51" t="s">
        <v>232</v>
      </c>
      <c r="H54" s="81">
        <v>45590</v>
      </c>
    </row>
    <row r="55" spans="1:14" ht="123" customHeight="1" x14ac:dyDescent="0.25">
      <c r="A55" s="142"/>
      <c r="B55" s="142"/>
      <c r="C55" s="116" t="s">
        <v>380</v>
      </c>
      <c r="D55" s="116"/>
      <c r="E55" s="116"/>
      <c r="F55" s="116"/>
      <c r="G55" s="51" t="s">
        <v>246</v>
      </c>
      <c r="H55" s="81">
        <v>45954</v>
      </c>
    </row>
    <row r="56" spans="1:14" ht="44.25" customHeight="1" x14ac:dyDescent="0.25">
      <c r="A56" s="142" t="s">
        <v>245</v>
      </c>
      <c r="B56" s="142"/>
      <c r="C56" s="116" t="s">
        <v>346</v>
      </c>
      <c r="D56" s="116"/>
      <c r="E56" s="116"/>
      <c r="F56" s="116"/>
      <c r="G56" s="51" t="s">
        <v>232</v>
      </c>
      <c r="H56" s="77">
        <v>45810</v>
      </c>
    </row>
    <row r="57" spans="1:14" ht="102.75" customHeight="1" x14ac:dyDescent="0.25">
      <c r="A57" s="142"/>
      <c r="B57" s="142"/>
      <c r="C57" s="116" t="s">
        <v>347</v>
      </c>
      <c r="D57" s="116"/>
      <c r="E57" s="116"/>
      <c r="F57" s="116"/>
      <c r="G57" s="51" t="s">
        <v>246</v>
      </c>
      <c r="H57" s="77">
        <v>46017</v>
      </c>
    </row>
    <row r="58" spans="1:14" ht="84" customHeight="1" x14ac:dyDescent="0.25">
      <c r="A58" s="142" t="s">
        <v>64</v>
      </c>
      <c r="B58" s="142" t="s">
        <v>4</v>
      </c>
      <c r="C58" s="116" t="s">
        <v>348</v>
      </c>
      <c r="D58" s="116"/>
      <c r="E58" s="116"/>
      <c r="F58" s="116"/>
      <c r="G58" s="51" t="s">
        <v>233</v>
      </c>
      <c r="H58" s="77">
        <v>45128</v>
      </c>
    </row>
    <row r="59" spans="1:14" ht="83.25" customHeight="1" x14ac:dyDescent="0.25">
      <c r="A59" s="142" t="s">
        <v>349</v>
      </c>
      <c r="B59" s="142" t="s">
        <v>4</v>
      </c>
      <c r="C59" s="116" t="s">
        <v>367</v>
      </c>
      <c r="D59" s="116"/>
      <c r="E59" s="116"/>
      <c r="F59" s="116"/>
      <c r="G59" s="51" t="s">
        <v>233</v>
      </c>
      <c r="H59" s="77">
        <v>45474</v>
      </c>
    </row>
    <row r="60" spans="1:14" ht="45" hidden="1" customHeight="1" x14ac:dyDescent="0.25">
      <c r="A60" s="142" t="s">
        <v>66</v>
      </c>
      <c r="B60" s="142" t="s">
        <v>4</v>
      </c>
      <c r="C60" s="116"/>
      <c r="D60" s="116"/>
      <c r="E60" s="116"/>
      <c r="F60" s="116"/>
      <c r="G60" s="51" t="s">
        <v>233</v>
      </c>
      <c r="H60" s="74"/>
    </row>
    <row r="61" spans="1:14" ht="46.5" hidden="1" customHeight="1" x14ac:dyDescent="0.25">
      <c r="A61" s="142" t="s">
        <v>65</v>
      </c>
      <c r="B61" s="142" t="s">
        <v>4</v>
      </c>
      <c r="C61" s="116"/>
      <c r="D61" s="116"/>
      <c r="E61" s="116"/>
      <c r="F61" s="116"/>
      <c r="G61" s="51" t="s">
        <v>233</v>
      </c>
      <c r="H61" s="74"/>
      <c r="N61" s="73" t="s">
        <v>310</v>
      </c>
    </row>
    <row r="62" spans="1:14" ht="45" hidden="1" customHeight="1" x14ac:dyDescent="0.25">
      <c r="A62" s="142" t="s">
        <v>67</v>
      </c>
      <c r="B62" s="142" t="s">
        <v>4</v>
      </c>
      <c r="C62" s="116"/>
      <c r="D62" s="116"/>
      <c r="E62" s="116"/>
      <c r="F62" s="116"/>
      <c r="G62" s="51" t="s">
        <v>233</v>
      </c>
      <c r="H62" s="74"/>
    </row>
    <row r="63" spans="1:14" ht="21" thickBot="1" x14ac:dyDescent="0.3">
      <c r="A63" s="114" t="s">
        <v>68</v>
      </c>
      <c r="B63" s="114"/>
      <c r="C63" s="114"/>
      <c r="D63" s="114"/>
      <c r="E63" s="114"/>
      <c r="F63" s="114"/>
      <c r="G63" s="114"/>
      <c r="H63" s="114"/>
    </row>
    <row r="64" spans="1:14" ht="20.25" x14ac:dyDescent="0.3">
      <c r="A64" s="115" t="str">
        <f>CONCATENATE((IF(OR(A46="",A46="NA"),"",A46)),"= ",(IF(OR(D46="",D46="NA"),"",D46)),".")</f>
        <v>Building No. 1 (Wing D) = Building No.1 (Wing D) = 2B + G + P1 to P4 + 5th to 39th Floor.</v>
      </c>
      <c r="B64" s="115"/>
      <c r="C64" s="115"/>
      <c r="D64" s="30" t="s">
        <v>115</v>
      </c>
      <c r="E64" s="122" t="s">
        <v>102</v>
      </c>
      <c r="F64" s="122"/>
      <c r="G64" s="30" t="s">
        <v>116</v>
      </c>
      <c r="H64" s="30" t="s">
        <v>117</v>
      </c>
      <c r="I64" s="16" t="str">
        <f ca="1">(IF(E67&gt;99%,"All work completed. Please provide OC.",IF(E67&gt;89.8%,"Plinth, RCC, Brick, Plaster, Flooring, Wooden, Plumbing, Electrification, etc., work Completed. Finishing work is in process.",IF(E67&lt;94%,(IF(C67=0,"Work not yet Started.",IF(D67=25%,"Piling work in process",IF(D67=50%,"Excavation work in process",IF(D67=100%,"Excavation work Completed. ","0")))&amp;(IF(C68=0%,"",IF(C68=J69,"Footing work is process",IF(C68=J70,"Footing work Completed",IF(C68=J71,"1st Basement Completed",IF(C68=J72,"1st &amp; 2nd Basement Completed",IF(C68=J73,"1st to 3rd Basement Completed",IF(C68=J74,"1st to 4th Basement Completed",IF(C68=J75,"Plinth work is process",IF(C68=J76,"Plinth work completed","0")))))))))))&amp;(IF(C69=(E65+G65+H65),", RCC Slab",IF(C69&gt;0,", RCC upto "&amp;C69&amp;" Slab",""))&amp;(IF(C70=H65,", Brickwork",IF(C70&gt;0,", Brickwork upto "&amp;C70&amp;" Floor",""))&amp;(IF(C71=H65,", Internal Plaster",IF(C71&gt;0,", Internal Plaster upto "&amp;C71&amp;" Floor",""))&amp;(IF(C72=H65,", External Plaster",IF(C72&gt;0,", External Plaster upto "&amp;C72&amp;" Floor",""))&amp;(IF(C73=H65,", External Plumbing, Elevation and Waterproofing",IF(C73&gt;0,", External Plumbing, Elevation and Waterproofing upto "&amp;C73&amp;" Floor",""))&amp;(IF(C74=H65,", Flooring &amp; Fitting",IF(C74&gt;0,", Flooring &amp; Fitting upto "&amp;C74&amp;" Floor",""))&amp;(IF(C75=H65,", Wooden Work",IF(C75&gt;0,", Wooden Work upto "&amp;C75&amp;" Floor",""))&amp;(IF(C76=H65,", Electrical &amp; Sanitary fittings",IF(C76&gt;0,", Electrical &amp; Sanitary fittings upto "&amp;C76&amp;" Floor",""))&amp;(IF(C77&gt;0,", Finishing upto "&amp;C77&amp;" Floor","")&amp;(IF(C69&gt;0.5," Completed",""))))))))))))))))</f>
        <v>Excavation work Completed. Plinth work completed, RCC upto 10 Slab, Brickwork upto 5 Floor, Internal Plaster upto 3.75 Floor, External Plaster upto 3.75 Floor Completed</v>
      </c>
      <c r="J64" s="18"/>
    </row>
    <row r="65" spans="1:10" ht="40.5" customHeight="1" x14ac:dyDescent="0.3">
      <c r="A65" s="115"/>
      <c r="B65" s="115"/>
      <c r="C65" s="115"/>
      <c r="D65" s="75">
        <f>IF(AND(ISNUMBER(SEARCH("1B",A64))),1,IF(AND(ISNUMBER(SEARCH("2B",A64))),2,IF(AND(ISNUMBER(SEARCH("3B",A64))),3,IF(AND(ISNUMBER(SEARCH("4B",A64))),4,IF(ISNUMBER(SEARCH("5B",A64)),5,0)))))</f>
        <v>2</v>
      </c>
      <c r="E65" s="122">
        <v>1</v>
      </c>
      <c r="F65" s="122"/>
      <c r="G65" s="75">
        <v>0</v>
      </c>
      <c r="H65" s="30">
        <f ca="1">--TRIM(RIGHT(SUBSTITUTE(LEFT(A64,_xlfn.AGGREGATE(16,6,FIND({0,1,2,3,4,5,6,7,8,9},A64,ROW(INDIRECT("1:"&amp;LEN(A64)))),1))," ",REPT(" ",LEN(A64))),LEN(A64)))</f>
        <v>39</v>
      </c>
      <c r="I65" s="17" t="s">
        <v>121</v>
      </c>
      <c r="J65" s="18"/>
    </row>
    <row r="66" spans="1:10" ht="20.25" customHeight="1" x14ac:dyDescent="0.3">
      <c r="A66" s="123" t="s">
        <v>119</v>
      </c>
      <c r="B66" s="123"/>
      <c r="C66" s="28" t="s">
        <v>133</v>
      </c>
      <c r="D66" s="28" t="s">
        <v>134</v>
      </c>
      <c r="E66" s="123" t="s">
        <v>120</v>
      </c>
      <c r="F66" s="123"/>
      <c r="G66" s="29" t="s">
        <v>118</v>
      </c>
      <c r="H66" s="29"/>
      <c r="I66" s="20" t="s">
        <v>135</v>
      </c>
      <c r="J66" s="19">
        <f ca="1">H65*25%</f>
        <v>9.75</v>
      </c>
    </row>
    <row r="67" spans="1:10" ht="20.25" customHeight="1" x14ac:dyDescent="0.3">
      <c r="A67" s="121" t="s">
        <v>136</v>
      </c>
      <c r="B67" s="121"/>
      <c r="C67" s="32">
        <f ca="1">J68</f>
        <v>39</v>
      </c>
      <c r="D67" s="5">
        <f ca="1">((100/H65)*C67)/100</f>
        <v>1.0000000000000002</v>
      </c>
      <c r="E67" s="136">
        <f ca="1">(((C67/H65*10)+(C68/H65*15)+(25/(E65+G65+H65)*C69)+(5/(H65)*C70)+(2.5/(H65)*C71)+(2.5/(H65)*C72)+(5/H65*C73)+(10/H65*C74)+(2.5/H65*C75)+(2.5/H65*C76)+(10/H65*C77)+(10/H65*C78))/100)</f>
        <v>0.32371794871794868</v>
      </c>
      <c r="F67" s="137"/>
      <c r="G67" s="121" t="str">
        <f ca="1">I64</f>
        <v>Excavation work Completed. Plinth work completed, RCC upto 10 Slab, Brickwork upto 5 Floor, Internal Plaster upto 3.75 Floor, External Plaster upto 3.75 Floor Completed</v>
      </c>
      <c r="H67" s="121"/>
      <c r="I67" s="20" t="s">
        <v>122</v>
      </c>
      <c r="J67" s="24">
        <f ca="1">H65*50%</f>
        <v>19.5</v>
      </c>
    </row>
    <row r="68" spans="1:10" ht="20.25" x14ac:dyDescent="0.3">
      <c r="A68" s="121" t="s">
        <v>103</v>
      </c>
      <c r="B68" s="121"/>
      <c r="C68" s="32">
        <f ca="1">J76</f>
        <v>39</v>
      </c>
      <c r="D68" s="5">
        <f ca="1">((100/H65)*C68)/100</f>
        <v>1.0000000000000002</v>
      </c>
      <c r="E68" s="138"/>
      <c r="F68" s="139"/>
      <c r="G68" s="121"/>
      <c r="H68" s="121"/>
      <c r="I68" s="20" t="s">
        <v>123</v>
      </c>
      <c r="J68" s="24">
        <f ca="1">H65</f>
        <v>39</v>
      </c>
    </row>
    <row r="69" spans="1:10" ht="21" customHeight="1" x14ac:dyDescent="0.35">
      <c r="A69" s="121" t="s">
        <v>137</v>
      </c>
      <c r="B69" s="121"/>
      <c r="C69" s="30">
        <v>10</v>
      </c>
      <c r="D69" s="5">
        <f ca="1">((100/(E65+G65+H65))*C69)/100</f>
        <v>0.25</v>
      </c>
      <c r="E69" s="138"/>
      <c r="F69" s="139"/>
      <c r="G69" s="121"/>
      <c r="H69" s="121"/>
      <c r="I69" s="20" t="s">
        <v>124</v>
      </c>
      <c r="J69" s="25">
        <f ca="1">(IF(D65&gt;1,(H65/(D65+2)),H65*0.2))</f>
        <v>9.75</v>
      </c>
    </row>
    <row r="70" spans="1:10" ht="21" customHeight="1" x14ac:dyDescent="0.35">
      <c r="A70" s="121" t="s">
        <v>138</v>
      </c>
      <c r="B70" s="121"/>
      <c r="C70" s="30">
        <f>C69-E65-4</f>
        <v>5</v>
      </c>
      <c r="D70" s="5">
        <f ca="1">((100/H65)*C70)/100</f>
        <v>0.12820512820512822</v>
      </c>
      <c r="E70" s="138"/>
      <c r="F70" s="139"/>
      <c r="G70" s="121"/>
      <c r="H70" s="121"/>
      <c r="I70" s="20" t="s">
        <v>125</v>
      </c>
      <c r="J70" s="25">
        <f ca="1">(IF(D65&gt;1,(H65/(D65+2)+J69),H65*0.2+J69))</f>
        <v>19.5</v>
      </c>
    </row>
    <row r="71" spans="1:10" ht="21" customHeight="1" x14ac:dyDescent="0.35">
      <c r="A71" s="119" t="s">
        <v>139</v>
      </c>
      <c r="B71" s="120"/>
      <c r="C71" s="82">
        <f>C70*0.75</f>
        <v>3.75</v>
      </c>
      <c r="D71" s="5">
        <f ca="1">((100/H65)*C71)/100</f>
        <v>9.6153846153846173E-2</v>
      </c>
      <c r="E71" s="138"/>
      <c r="F71" s="139"/>
      <c r="G71" s="121"/>
      <c r="H71" s="121"/>
      <c r="I71" s="20" t="s">
        <v>140</v>
      </c>
      <c r="J71" s="25">
        <f ca="1">(IF(D65&gt;1,(H65/(D65+2)+J70),0))</f>
        <v>29.25</v>
      </c>
    </row>
    <row r="72" spans="1:10" ht="21" customHeight="1" x14ac:dyDescent="0.35">
      <c r="A72" s="119" t="s">
        <v>171</v>
      </c>
      <c r="B72" s="120"/>
      <c r="C72" s="82">
        <f>C71</f>
        <v>3.75</v>
      </c>
      <c r="D72" s="5">
        <f ca="1">((100/H65)*C72)/100</f>
        <v>9.6153846153846173E-2</v>
      </c>
      <c r="E72" s="138"/>
      <c r="F72" s="139"/>
      <c r="G72" s="121"/>
      <c r="H72" s="121"/>
      <c r="I72" s="20" t="s">
        <v>141</v>
      </c>
      <c r="J72" s="25">
        <f>(IF(D65&gt;2,(H65/(D65+2)+J71),0))</f>
        <v>0</v>
      </c>
    </row>
    <row r="73" spans="1:10" ht="21" x14ac:dyDescent="0.35">
      <c r="A73" s="119" t="s">
        <v>168</v>
      </c>
      <c r="B73" s="120"/>
      <c r="C73" s="30">
        <v>0</v>
      </c>
      <c r="D73" s="5">
        <f ca="1">((100/(H65))*C73)/100</f>
        <v>0</v>
      </c>
      <c r="E73" s="138"/>
      <c r="F73" s="139"/>
      <c r="G73" s="121"/>
      <c r="H73" s="121"/>
      <c r="I73" s="20" t="s">
        <v>143</v>
      </c>
      <c r="J73" s="26">
        <f>(IF(D65&gt;3,(H65/(D65+2)+J72),0))</f>
        <v>0</v>
      </c>
    </row>
    <row r="74" spans="1:10" ht="21" x14ac:dyDescent="0.35">
      <c r="A74" s="121" t="s">
        <v>142</v>
      </c>
      <c r="B74" s="121"/>
      <c r="C74" s="30">
        <v>0</v>
      </c>
      <c r="D74" s="5">
        <f ca="1">((100/(H65))*C74)/100</f>
        <v>0</v>
      </c>
      <c r="E74" s="138"/>
      <c r="F74" s="139"/>
      <c r="G74" s="121"/>
      <c r="H74" s="121"/>
      <c r="I74" s="20" t="s">
        <v>144</v>
      </c>
      <c r="J74" s="25">
        <f>(IF(D65&gt;4,(H65/(D65+2)+J73),0))</f>
        <v>0</v>
      </c>
    </row>
    <row r="75" spans="1:10" ht="21" customHeight="1" x14ac:dyDescent="0.35">
      <c r="A75" s="121" t="s">
        <v>170</v>
      </c>
      <c r="B75" s="121"/>
      <c r="C75" s="30">
        <v>0</v>
      </c>
      <c r="D75" s="5">
        <f ca="1">((100/H65)*C75)/100</f>
        <v>0</v>
      </c>
      <c r="E75" s="138"/>
      <c r="F75" s="139"/>
      <c r="G75" s="121"/>
      <c r="H75" s="121"/>
      <c r="I75" s="20" t="s">
        <v>126</v>
      </c>
      <c r="J75" s="25">
        <f>(IF(D65=1,(H65/(D65+3)+J70),IF(D65=0,(H65*0.3+J70),IF(D65&gt;1,0))))</f>
        <v>0</v>
      </c>
    </row>
    <row r="76" spans="1:10" ht="21.75" thickBot="1" x14ac:dyDescent="0.4">
      <c r="A76" s="121" t="s">
        <v>169</v>
      </c>
      <c r="B76" s="121"/>
      <c r="C76" s="30">
        <v>0</v>
      </c>
      <c r="D76" s="5">
        <f ca="1">((100/H65)*C76)/100</f>
        <v>0</v>
      </c>
      <c r="E76" s="138"/>
      <c r="F76" s="139"/>
      <c r="G76" s="121"/>
      <c r="H76" s="121"/>
      <c r="I76" s="22" t="s">
        <v>127</v>
      </c>
      <c r="J76" s="27">
        <f ca="1">(IF(D65&gt;1.5,(H65/(D65+2)+J70+MAX(0,J71-J70)+MAX(0,J72-J71)+MAX(0,J73-J72)+MAX(0,J74-J73)+MAX(0,J75-J74)),IF(D65=1,(H65/(D65+3)+J75),IF(D65=0,H65*0.3+J75))))</f>
        <v>39</v>
      </c>
    </row>
    <row r="77" spans="1:10" ht="20.25" x14ac:dyDescent="0.25">
      <c r="A77" s="121" t="s">
        <v>145</v>
      </c>
      <c r="B77" s="121"/>
      <c r="C77" s="30">
        <v>0</v>
      </c>
      <c r="D77" s="5">
        <f ca="1">((100/(H65))*C77)/100</f>
        <v>0</v>
      </c>
      <c r="E77" s="138"/>
      <c r="F77" s="139"/>
      <c r="G77" s="121"/>
      <c r="H77" s="121"/>
    </row>
    <row r="78" spans="1:10" ht="20.25" x14ac:dyDescent="0.25">
      <c r="A78" s="121" t="s">
        <v>146</v>
      </c>
      <c r="B78" s="121"/>
      <c r="C78" s="30">
        <v>0</v>
      </c>
      <c r="D78" s="5">
        <f ca="1">((100/(H65))*C78)/100</f>
        <v>0</v>
      </c>
      <c r="E78" s="140"/>
      <c r="F78" s="141"/>
      <c r="G78" s="121"/>
      <c r="H78" s="121"/>
    </row>
    <row r="79" spans="1:10" ht="21" hidden="1" thickBot="1" x14ac:dyDescent="0.3">
      <c r="A79" s="114" t="s">
        <v>68</v>
      </c>
      <c r="B79" s="114"/>
      <c r="C79" s="114"/>
      <c r="D79" s="114"/>
      <c r="E79" s="114"/>
      <c r="F79" s="114"/>
      <c r="G79" s="114"/>
      <c r="H79" s="114"/>
    </row>
    <row r="80" spans="1:10" ht="20.25" hidden="1" customHeight="1" x14ac:dyDescent="0.3">
      <c r="A80" s="115" t="str">
        <f>CONCATENATE((IF(OR(A47="",A47="NA"),"",A47)),"= ",(IF(OR(D47="",D47="NA"),"",D47)),".")</f>
        <v>Tower 2 = .</v>
      </c>
      <c r="B80" s="115"/>
      <c r="C80" s="115"/>
      <c r="D80" s="30" t="s">
        <v>115</v>
      </c>
      <c r="E80" s="122" t="s">
        <v>102</v>
      </c>
      <c r="F80" s="122"/>
      <c r="G80" s="30" t="s">
        <v>116</v>
      </c>
      <c r="H80" s="30" t="s">
        <v>117</v>
      </c>
      <c r="I80" s="16" t="str">
        <f ca="1">(IF(E83&gt;99%,"All work completed. Please provide OC.",IF(E83&gt;89.8%,"Plinth, RCC, Brick, Plaster, Flooring, Wooden, Plumbing, Electrification, etc., work Completed. Finishing work is in process.",IF(E83&lt;94%,(IF(C83=0,"Work not yet Started.",IF(D83=25%,"Piling work in process",IF(D83=50%,"Excavation work in process",IF(D83=100%,"Excavation work Completed. ","0")))&amp;(IF(C84=0%,"",IF(C84=J85,"Footing work is process",IF(C84=J86,"Footing work Completed",IF(C84=J87,"1st Basement Completed",IF(C84=J88,"1st &amp; 2nd Basement Completed",IF(C84=J89,"1st to 3rd Basement Completed",IF(C84=J90,"1st to 4th Basement Completed",IF(C84=J91,"Plinth work is process",IF(C84=J92,"Plinth work completed","0")))))))))))&amp;(IF(C85=(E81+G81+H81),", RCC Slab",IF(C85&gt;0,", RCC upto "&amp;C85&amp;" Slab",""))&amp;(IF(C86=H81,", Brickwork",IF(C86&gt;0,", Brickwork upto "&amp;C86&amp;" Floor",""))&amp;(IF(C87=H81,", Internal Plaster",IF(C87&gt;0,", Internal Plaster upto "&amp;C87&amp;" Floor",""))&amp;(IF(C88=H81,", External Plaster",IF(C88&gt;0,", External Plaster upto "&amp;C88&amp;" Floor",""))&amp;(IF(C89=H81,", External Plumbing, Elevation and Waterproofing",IF(C89&gt;0,", External Plumbing, Elevation and Waterproofing upto "&amp;C89&amp;" Floor",""))&amp;(IF(C90=H81,", Flooring &amp; Fitting",IF(C90&gt;0,", Flooring &amp; Fitting upto "&amp;C90&amp;" Floor",""))&amp;(IF(C91=H81,", Wooden Work",IF(C91&gt;0,", Wooden Work upto "&amp;C91&amp;" Floor",""))&amp;(IF(C92=H81,", Electrical &amp; Sanitary fittings",IF(C92&gt;0,", Electrical &amp; Sanitary fittings upto "&amp;C92&amp;" Floor",""))&amp;(IF(C93&gt;0,", Finishing upto "&amp;C93&amp;" Floor","")&amp;(IF(C85&gt;0.5," Completed",""))))))))))))))))</f>
        <v>Excavation work Completed. Plinth work completed</v>
      </c>
      <c r="J80" s="18"/>
    </row>
    <row r="81" spans="1:10" ht="20.25" hidden="1" x14ac:dyDescent="0.3">
      <c r="A81" s="115"/>
      <c r="B81" s="115"/>
      <c r="C81" s="115"/>
      <c r="D81" s="52">
        <f>IF(AND(ISNUMBER(SEARCH("1B",A80))),1,IF(AND(ISNUMBER(SEARCH("2B",A80))),2,IF(AND(ISNUMBER(SEARCH("3B",A80))),3,IF(AND(ISNUMBER(SEARCH("4B",A80))),4,IF(ISNUMBER(SEARCH("5B",A80)),5,0)))))</f>
        <v>0</v>
      </c>
      <c r="E81" s="122">
        <v>1</v>
      </c>
      <c r="F81" s="122"/>
      <c r="G81" s="52">
        <v>0</v>
      </c>
      <c r="H81" s="30">
        <f ca="1">--TRIM(RIGHT(SUBSTITUTE(LEFT(A80,_xlfn.AGGREGATE(16,6,FIND({0,1,2,3,4,5,6,7,8,9},A80,ROW(INDIRECT("1:"&amp;LEN(A80)))),1))," ",REPT(" ",LEN(A80))),LEN(A80)))</f>
        <v>2</v>
      </c>
      <c r="I81" s="17" t="s">
        <v>121</v>
      </c>
      <c r="J81" s="18"/>
    </row>
    <row r="82" spans="1:10" ht="20.25" hidden="1" customHeight="1" x14ac:dyDescent="0.3">
      <c r="A82" s="123" t="s">
        <v>119</v>
      </c>
      <c r="B82" s="123"/>
      <c r="C82" s="28" t="s">
        <v>133</v>
      </c>
      <c r="D82" s="28" t="s">
        <v>134</v>
      </c>
      <c r="E82" s="123" t="s">
        <v>120</v>
      </c>
      <c r="F82" s="123"/>
      <c r="G82" s="29" t="s">
        <v>118</v>
      </c>
      <c r="H82" s="29"/>
      <c r="I82" s="20" t="s">
        <v>135</v>
      </c>
      <c r="J82" s="19">
        <f ca="1">H81*25%</f>
        <v>0.5</v>
      </c>
    </row>
    <row r="83" spans="1:10" ht="20.25" hidden="1" customHeight="1" x14ac:dyDescent="0.3">
      <c r="A83" s="121" t="s">
        <v>136</v>
      </c>
      <c r="B83" s="121"/>
      <c r="C83" s="30">
        <f ca="1">J84</f>
        <v>2</v>
      </c>
      <c r="D83" s="5">
        <f ca="1">((100/H81)*C83)/100</f>
        <v>1</v>
      </c>
      <c r="E83" s="136">
        <f ca="1">(((C83/H81*10)+(C84/H81*15)+(25/(E81+G81+H81)*C85)+(5/(H81)*C86)+(2.5/(H81)*C87)+(2.5/(H81)*C88)+(5/H81*C89)+(10/H81*C90)+(2.5/H81*C91)+(2.5/H81*C92)+(10/H81*C93)+(10/H81*C94))/100)</f>
        <v>0.25</v>
      </c>
      <c r="F83" s="137"/>
      <c r="G83" s="121" t="str">
        <f ca="1">I80</f>
        <v>Excavation work Completed. Plinth work completed</v>
      </c>
      <c r="H83" s="121"/>
      <c r="I83" s="20" t="s">
        <v>122</v>
      </c>
      <c r="J83" s="24">
        <f ca="1">H81*50%</f>
        <v>1</v>
      </c>
    </row>
    <row r="84" spans="1:10" ht="20.25" hidden="1" x14ac:dyDescent="0.3">
      <c r="A84" s="121" t="s">
        <v>103</v>
      </c>
      <c r="B84" s="121"/>
      <c r="C84" s="32">
        <f ca="1">J92</f>
        <v>2</v>
      </c>
      <c r="D84" s="5">
        <f ca="1">((100/H81)*C84)/100</f>
        <v>1</v>
      </c>
      <c r="E84" s="138"/>
      <c r="F84" s="139"/>
      <c r="G84" s="121"/>
      <c r="H84" s="121"/>
      <c r="I84" s="20" t="s">
        <v>123</v>
      </c>
      <c r="J84" s="24">
        <f ca="1">H81</f>
        <v>2</v>
      </c>
    </row>
    <row r="85" spans="1:10" ht="21" hidden="1" customHeight="1" x14ac:dyDescent="0.35">
      <c r="A85" s="121" t="s">
        <v>137</v>
      </c>
      <c r="B85" s="121"/>
      <c r="C85" s="30">
        <v>0</v>
      </c>
      <c r="D85" s="5">
        <f ca="1">((100/(E81+G81+H81))*C85)/100</f>
        <v>0</v>
      </c>
      <c r="E85" s="138"/>
      <c r="F85" s="139"/>
      <c r="G85" s="121"/>
      <c r="H85" s="121"/>
      <c r="I85" s="20" t="s">
        <v>124</v>
      </c>
      <c r="J85" s="25">
        <f ca="1">(IF(D81&gt;1,(H81/(D81+2)),H81*0.2))</f>
        <v>0.4</v>
      </c>
    </row>
    <row r="86" spans="1:10" ht="21" hidden="1" customHeight="1" x14ac:dyDescent="0.35">
      <c r="A86" s="121" t="s">
        <v>138</v>
      </c>
      <c r="B86" s="121"/>
      <c r="C86" s="30">
        <v>0</v>
      </c>
      <c r="D86" s="5">
        <f ca="1">((100/H81)*C86)/100</f>
        <v>0</v>
      </c>
      <c r="E86" s="138"/>
      <c r="F86" s="139"/>
      <c r="G86" s="121"/>
      <c r="H86" s="121"/>
      <c r="I86" s="20" t="s">
        <v>125</v>
      </c>
      <c r="J86" s="25">
        <f ca="1">(IF(D81&gt;1,(H81/(D81+2)+J85),H81*0.2+J85))</f>
        <v>0.8</v>
      </c>
    </row>
    <row r="87" spans="1:10" ht="21" hidden="1" customHeight="1" x14ac:dyDescent="0.35">
      <c r="A87" s="119" t="s">
        <v>139</v>
      </c>
      <c r="B87" s="120"/>
      <c r="C87" s="30">
        <v>0</v>
      </c>
      <c r="D87" s="5">
        <f ca="1">((100/H81)*C87)/100</f>
        <v>0</v>
      </c>
      <c r="E87" s="138"/>
      <c r="F87" s="139"/>
      <c r="G87" s="121"/>
      <c r="H87" s="121"/>
      <c r="I87" s="20" t="s">
        <v>140</v>
      </c>
      <c r="J87" s="25">
        <f>(IF(D81&gt;1,(H81/(D81+2)+J86),0))</f>
        <v>0</v>
      </c>
    </row>
    <row r="88" spans="1:10" ht="21" hidden="1" customHeight="1" x14ac:dyDescent="0.35">
      <c r="A88" s="119" t="s">
        <v>171</v>
      </c>
      <c r="B88" s="120"/>
      <c r="C88" s="30">
        <v>0</v>
      </c>
      <c r="D88" s="5">
        <f ca="1">((100/H81)*C88)/100</f>
        <v>0</v>
      </c>
      <c r="E88" s="138"/>
      <c r="F88" s="139"/>
      <c r="G88" s="121"/>
      <c r="H88" s="121"/>
      <c r="I88" s="20" t="s">
        <v>141</v>
      </c>
      <c r="J88" s="25">
        <f>(IF(D81&gt;2,(H81/(D81+2)+J87),0))</f>
        <v>0</v>
      </c>
    </row>
    <row r="89" spans="1:10" ht="57.75" hidden="1" customHeight="1" x14ac:dyDescent="0.35">
      <c r="A89" s="119" t="s">
        <v>168</v>
      </c>
      <c r="B89" s="120"/>
      <c r="C89" s="30">
        <v>0</v>
      </c>
      <c r="D89" s="5">
        <f ca="1">((100/(H81))*C89)/100</f>
        <v>0</v>
      </c>
      <c r="E89" s="138"/>
      <c r="F89" s="139"/>
      <c r="G89" s="121"/>
      <c r="H89" s="121"/>
      <c r="I89" s="20" t="s">
        <v>143</v>
      </c>
      <c r="J89" s="26">
        <f>(IF(D81&gt;3,(H81/(D81+2)+J88),0))</f>
        <v>0</v>
      </c>
    </row>
    <row r="90" spans="1:10" ht="21" hidden="1" x14ac:dyDescent="0.35">
      <c r="A90" s="121" t="s">
        <v>142</v>
      </c>
      <c r="B90" s="121"/>
      <c r="C90" s="30">
        <v>0</v>
      </c>
      <c r="D90" s="5">
        <f ca="1">((100/(H81))*C90)/100</f>
        <v>0</v>
      </c>
      <c r="E90" s="138"/>
      <c r="F90" s="139"/>
      <c r="G90" s="121"/>
      <c r="H90" s="121"/>
      <c r="I90" s="20" t="s">
        <v>144</v>
      </c>
      <c r="J90" s="25">
        <f>(IF(D81&gt;4,(H81/(D81+2)+J89),0))</f>
        <v>0</v>
      </c>
    </row>
    <row r="91" spans="1:10" ht="21" hidden="1" customHeight="1" x14ac:dyDescent="0.35">
      <c r="A91" s="121" t="s">
        <v>170</v>
      </c>
      <c r="B91" s="121"/>
      <c r="C91" s="30">
        <v>0</v>
      </c>
      <c r="D91" s="5">
        <f ca="1">((100/H81)*C91)/100</f>
        <v>0</v>
      </c>
      <c r="E91" s="138"/>
      <c r="F91" s="139"/>
      <c r="G91" s="121"/>
      <c r="H91" s="121"/>
      <c r="I91" s="20" t="s">
        <v>126</v>
      </c>
      <c r="J91" s="25">
        <f ca="1">(IF(D81=1,(H81/(D81+3)+J86),IF(D81=0,(H81*0.3+J86),IF(D81&gt;1,0))))</f>
        <v>1.4</v>
      </c>
    </row>
    <row r="92" spans="1:10" ht="21.75" hidden="1" thickBot="1" x14ac:dyDescent="0.4">
      <c r="A92" s="121" t="s">
        <v>169</v>
      </c>
      <c r="B92" s="121"/>
      <c r="C92" s="30">
        <v>0</v>
      </c>
      <c r="D92" s="5">
        <f ca="1">((100/H81)*C92)/100</f>
        <v>0</v>
      </c>
      <c r="E92" s="138"/>
      <c r="F92" s="139"/>
      <c r="G92" s="121"/>
      <c r="H92" s="121"/>
      <c r="I92" s="22" t="s">
        <v>127</v>
      </c>
      <c r="J92" s="27">
        <f ca="1">(IF(D81&gt;1.5,(H81/(D81+2)+J86+MAX(0,J87-J86)+MAX(0,J88-J87)+MAX(0,J89-J88)+MAX(0,J90-J89)+MAX(0,J91-J90)),IF(D81=1,(H81/(D81+3)+J91),IF(D81=0,H81*0.3+J91))))</f>
        <v>2</v>
      </c>
    </row>
    <row r="93" spans="1:10" ht="20.25" hidden="1" x14ac:dyDescent="0.25">
      <c r="A93" s="121" t="s">
        <v>145</v>
      </c>
      <c r="B93" s="121"/>
      <c r="C93" s="30">
        <v>0</v>
      </c>
      <c r="D93" s="5">
        <f ca="1">((100/(H81))*C93)/100</f>
        <v>0</v>
      </c>
      <c r="E93" s="138"/>
      <c r="F93" s="139"/>
      <c r="G93" s="121"/>
      <c r="H93" s="121"/>
    </row>
    <row r="94" spans="1:10" ht="20.25" hidden="1" x14ac:dyDescent="0.25">
      <c r="A94" s="121" t="s">
        <v>146</v>
      </c>
      <c r="B94" s="121"/>
      <c r="C94" s="30">
        <v>0</v>
      </c>
      <c r="D94" s="5">
        <f ca="1">((100/(H81))*C94)/100</f>
        <v>0</v>
      </c>
      <c r="E94" s="140"/>
      <c r="F94" s="141"/>
      <c r="G94" s="121"/>
      <c r="H94" s="121"/>
    </row>
    <row r="95" spans="1:10" ht="21" hidden="1" thickBot="1" x14ac:dyDescent="0.3">
      <c r="A95" s="114" t="s">
        <v>68</v>
      </c>
      <c r="B95" s="114"/>
      <c r="C95" s="114"/>
      <c r="D95" s="114"/>
      <c r="E95" s="114"/>
      <c r="F95" s="114"/>
      <c r="G95" s="114"/>
      <c r="H95" s="114"/>
    </row>
    <row r="96" spans="1:10" ht="20.25" hidden="1" customHeight="1" x14ac:dyDescent="0.3">
      <c r="A96" s="115" t="str">
        <f>CONCATENATE((IF(OR(A48="",A48="NA"),"",A48)),"= ",(IF(OR(D48="",D48="NA"),"",D48)),".")</f>
        <v>Tower 3 = .</v>
      </c>
      <c r="B96" s="115"/>
      <c r="C96" s="115"/>
      <c r="D96" s="30" t="s">
        <v>115</v>
      </c>
      <c r="E96" s="122" t="s">
        <v>102</v>
      </c>
      <c r="F96" s="122"/>
      <c r="G96" s="30" t="s">
        <v>116</v>
      </c>
      <c r="H96" s="30" t="s">
        <v>117</v>
      </c>
      <c r="I96" s="16" t="str">
        <f ca="1">(IF(E99&gt;99%,"All work completed. Please provide OC.",IF(E99&gt;89.8%,"Plinth, RCC, Brick, Plaster, Flooring, Wooden, Plumbing, Electrification, etc., work Completed. Finishing work is in process.",IF(E99&lt;94%,(IF(C99=0,"Work not yet Started.",IF(D99=25%,"Piling work in process",IF(D99=50%,"Excavation work in process",IF(D99=100%,"Excavation work Completed. ","0")))&amp;(IF(C100=0%,"",IF(C100=J101,"Footing work is process",IF(C100=J102,"Footing work Completed",IF(C100=J103,"1st Basement Completed",IF(C100=J104,"1st &amp; 2nd Basement Completed",IF(C100=J105,"1st to 3rd Basement Completed",IF(C100=J106,"1st to 4th Basement Completed",IF(C100=J107,"Plinth work is process",IF(C100=J108,"Plinth work completed","0")))))))))))&amp;(IF(C101=(E97+G97+H97),", RCC Slab",IF(C101&gt;0,", RCC upto "&amp;C101&amp;" Slab",""))&amp;(IF(C102=H97,", Brickwork",IF(C102&gt;0,", Brickwork upto "&amp;C102&amp;" Floor",""))&amp;(IF(C103=H97,", Internal Plaster",IF(C103&gt;0,", Internal Plaster upto "&amp;C103&amp;" Floor",""))&amp;(IF(C104=H97,", External Plaster",IF(C104&gt;0,", External Plaster upto "&amp;C104&amp;" Floor",""))&amp;(IF(C105=H97,", External Plumbing, Elevation and Waterproofing",IF(C105&gt;0,", External Plumbing, Elevation and Waterproofing upto "&amp;C105&amp;" Floor",""))&amp;(IF(C106=H97,", Flooring &amp; Fitting",IF(C106&gt;0,", Flooring &amp; Fitting upto "&amp;C106&amp;" Floor",""))&amp;(IF(C107=H97,", Wooden Work",IF(C107&gt;0,", Wooden Work upto "&amp;C107&amp;" Floor",""))&amp;(IF(C108=H97,", Electrical &amp; Sanitary fittings",IF(C108&gt;0,", Electrical &amp; Sanitary fittings upto "&amp;C108&amp;" Floor",""))&amp;(IF(C109&gt;0,", Finishing upto "&amp;C109&amp;" Floor","")&amp;(IF(C101&gt;0.5," Completed",""))))))))))))))))</f>
        <v>Excavation work Completed. Plinth work completed</v>
      </c>
      <c r="J96" s="18"/>
    </row>
    <row r="97" spans="1:11" ht="20.25" hidden="1" x14ac:dyDescent="0.3">
      <c r="A97" s="115"/>
      <c r="B97" s="115"/>
      <c r="C97" s="115"/>
      <c r="D97" s="52">
        <f>IF(AND(ISNUMBER(SEARCH("1B",A96))),1,IF(AND(ISNUMBER(SEARCH("2B",A96))),2,IF(AND(ISNUMBER(SEARCH("3B",A96))),3,IF(AND(ISNUMBER(SEARCH("4B",A96))),4,IF(ISNUMBER(SEARCH("5B",A96)),5,0)))))</f>
        <v>0</v>
      </c>
      <c r="E97" s="122">
        <v>1</v>
      </c>
      <c r="F97" s="122"/>
      <c r="G97" s="52">
        <v>0</v>
      </c>
      <c r="H97" s="30">
        <f ca="1">--TRIM(RIGHT(SUBSTITUTE(LEFT(A96,_xlfn.AGGREGATE(16,6,FIND({0,1,2,3,4,5,6,7,8,9},A96,ROW(INDIRECT("1:"&amp;LEN(A96)))),1))," ",REPT(" ",LEN(A96))),LEN(A96)))</f>
        <v>3</v>
      </c>
      <c r="I97" s="17" t="s">
        <v>121</v>
      </c>
      <c r="J97" s="18"/>
    </row>
    <row r="98" spans="1:11" ht="20.25" hidden="1" customHeight="1" x14ac:dyDescent="0.3">
      <c r="A98" s="123" t="s">
        <v>119</v>
      </c>
      <c r="B98" s="123"/>
      <c r="C98" s="28" t="s">
        <v>133</v>
      </c>
      <c r="D98" s="28" t="s">
        <v>134</v>
      </c>
      <c r="E98" s="123" t="s">
        <v>120</v>
      </c>
      <c r="F98" s="123"/>
      <c r="G98" s="29" t="s">
        <v>118</v>
      </c>
      <c r="H98" s="29"/>
      <c r="I98" s="20" t="s">
        <v>135</v>
      </c>
      <c r="J98" s="19">
        <f ca="1">H97*25%</f>
        <v>0.75</v>
      </c>
    </row>
    <row r="99" spans="1:11" ht="20.25" hidden="1" customHeight="1" x14ac:dyDescent="0.3">
      <c r="A99" s="121" t="s">
        <v>136</v>
      </c>
      <c r="B99" s="121"/>
      <c r="C99" s="30">
        <f ca="1">J100</f>
        <v>3</v>
      </c>
      <c r="D99" s="5">
        <f ca="1">((100/H97)*C99)/100</f>
        <v>1</v>
      </c>
      <c r="E99" s="136">
        <f ca="1">(((C99/H97*10)+(C100/H97*15)+(25/(E97+G97+H97)*C101)+(5/(H97)*C102)+(2.5/(H97)*C103)+(2.5/(H97)*C104)+(5/H97*C105)+(10/H97*C106)+(2.5/H97*C107)+(2.5/H97*C108)+(10/H97*C109)+(10/H97*C110))/100)</f>
        <v>0.25</v>
      </c>
      <c r="F99" s="137"/>
      <c r="G99" s="121" t="str">
        <f ca="1">I96</f>
        <v>Excavation work Completed. Plinth work completed</v>
      </c>
      <c r="H99" s="121"/>
      <c r="I99" s="20" t="s">
        <v>122</v>
      </c>
      <c r="J99" s="24">
        <f ca="1">H97*50%</f>
        <v>1.5</v>
      </c>
    </row>
    <row r="100" spans="1:11" ht="20.25" hidden="1" x14ac:dyDescent="0.3">
      <c r="A100" s="121" t="s">
        <v>103</v>
      </c>
      <c r="B100" s="121"/>
      <c r="C100" s="32">
        <f ca="1">J108</f>
        <v>3</v>
      </c>
      <c r="D100" s="5">
        <f ca="1">((100/H97)*C100)/100</f>
        <v>1</v>
      </c>
      <c r="E100" s="138"/>
      <c r="F100" s="139"/>
      <c r="G100" s="121"/>
      <c r="H100" s="121"/>
      <c r="I100" s="20" t="s">
        <v>123</v>
      </c>
      <c r="J100" s="24">
        <f ca="1">H97</f>
        <v>3</v>
      </c>
    </row>
    <row r="101" spans="1:11" ht="21" hidden="1" customHeight="1" x14ac:dyDescent="0.35">
      <c r="A101" s="121" t="s">
        <v>137</v>
      </c>
      <c r="B101" s="121"/>
      <c r="C101" s="30">
        <v>0</v>
      </c>
      <c r="D101" s="5">
        <f ca="1">((100/(E97+G97+H97))*C101)/100</f>
        <v>0</v>
      </c>
      <c r="E101" s="138"/>
      <c r="F101" s="139"/>
      <c r="G101" s="121"/>
      <c r="H101" s="121"/>
      <c r="I101" s="20" t="s">
        <v>124</v>
      </c>
      <c r="J101" s="25">
        <f ca="1">(IF(D97&gt;1,(H97/(D97+2)),H97*0.2))</f>
        <v>0.60000000000000009</v>
      </c>
    </row>
    <row r="102" spans="1:11" ht="21" hidden="1" customHeight="1" x14ac:dyDescent="0.35">
      <c r="A102" s="121" t="s">
        <v>138</v>
      </c>
      <c r="B102" s="121"/>
      <c r="C102" s="30">
        <v>0</v>
      </c>
      <c r="D102" s="5">
        <f ca="1">((100/H97)*C102)/100</f>
        <v>0</v>
      </c>
      <c r="E102" s="138"/>
      <c r="F102" s="139"/>
      <c r="G102" s="121"/>
      <c r="H102" s="121"/>
      <c r="I102" s="20" t="s">
        <v>125</v>
      </c>
      <c r="J102" s="25">
        <f ca="1">(IF(D97&gt;1,(H97/(D97+2)+J101),H97*0.2+J101))</f>
        <v>1.2000000000000002</v>
      </c>
    </row>
    <row r="103" spans="1:11" ht="21" hidden="1" customHeight="1" x14ac:dyDescent="0.35">
      <c r="A103" s="119" t="s">
        <v>139</v>
      </c>
      <c r="B103" s="120"/>
      <c r="C103" s="30">
        <v>0</v>
      </c>
      <c r="D103" s="5">
        <f ca="1">((100/H97)*C103)/100</f>
        <v>0</v>
      </c>
      <c r="E103" s="138"/>
      <c r="F103" s="139"/>
      <c r="G103" s="121"/>
      <c r="H103" s="121"/>
      <c r="I103" s="20" t="s">
        <v>140</v>
      </c>
      <c r="J103" s="25">
        <f>(IF(D97&gt;1,(H97/(D97+2)+J102),0))</f>
        <v>0</v>
      </c>
    </row>
    <row r="104" spans="1:11" ht="21" hidden="1" customHeight="1" x14ac:dyDescent="0.35">
      <c r="A104" s="119" t="s">
        <v>171</v>
      </c>
      <c r="B104" s="120"/>
      <c r="C104" s="30">
        <v>0</v>
      </c>
      <c r="D104" s="5">
        <f ca="1">((100/H97)*C104)/100</f>
        <v>0</v>
      </c>
      <c r="E104" s="138"/>
      <c r="F104" s="139"/>
      <c r="G104" s="121"/>
      <c r="H104" s="121"/>
      <c r="I104" s="20" t="s">
        <v>141</v>
      </c>
      <c r="J104" s="25">
        <f>(IF(D97&gt;2,(H97/(D97+2)+J103),0))</f>
        <v>0</v>
      </c>
    </row>
    <row r="105" spans="1:11" ht="57.75" hidden="1" customHeight="1" x14ac:dyDescent="0.35">
      <c r="A105" s="119" t="s">
        <v>168</v>
      </c>
      <c r="B105" s="120"/>
      <c r="C105" s="30">
        <v>0</v>
      </c>
      <c r="D105" s="5">
        <f ca="1">((100/(H97))*C105)/100</f>
        <v>0</v>
      </c>
      <c r="E105" s="138"/>
      <c r="F105" s="139"/>
      <c r="G105" s="121"/>
      <c r="H105" s="121"/>
      <c r="I105" s="20" t="s">
        <v>143</v>
      </c>
      <c r="J105" s="26">
        <f>(IF(D97&gt;3,(H97/(D97+2)+J104),0))</f>
        <v>0</v>
      </c>
    </row>
    <row r="106" spans="1:11" ht="21" hidden="1" x14ac:dyDescent="0.35">
      <c r="A106" s="121" t="s">
        <v>142</v>
      </c>
      <c r="B106" s="121"/>
      <c r="C106" s="30">
        <v>0</v>
      </c>
      <c r="D106" s="5">
        <f ca="1">((100/(H97))*C106)/100</f>
        <v>0</v>
      </c>
      <c r="E106" s="138"/>
      <c r="F106" s="139"/>
      <c r="G106" s="121"/>
      <c r="H106" s="121"/>
      <c r="I106" s="20" t="s">
        <v>144</v>
      </c>
      <c r="J106" s="25">
        <f>(IF(D97&gt;4,(H97/(D97+2)+J105),0))</f>
        <v>0</v>
      </c>
    </row>
    <row r="107" spans="1:11" ht="21" hidden="1" customHeight="1" x14ac:dyDescent="0.35">
      <c r="A107" s="121" t="s">
        <v>170</v>
      </c>
      <c r="B107" s="121"/>
      <c r="C107" s="30">
        <v>0</v>
      </c>
      <c r="D107" s="5">
        <f ca="1">((100/H97)*C107)/100</f>
        <v>0</v>
      </c>
      <c r="E107" s="138"/>
      <c r="F107" s="139"/>
      <c r="G107" s="121"/>
      <c r="H107" s="121"/>
      <c r="I107" s="20" t="s">
        <v>126</v>
      </c>
      <c r="J107" s="25">
        <f ca="1">(IF(D97=1,(H97/(D97+3)+J102),IF(D97=0,(H97*0.3+J102),IF(D97&gt;1,0))))</f>
        <v>2.1</v>
      </c>
    </row>
    <row r="108" spans="1:11" ht="21.75" hidden="1" thickBot="1" x14ac:dyDescent="0.4">
      <c r="A108" s="121" t="s">
        <v>169</v>
      </c>
      <c r="B108" s="121"/>
      <c r="C108" s="30">
        <v>0</v>
      </c>
      <c r="D108" s="5">
        <f ca="1">((100/H97)*C108)/100</f>
        <v>0</v>
      </c>
      <c r="E108" s="138"/>
      <c r="F108" s="139"/>
      <c r="G108" s="121"/>
      <c r="H108" s="121"/>
      <c r="I108" s="22" t="s">
        <v>127</v>
      </c>
      <c r="J108" s="27">
        <f ca="1">(IF(D97&gt;1.5,(H97/(D97+2)+J102+MAX(0,J103-J102)+MAX(0,J104-J103)+MAX(0,J105-J104)+MAX(0,J106-J105)+MAX(0,J107-J106)),IF(D97=1,(H97/(D97+3)+J107),IF(D97=0,H97*0.3+J107))))</f>
        <v>3</v>
      </c>
    </row>
    <row r="109" spans="1:11" ht="20.25" hidden="1" x14ac:dyDescent="0.25">
      <c r="A109" s="121" t="s">
        <v>145</v>
      </c>
      <c r="B109" s="121"/>
      <c r="C109" s="30">
        <v>0</v>
      </c>
      <c r="D109" s="5">
        <f ca="1">((100/(H97))*C109)/100</f>
        <v>0</v>
      </c>
      <c r="E109" s="138"/>
      <c r="F109" s="139"/>
      <c r="G109" s="121"/>
      <c r="H109" s="121"/>
    </row>
    <row r="110" spans="1:11" ht="20.25" hidden="1" x14ac:dyDescent="0.25">
      <c r="A110" s="121" t="s">
        <v>146</v>
      </c>
      <c r="B110" s="121"/>
      <c r="C110" s="30">
        <v>0</v>
      </c>
      <c r="D110" s="5">
        <f ca="1">((100/(H97))*C110)/100</f>
        <v>0</v>
      </c>
      <c r="E110" s="140"/>
      <c r="F110" s="141"/>
      <c r="G110" s="121"/>
      <c r="H110" s="121"/>
    </row>
    <row r="111" spans="1:11" ht="36.75" customHeight="1" x14ac:dyDescent="0.3">
      <c r="A111" s="146" t="s">
        <v>128</v>
      </c>
      <c r="B111" s="147"/>
      <c r="C111" s="147"/>
      <c r="D111" s="147"/>
      <c r="E111" s="147"/>
      <c r="F111" s="147"/>
      <c r="G111" s="144">
        <f ca="1">AVERAGE(E67)</f>
        <v>0.32371794871794868</v>
      </c>
      <c r="H111" s="145"/>
      <c r="I111" s="20"/>
      <c r="J111" s="21"/>
      <c r="K111" s="21"/>
    </row>
    <row r="112" spans="1:11" ht="20.25" x14ac:dyDescent="0.25">
      <c r="A112" s="131" t="s">
        <v>72</v>
      </c>
      <c r="B112" s="132"/>
      <c r="C112" s="132"/>
      <c r="D112" s="132"/>
      <c r="E112" s="132"/>
      <c r="F112" s="132"/>
      <c r="G112" s="132"/>
      <c r="H112" s="133"/>
    </row>
    <row r="113" spans="1:150 16226:16383" ht="54.75" customHeight="1" x14ac:dyDescent="0.25">
      <c r="A113" s="134" t="s">
        <v>73</v>
      </c>
      <c r="B113" s="135"/>
      <c r="C113" s="128" t="s">
        <v>107</v>
      </c>
      <c r="D113" s="129"/>
      <c r="E113" s="134" t="s">
        <v>147</v>
      </c>
      <c r="F113" s="135" t="s">
        <v>4</v>
      </c>
      <c r="G113" s="143" t="s">
        <v>161</v>
      </c>
      <c r="H113" s="143"/>
    </row>
    <row r="114" spans="1:150 16226:16383" ht="44.25" customHeight="1" x14ac:dyDescent="0.25">
      <c r="A114" s="184" t="s">
        <v>157</v>
      </c>
      <c r="B114" s="185"/>
      <c r="C114" s="128" t="s">
        <v>375</v>
      </c>
      <c r="D114" s="129"/>
      <c r="E114" s="134" t="s">
        <v>158</v>
      </c>
      <c r="F114" s="135" t="s">
        <v>4</v>
      </c>
      <c r="G114" s="116" t="s">
        <v>148</v>
      </c>
      <c r="H114" s="116"/>
    </row>
    <row r="115" spans="1:150 16226:16383" ht="20.25" x14ac:dyDescent="0.25">
      <c r="A115" s="134" t="s">
        <v>74</v>
      </c>
      <c r="B115" s="135"/>
      <c r="C115" s="155">
        <v>1000000</v>
      </c>
      <c r="D115" s="157"/>
      <c r="E115" s="134" t="s">
        <v>101</v>
      </c>
      <c r="F115" s="135" t="s">
        <v>4</v>
      </c>
      <c r="G115" s="128" t="s">
        <v>108</v>
      </c>
      <c r="H115" s="129"/>
    </row>
    <row r="116" spans="1:150 16226:16383" ht="20.25" x14ac:dyDescent="0.25">
      <c r="A116" s="131" t="s">
        <v>71</v>
      </c>
      <c r="B116" s="132"/>
      <c r="C116" s="132"/>
      <c r="D116" s="132"/>
      <c r="E116" s="132"/>
      <c r="F116" s="132"/>
      <c r="G116" s="132"/>
      <c r="H116" s="133"/>
    </row>
    <row r="117" spans="1:150 16226:16383" ht="20.25" customHeight="1" x14ac:dyDescent="0.25">
      <c r="A117" s="134" t="s">
        <v>8</v>
      </c>
      <c r="B117" s="183"/>
      <c r="C117" s="183"/>
      <c r="D117" s="183"/>
      <c r="E117" s="183"/>
      <c r="F117" s="135"/>
      <c r="G117" s="148">
        <f>76200/10.764</f>
        <v>7079.1527313266452</v>
      </c>
      <c r="H117" s="149"/>
    </row>
    <row r="118" spans="1:150 16226:16383" ht="20.25" customHeight="1" x14ac:dyDescent="0.25">
      <c r="A118" s="134" t="s">
        <v>27</v>
      </c>
      <c r="B118" s="183"/>
      <c r="C118" s="183"/>
      <c r="D118" s="183"/>
      <c r="E118" s="183"/>
      <c r="F118" s="135" t="s">
        <v>4</v>
      </c>
      <c r="G118" s="130">
        <f>176510/10.764</f>
        <v>16398.17911557042</v>
      </c>
      <c r="H118" s="130"/>
    </row>
    <row r="119" spans="1:150 16226:16383" ht="20.25" customHeight="1" x14ac:dyDescent="0.25">
      <c r="A119" s="134" t="s">
        <v>109</v>
      </c>
      <c r="B119" s="183"/>
      <c r="C119" s="183"/>
      <c r="D119" s="183"/>
      <c r="E119" s="183"/>
      <c r="F119" s="135" t="s">
        <v>4</v>
      </c>
      <c r="G119" s="130">
        <f>G117*0.8</f>
        <v>5663.3221850613163</v>
      </c>
      <c r="H119" s="130"/>
    </row>
    <row r="120" spans="1:150 16226:16383" ht="20.25" x14ac:dyDescent="0.25">
      <c r="A120" s="150" t="s">
        <v>247</v>
      </c>
      <c r="B120" s="151"/>
      <c r="C120" s="151"/>
      <c r="D120" s="151"/>
      <c r="E120" s="151"/>
      <c r="F120" s="151"/>
      <c r="G120" s="151"/>
      <c r="H120" s="152"/>
    </row>
    <row r="121" spans="1:150 16226:16383" s="3" customFormat="1" ht="20.25" x14ac:dyDescent="0.25">
      <c r="A121" s="106" t="s">
        <v>154</v>
      </c>
      <c r="B121" s="107"/>
      <c r="C121" s="106" t="s">
        <v>155</v>
      </c>
      <c r="D121" s="107"/>
      <c r="E121" s="106" t="s">
        <v>153</v>
      </c>
      <c r="F121" s="107"/>
      <c r="G121" s="106" t="s">
        <v>166</v>
      </c>
      <c r="H121" s="107"/>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x14ac:dyDescent="0.25">
      <c r="A122" s="108" t="s">
        <v>371</v>
      </c>
      <c r="B122" s="109"/>
      <c r="C122" s="108" t="s">
        <v>352</v>
      </c>
      <c r="D122" s="109"/>
      <c r="E122" s="108">
        <f>COUNT(E136:E149)</f>
        <v>14</v>
      </c>
      <c r="F122" s="109"/>
      <c r="G122" s="108">
        <f>SUM(H136:H149)</f>
        <v>3646.4486993999999</v>
      </c>
      <c r="H122" s="10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hidden="1" customHeight="1" x14ac:dyDescent="0.25">
      <c r="A123" s="108"/>
      <c r="B123" s="109"/>
      <c r="C123" s="108" t="s">
        <v>352</v>
      </c>
      <c r="D123" s="109"/>
      <c r="E123" s="108"/>
      <c r="F123" s="109"/>
      <c r="G123" s="108"/>
      <c r="H123" s="10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106" t="s">
        <v>156</v>
      </c>
      <c r="B124" s="107"/>
      <c r="C124" s="108" t="s">
        <v>95</v>
      </c>
      <c r="D124" s="109"/>
      <c r="E124" s="106">
        <f>SUM(E122:F123)</f>
        <v>14</v>
      </c>
      <c r="F124" s="107"/>
      <c r="G124" s="106">
        <f>SUM(G122:H123)</f>
        <v>3646.4486993999999</v>
      </c>
      <c r="H124" s="107"/>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ht="20.25" x14ac:dyDescent="0.25">
      <c r="A125" s="150" t="s">
        <v>234</v>
      </c>
      <c r="B125" s="151"/>
      <c r="C125" s="151"/>
      <c r="D125" s="151"/>
      <c r="E125" s="151"/>
      <c r="F125" s="151"/>
      <c r="G125" s="151"/>
      <c r="H125" s="152"/>
    </row>
    <row r="126" spans="1:150 16226:16383" s="3" customFormat="1" ht="20.25" x14ac:dyDescent="0.25">
      <c r="A126" s="106" t="s">
        <v>154</v>
      </c>
      <c r="B126" s="107"/>
      <c r="C126" s="106" t="s">
        <v>155</v>
      </c>
      <c r="D126" s="107"/>
      <c r="E126" s="106" t="s">
        <v>153</v>
      </c>
      <c r="F126" s="107"/>
      <c r="G126" s="106" t="s">
        <v>166</v>
      </c>
      <c r="H126" s="107"/>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110" t="s">
        <v>370</v>
      </c>
      <c r="B127" s="111"/>
      <c r="C127" s="108" t="s">
        <v>352</v>
      </c>
      <c r="D127" s="109"/>
      <c r="E127" s="108">
        <f>COUNT(E153,E156:E157,E160)</f>
        <v>4</v>
      </c>
      <c r="F127" s="109"/>
      <c r="G127" s="108">
        <f>SUM(H153,H156:H157,H160)</f>
        <v>4561.8693119999998</v>
      </c>
      <c r="H127" s="10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x14ac:dyDescent="0.25">
      <c r="A128" s="112"/>
      <c r="B128" s="113"/>
      <c r="C128" s="108" t="s">
        <v>88</v>
      </c>
      <c r="D128" s="109"/>
      <c r="E128" s="108">
        <f>COUNT(E154:E155,E158:E159)+COUNT(E162:E169)*27+COUNT(E171,E175:E178)*4+COUNT(E180:E186)+COUNT(E188:E190,E192:E195)</f>
        <v>254</v>
      </c>
      <c r="F128" s="109"/>
      <c r="G128" s="108">
        <f>SUM(H154:H155,H158:H159)+SUM(H162:H169)*27+SUM(H171,H175:H178)*4+SUM(H180:H186)+SUM(H188:H190,H192:H195)</f>
        <v>287841.48026399995</v>
      </c>
      <c r="H128" s="10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x14ac:dyDescent="0.25">
      <c r="A129" s="106" t="s">
        <v>156</v>
      </c>
      <c r="B129" s="107"/>
      <c r="C129" s="106" t="s">
        <v>95</v>
      </c>
      <c r="D129" s="107"/>
      <c r="E129" s="106">
        <f>SUM(E127:F128)</f>
        <v>258</v>
      </c>
      <c r="F129" s="107"/>
      <c r="G129" s="106">
        <f>SUM(G127:H128)</f>
        <v>292403.34957599995</v>
      </c>
      <c r="H129" s="107"/>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x14ac:dyDescent="0.25">
      <c r="A130" s="106" t="s">
        <v>248</v>
      </c>
      <c r="B130" s="107"/>
      <c r="C130" s="106" t="s">
        <v>95</v>
      </c>
      <c r="D130" s="107"/>
      <c r="E130" s="106">
        <f>SUM(E124,E129)</f>
        <v>272</v>
      </c>
      <c r="F130" s="107"/>
      <c r="G130" s="106">
        <f>SUM(G124,G129)</f>
        <v>296049.79827539995</v>
      </c>
      <c r="H130" s="107"/>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ht="20.25" x14ac:dyDescent="0.25">
      <c r="A131" s="174" t="s">
        <v>152</v>
      </c>
      <c r="B131" s="175"/>
      <c r="C131" s="175"/>
      <c r="D131" s="175"/>
      <c r="E131" s="175"/>
      <c r="F131" s="175"/>
      <c r="G131" s="175"/>
      <c r="H131" s="152"/>
    </row>
    <row r="132" spans="1:150 16226:16383" ht="66" customHeight="1" x14ac:dyDescent="0.25">
      <c r="A132" s="53" t="s">
        <v>235</v>
      </c>
      <c r="B132" s="31" t="s">
        <v>236</v>
      </c>
      <c r="C132" s="34" t="s">
        <v>237</v>
      </c>
      <c r="D132" s="31" t="s">
        <v>89</v>
      </c>
      <c r="E132" s="31" t="s">
        <v>167</v>
      </c>
      <c r="F132" s="34" t="s">
        <v>238</v>
      </c>
      <c r="G132" s="31" t="s">
        <v>91</v>
      </c>
      <c r="H132" s="31" t="s">
        <v>90</v>
      </c>
    </row>
    <row r="133" spans="1:150 16226:16383" s="3" customFormat="1" ht="20.25" x14ac:dyDescent="0.25">
      <c r="A133" s="102" t="s">
        <v>356</v>
      </c>
      <c r="B133" s="103"/>
      <c r="C133" s="103"/>
      <c r="D133" s="103"/>
      <c r="E133" s="103"/>
      <c r="F133" s="103"/>
      <c r="G133" s="103"/>
      <c r="H133" s="10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102" t="s">
        <v>350</v>
      </c>
      <c r="B134" s="103"/>
      <c r="C134" s="103"/>
      <c r="D134" s="103"/>
      <c r="E134" s="103"/>
      <c r="F134" s="103"/>
      <c r="G134" s="103"/>
      <c r="H134" s="10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02" t="s">
        <v>351</v>
      </c>
      <c r="B135" s="103"/>
      <c r="C135" s="103"/>
      <c r="D135" s="103"/>
      <c r="E135" s="103"/>
      <c r="F135" s="103"/>
      <c r="G135" s="103"/>
      <c r="H135" s="104"/>
      <c r="I135" s="1"/>
      <c r="J135" s="80">
        <f>10.764</f>
        <v>10.763999999999999</v>
      </c>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105">
        <v>17</v>
      </c>
      <c r="B136" s="105"/>
      <c r="C136" s="54" t="s">
        <v>352</v>
      </c>
      <c r="D136" s="54" t="s">
        <v>353</v>
      </c>
      <c r="E136" s="76">
        <f>(2.325*1.85+1.875*0.6+1.975*1.05+1.425*0.3+3.175*1.9+2.175*1.3+0.9*1.2)*(10.764)</f>
        <v>192.32576999999998</v>
      </c>
      <c r="F136" s="76">
        <v>0</v>
      </c>
      <c r="G136" s="76">
        <v>0</v>
      </c>
      <c r="H136" s="76">
        <f>E136+F136+(IF(G136&lt;101,G136,IF(G136&lt;201,G136/2,IF(G136&lt;=301,G136/3,G136/4))))</f>
        <v>192.32576999999998</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85">
        <f>A136+1</f>
        <v>18</v>
      </c>
      <c r="B137" s="86"/>
      <c r="C137" s="54" t="s">
        <v>352</v>
      </c>
      <c r="D137" s="54" t="s">
        <v>353</v>
      </c>
      <c r="E137" s="76">
        <f>(2.9*1.85+2.75*1.05+2.6*0.75+1.3*0.15+2.29*3.17+1.29*1.3+0.9*1.2)*(10.764)</f>
        <v>219.73414320000001</v>
      </c>
      <c r="F137" s="76">
        <v>0</v>
      </c>
      <c r="G137" s="76">
        <v>0</v>
      </c>
      <c r="H137" s="76">
        <f t="shared" ref="H137:H143" si="0">E137+F137+(IF(G137&lt;101,G137,IF(G137&lt;201,G137/2,IF(G137&lt;=301,G137/3,G137/4))))</f>
        <v>219.73414320000001</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85">
        <f t="shared" ref="A138:A149" si="1">A137+1</f>
        <v>19</v>
      </c>
      <c r="B138" s="86"/>
      <c r="C138" s="54" t="s">
        <v>352</v>
      </c>
      <c r="D138" s="54" t="s">
        <v>353</v>
      </c>
      <c r="E138" s="76">
        <f>(3.25*1.05+3.4*1.85+3*0.75+2.46*1.9+2.81*1.42+1.81*1.3+0.9*1.2)*(10.764)</f>
        <v>258.87097080000001</v>
      </c>
      <c r="F138" s="76">
        <v>0</v>
      </c>
      <c r="G138" s="76">
        <v>0</v>
      </c>
      <c r="H138" s="76">
        <f t="shared" si="0"/>
        <v>258.87097080000001</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85">
        <f t="shared" si="1"/>
        <v>20</v>
      </c>
      <c r="B139" s="86"/>
      <c r="C139" s="54" t="s">
        <v>352</v>
      </c>
      <c r="D139" s="54" t="s">
        <v>353</v>
      </c>
      <c r="E139" s="76">
        <f>(3.175*9.19+3.875*1.06+2.675*1.3+1.1*1.2+0.4*0.25)*(10.764)</f>
        <v>411.004503</v>
      </c>
      <c r="F139" s="76">
        <v>0</v>
      </c>
      <c r="G139" s="76">
        <v>0</v>
      </c>
      <c r="H139" s="76">
        <f t="shared" si="0"/>
        <v>411.004503</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85">
        <f t="shared" si="1"/>
        <v>21</v>
      </c>
      <c r="B140" s="86"/>
      <c r="C140" s="54" t="s">
        <v>352</v>
      </c>
      <c r="D140" s="54" t="s">
        <v>353</v>
      </c>
      <c r="E140" s="76">
        <f>(2.7*1.05+2.85*2.1+2.5*2.4+2.85*2.19+1.85*1.3+0.9*1.2)*(10.764)</f>
        <v>264.218526</v>
      </c>
      <c r="F140" s="76">
        <v>0</v>
      </c>
      <c r="G140" s="76">
        <v>0</v>
      </c>
      <c r="H140" s="76">
        <f t="shared" si="0"/>
        <v>264.218526</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85">
        <f t="shared" si="1"/>
        <v>22</v>
      </c>
      <c r="B141" s="86"/>
      <c r="C141" s="54" t="s">
        <v>352</v>
      </c>
      <c r="D141" s="54" t="s">
        <v>353</v>
      </c>
      <c r="E141" s="76">
        <f>(2.9*1.05+3.05*2.1+2.6*2.4+3.05*2.189+2.05*1.3+0.9*1.2)*(10.764)</f>
        <v>281.06364779999996</v>
      </c>
      <c r="F141" s="76">
        <v>0</v>
      </c>
      <c r="G141" s="76">
        <v>0</v>
      </c>
      <c r="H141" s="76">
        <f t="shared" si="0"/>
        <v>281.06364779999996</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85">
        <f t="shared" si="1"/>
        <v>23</v>
      </c>
      <c r="B142" s="86"/>
      <c r="C142" s="54" t="s">
        <v>352</v>
      </c>
      <c r="D142" s="54" t="s">
        <v>353</v>
      </c>
      <c r="E142" s="76">
        <f>(2.5*4.739+1.5*1.3+0.9*1.2)*(10.764)</f>
        <v>160.14140999999998</v>
      </c>
      <c r="F142" s="76">
        <v>0</v>
      </c>
      <c r="G142" s="76">
        <v>0</v>
      </c>
      <c r="H142" s="76">
        <f t="shared" si="0"/>
        <v>160.14140999999998</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85">
        <f t="shared" si="1"/>
        <v>24</v>
      </c>
      <c r="B143" s="86"/>
      <c r="C143" s="54" t="s">
        <v>352</v>
      </c>
      <c r="D143" s="54" t="s">
        <v>353</v>
      </c>
      <c r="E143" s="76">
        <f>(3.6*6.19+6.25*1.55+5.25*1.3+0.9*1.2+0.765*0.25)*(10.764)</f>
        <v>431.28926099999995</v>
      </c>
      <c r="F143" s="76">
        <v>0</v>
      </c>
      <c r="G143" s="76">
        <v>0</v>
      </c>
      <c r="H143" s="76">
        <f t="shared" si="0"/>
        <v>431.28926099999995</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x14ac:dyDescent="0.25">
      <c r="A144" s="85">
        <f t="shared" si="1"/>
        <v>25</v>
      </c>
      <c r="B144" s="86"/>
      <c r="C144" s="54" t="s">
        <v>352</v>
      </c>
      <c r="D144" s="54" t="s">
        <v>353</v>
      </c>
      <c r="E144" s="76">
        <f>(2.55*3.15+2.25*2.4+2.7*1.274+1.7*1.3+0.9*1.2+2.1*0.15)*(10.764)</f>
        <v>220.41765720000001</v>
      </c>
      <c r="F144" s="76">
        <v>0</v>
      </c>
      <c r="G144" s="76">
        <v>0</v>
      </c>
      <c r="H144" s="76">
        <f t="shared" ref="H144:H149" si="2">E144+F144+(IF(G144&lt;101,G144,IF(G144&lt;201,G144/2,IF(G144&lt;=301,G144/3,G144/4))))</f>
        <v>220.41765720000001</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85">
        <f t="shared" si="1"/>
        <v>26</v>
      </c>
      <c r="B145" s="86"/>
      <c r="C145" s="54" t="s">
        <v>352</v>
      </c>
      <c r="D145" s="54" t="s">
        <v>353</v>
      </c>
      <c r="E145" s="76">
        <f>(3.05*3.15+2.85*2.86+1.85*1.3+0.9*1.2+2.1*0.15+1.76*0.35)*(10.764)</f>
        <v>238.68631799999997</v>
      </c>
      <c r="F145" s="76">
        <v>0</v>
      </c>
      <c r="G145" s="76">
        <v>0</v>
      </c>
      <c r="H145" s="76">
        <f t="shared" si="2"/>
        <v>238.68631799999997</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85">
        <f t="shared" si="1"/>
        <v>27</v>
      </c>
      <c r="B146" s="86"/>
      <c r="C146" s="54" t="s">
        <v>352</v>
      </c>
      <c r="D146" s="54" t="s">
        <v>353</v>
      </c>
      <c r="E146" s="76">
        <f>(3.175*6.014+2.525*1.296+0.9*1.2)*(10.764)</f>
        <v>252.38189339999997</v>
      </c>
      <c r="F146" s="76">
        <v>0</v>
      </c>
      <c r="G146" s="76">
        <v>0</v>
      </c>
      <c r="H146" s="76">
        <f t="shared" si="2"/>
        <v>252.38189339999997</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85">
        <f t="shared" si="1"/>
        <v>28</v>
      </c>
      <c r="B147" s="86"/>
      <c r="C147" s="54" t="s">
        <v>352</v>
      </c>
      <c r="D147" s="54" t="s">
        <v>353</v>
      </c>
      <c r="E147" s="76">
        <f>(3.05*2.9+2.85*3.82+1.85*1.3+0.9*1.2+1.85*0.15)*(10.764)</f>
        <v>252.89479799999998</v>
      </c>
      <c r="F147" s="76">
        <v>0</v>
      </c>
      <c r="G147" s="76">
        <v>0</v>
      </c>
      <c r="H147" s="76">
        <f t="shared" si="2"/>
        <v>252.89479799999998</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85">
        <f t="shared" si="1"/>
        <v>29</v>
      </c>
      <c r="B148" s="86"/>
      <c r="C148" s="54" t="s">
        <v>352</v>
      </c>
      <c r="D148" s="54" t="s">
        <v>353</v>
      </c>
      <c r="E148" s="76">
        <f>(3.2*2.9+2.6*0.8+3.2*2.15+2.2*1.3+0.9*1.2)*(10.764)</f>
        <v>238.74551999999997</v>
      </c>
      <c r="F148" s="76">
        <v>0</v>
      </c>
      <c r="G148" s="76">
        <v>0</v>
      </c>
      <c r="H148" s="76">
        <f t="shared" si="2"/>
        <v>238.74551999999997</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85">
        <f t="shared" si="1"/>
        <v>30</v>
      </c>
      <c r="B149" s="86"/>
      <c r="C149" s="54" t="s">
        <v>352</v>
      </c>
      <c r="D149" s="54" t="s">
        <v>353</v>
      </c>
      <c r="E149" s="76">
        <f>(3.835*2.9+3.535*0.6+1.425*0.2+1.875*2.45+0.875*1.3+0.9*1.2+1.71*0.15+1.85*0.15)*(10.764)</f>
        <v>224.67428099999995</v>
      </c>
      <c r="F149" s="76">
        <v>0</v>
      </c>
      <c r="G149" s="76">
        <v>0</v>
      </c>
      <c r="H149" s="76">
        <f t="shared" si="2"/>
        <v>224.67428099999995</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102" t="s">
        <v>354</v>
      </c>
      <c r="B150" s="103"/>
      <c r="C150" s="103"/>
      <c r="D150" s="103"/>
      <c r="E150" s="103"/>
      <c r="F150" s="103"/>
      <c r="G150" s="103"/>
      <c r="H150" s="10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102" t="s">
        <v>355</v>
      </c>
      <c r="B151" s="103"/>
      <c r="C151" s="103"/>
      <c r="D151" s="103"/>
      <c r="E151" s="103"/>
      <c r="F151" s="103"/>
      <c r="G151" s="103"/>
      <c r="H151" s="10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x14ac:dyDescent="0.25">
      <c r="A152" s="102" t="s">
        <v>357</v>
      </c>
      <c r="B152" s="103"/>
      <c r="C152" s="103"/>
      <c r="D152" s="103"/>
      <c r="E152" s="103"/>
      <c r="F152" s="103"/>
      <c r="G152" s="103"/>
      <c r="H152" s="10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85">
        <v>1</v>
      </c>
      <c r="B153" s="86"/>
      <c r="C153" s="54" t="s">
        <v>352</v>
      </c>
      <c r="D153" s="54" t="s">
        <v>359</v>
      </c>
      <c r="E153" s="76">
        <f>(99.709)*(10.764)</f>
        <v>1073.2676759999999</v>
      </c>
      <c r="F153" s="76">
        <f>(6.243)*(10.764)</f>
        <v>67.199652</v>
      </c>
      <c r="G153" s="76">
        <v>0</v>
      </c>
      <c r="H153" s="76">
        <f>E153+F153+(IF(G153&lt;101,G153,IF(G153&lt;201,G153/2,IF(G153&lt;=301,G153/3,G153/4))))</f>
        <v>1140.467328</v>
      </c>
      <c r="I153" s="76">
        <f>3.5*2+2.9*2.42+1.475*2.425+1.475*1.2+7.625*3.625+3.05*2.275+0.95*0.65+3.425*0.75+2.1*1.625+2.425*1.525+3.5*4.15+3.5*2.3+3.25*1.85+3.075*0.05+2.855*0.05+1.525*2.425+1.625*1.375</f>
        <v>99.057625000000016</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85">
        <f>A153+1</f>
        <v>2</v>
      </c>
      <c r="B154" s="86"/>
      <c r="C154" s="54" t="s">
        <v>88</v>
      </c>
      <c r="D154" s="54" t="s">
        <v>359</v>
      </c>
      <c r="E154" s="76">
        <f>(70.952)*(10.764)</f>
        <v>763.72732799999994</v>
      </c>
      <c r="F154" s="76">
        <f>(3.3*1.6+1.7*1.6)*(10.764)</f>
        <v>86.111999999999995</v>
      </c>
      <c r="G154" s="76">
        <v>0</v>
      </c>
      <c r="H154" s="76">
        <f t="shared" ref="H154:H160" si="3">E154+F154+(IF(G154&lt;101,G154,IF(G154&lt;201,G154/2,IF(G154&lt;=301,G154/3,G154/4))))</f>
        <v>849.83932799999991</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85">
        <f t="shared" ref="A155:A160" si="4">A154+1</f>
        <v>3</v>
      </c>
      <c r="B155" s="86"/>
      <c r="C155" s="54" t="s">
        <v>88</v>
      </c>
      <c r="D155" s="54" t="s">
        <v>359</v>
      </c>
      <c r="E155" s="76">
        <f>(70.952)*(10.764)</f>
        <v>763.72732799999994</v>
      </c>
      <c r="F155" s="76">
        <f>(3.3*1.6+1.7*1.6)*(10.764)</f>
        <v>86.111999999999995</v>
      </c>
      <c r="G155" s="76">
        <v>0</v>
      </c>
      <c r="H155" s="76">
        <f t="shared" si="3"/>
        <v>849.83932799999991</v>
      </c>
      <c r="I155" s="1"/>
      <c r="J155" s="1">
        <f>28500000/H155</f>
        <v>33535.750889608164</v>
      </c>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85">
        <f t="shared" si="4"/>
        <v>4</v>
      </c>
      <c r="B156" s="86"/>
      <c r="C156" s="54" t="s">
        <v>352</v>
      </c>
      <c r="D156" s="54" t="s">
        <v>359</v>
      </c>
      <c r="E156" s="76">
        <f>(99.709)*(10.764)</f>
        <v>1073.2676759999999</v>
      </c>
      <c r="F156" s="76">
        <f>(6.243)*(10.764)</f>
        <v>67.199652</v>
      </c>
      <c r="G156" s="76">
        <v>0</v>
      </c>
      <c r="H156" s="76">
        <f t="shared" si="3"/>
        <v>1140.467328</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85">
        <f t="shared" si="4"/>
        <v>5</v>
      </c>
      <c r="B157" s="86"/>
      <c r="C157" s="54" t="s">
        <v>352</v>
      </c>
      <c r="D157" s="54" t="s">
        <v>359</v>
      </c>
      <c r="E157" s="76">
        <f>(99.709)*(10.764)</f>
        <v>1073.2676759999999</v>
      </c>
      <c r="F157" s="76">
        <f>(6.243)*(10.764)</f>
        <v>67.199652</v>
      </c>
      <c r="G157" s="76">
        <v>0</v>
      </c>
      <c r="H157" s="76">
        <f t="shared" si="3"/>
        <v>1140.467328</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85">
        <f t="shared" si="4"/>
        <v>6</v>
      </c>
      <c r="B158" s="86"/>
      <c r="C158" s="54" t="s">
        <v>88</v>
      </c>
      <c r="D158" s="54" t="s">
        <v>359</v>
      </c>
      <c r="E158" s="76">
        <f>(70.952)*(10.764)</f>
        <v>763.72732799999994</v>
      </c>
      <c r="F158" s="76">
        <f>(3.3*1.6+1.7*1.6)*(10.764)</f>
        <v>86.111999999999995</v>
      </c>
      <c r="G158" s="76">
        <v>0</v>
      </c>
      <c r="H158" s="76">
        <f t="shared" si="3"/>
        <v>849.83932799999991</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85">
        <f t="shared" si="4"/>
        <v>7</v>
      </c>
      <c r="B159" s="86"/>
      <c r="C159" s="54" t="s">
        <v>88</v>
      </c>
      <c r="D159" s="54" t="s">
        <v>359</v>
      </c>
      <c r="E159" s="76">
        <f>(70.952)*(10.764)</f>
        <v>763.72732799999994</v>
      </c>
      <c r="F159" s="76">
        <f>(3.3*1.6+1.7*1.6)*(10.764)</f>
        <v>86.111999999999995</v>
      </c>
      <c r="G159" s="76">
        <v>0</v>
      </c>
      <c r="H159" s="76">
        <f t="shared" si="3"/>
        <v>849.83932799999991</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85">
        <f t="shared" si="4"/>
        <v>8</v>
      </c>
      <c r="B160" s="86"/>
      <c r="C160" s="54" t="s">
        <v>352</v>
      </c>
      <c r="D160" s="54" t="s">
        <v>359</v>
      </c>
      <c r="E160" s="76">
        <f>(99.709)*(10.764)</f>
        <v>1073.2676759999999</v>
      </c>
      <c r="F160" s="76">
        <f>(6.243)*(10.764)</f>
        <v>67.199652</v>
      </c>
      <c r="G160" s="76">
        <v>0</v>
      </c>
      <c r="H160" s="76">
        <f t="shared" si="3"/>
        <v>1140.467328</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87" t="s">
        <v>360</v>
      </c>
      <c r="B161" s="88"/>
      <c r="C161" s="88"/>
      <c r="D161" s="88"/>
      <c r="E161" s="88"/>
      <c r="F161" s="88"/>
      <c r="G161" s="88"/>
      <c r="H161" s="8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x14ac:dyDescent="0.25">
      <c r="A162" s="85">
        <v>1</v>
      </c>
      <c r="B162" s="86"/>
      <c r="C162" s="54" t="s">
        <v>88</v>
      </c>
      <c r="D162" s="54" t="s">
        <v>358</v>
      </c>
      <c r="E162" s="76">
        <f>(124.05)*(10.764)</f>
        <v>1335.2741999999998</v>
      </c>
      <c r="F162" s="76">
        <f>(6.243)*(10.764)</f>
        <v>67.199652</v>
      </c>
      <c r="G162" s="76">
        <v>0</v>
      </c>
      <c r="H162" s="76">
        <f>E162+F162+(IF(G162&lt;101,G162,IF(G162&lt;201,G162/2,IF(G162&lt;=301,G162/3,G162/4))))</f>
        <v>1402.4738519999999</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x14ac:dyDescent="0.25">
      <c r="A163" s="85">
        <f>A162+1</f>
        <v>2</v>
      </c>
      <c r="B163" s="86"/>
      <c r="C163" s="54" t="s">
        <v>88</v>
      </c>
      <c r="D163" s="54" t="s">
        <v>359</v>
      </c>
      <c r="E163" s="76">
        <f>(70.952)*(10.764)</f>
        <v>763.72732799999994</v>
      </c>
      <c r="F163" s="76">
        <f>(3.3*1.6+1.7*1.6)*(10.764)</f>
        <v>86.111999999999995</v>
      </c>
      <c r="G163" s="76">
        <v>0</v>
      </c>
      <c r="H163" s="76">
        <f t="shared" ref="H163:H169" si="5">E163+F163+(IF(G163&lt;101,G163,IF(G163&lt;201,G163/2,IF(G163&lt;=301,G163/3,G163/4))))</f>
        <v>849.83932799999991</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x14ac:dyDescent="0.25">
      <c r="A164" s="85">
        <f t="shared" ref="A164:A169" si="6">A163+1</f>
        <v>3</v>
      </c>
      <c r="B164" s="86"/>
      <c r="C164" s="54" t="s">
        <v>88</v>
      </c>
      <c r="D164" s="54" t="s">
        <v>359</v>
      </c>
      <c r="E164" s="76">
        <f>(70.952)*(10.764)</f>
        <v>763.72732799999994</v>
      </c>
      <c r="F164" s="76">
        <f>(3.3*1.6+1.7*1.6)*(10.764)</f>
        <v>86.111999999999995</v>
      </c>
      <c r="G164" s="76">
        <v>0</v>
      </c>
      <c r="H164" s="76">
        <f t="shared" si="5"/>
        <v>849.83932799999991</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85">
        <f t="shared" si="6"/>
        <v>4</v>
      </c>
      <c r="B165" s="86"/>
      <c r="C165" s="54" t="s">
        <v>88</v>
      </c>
      <c r="D165" s="54" t="s">
        <v>358</v>
      </c>
      <c r="E165" s="76">
        <f>(124.05)*(10.764)</f>
        <v>1335.2741999999998</v>
      </c>
      <c r="F165" s="76">
        <f>(6.243)*(10.764)</f>
        <v>67.199652</v>
      </c>
      <c r="G165" s="76">
        <v>0</v>
      </c>
      <c r="H165" s="76">
        <f t="shared" si="5"/>
        <v>1402.4738519999999</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85">
        <f t="shared" si="6"/>
        <v>5</v>
      </c>
      <c r="B166" s="86"/>
      <c r="C166" s="54" t="s">
        <v>88</v>
      </c>
      <c r="D166" s="54" t="s">
        <v>358</v>
      </c>
      <c r="E166" s="76">
        <f>(124.05)*(10.764)</f>
        <v>1335.2741999999998</v>
      </c>
      <c r="F166" s="76">
        <f>(6.243)*(10.764)</f>
        <v>67.199652</v>
      </c>
      <c r="G166" s="76">
        <v>0</v>
      </c>
      <c r="H166" s="76">
        <f t="shared" si="5"/>
        <v>1402.4738519999999</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85">
        <f t="shared" si="6"/>
        <v>6</v>
      </c>
      <c r="B167" s="86"/>
      <c r="C167" s="54" t="s">
        <v>88</v>
      </c>
      <c r="D167" s="54" t="s">
        <v>359</v>
      </c>
      <c r="E167" s="76">
        <f>(70.952)*(10.764)</f>
        <v>763.72732799999994</v>
      </c>
      <c r="F167" s="76">
        <f>(3.3*1.6+1.7*1.6)*(10.764)</f>
        <v>86.111999999999995</v>
      </c>
      <c r="G167" s="76">
        <v>0</v>
      </c>
      <c r="H167" s="76">
        <f t="shared" si="5"/>
        <v>849.83932799999991</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85">
        <f t="shared" si="6"/>
        <v>7</v>
      </c>
      <c r="B168" s="86"/>
      <c r="C168" s="54" t="s">
        <v>88</v>
      </c>
      <c r="D168" s="54" t="s">
        <v>359</v>
      </c>
      <c r="E168" s="76">
        <f>(70.952)*(10.764)</f>
        <v>763.72732799999994</v>
      </c>
      <c r="F168" s="76">
        <f>(3.3*1.6+1.7*1.6)*(10.764)</f>
        <v>86.111999999999995</v>
      </c>
      <c r="G168" s="76">
        <v>0</v>
      </c>
      <c r="H168" s="76">
        <f t="shared" si="5"/>
        <v>849.83932799999991</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85">
        <f t="shared" si="6"/>
        <v>8</v>
      </c>
      <c r="B169" s="86"/>
      <c r="C169" s="54" t="s">
        <v>88</v>
      </c>
      <c r="D169" s="54" t="s">
        <v>358</v>
      </c>
      <c r="E169" s="76">
        <f>(124.05)*(10.764)</f>
        <v>1335.2741999999998</v>
      </c>
      <c r="F169" s="76">
        <f>(6.243)*(10.764)</f>
        <v>67.199652</v>
      </c>
      <c r="G169" s="76">
        <v>0</v>
      </c>
      <c r="H169" s="76">
        <f t="shared" si="5"/>
        <v>1402.4738519999999</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87" t="s">
        <v>363</v>
      </c>
      <c r="B170" s="88"/>
      <c r="C170" s="88"/>
      <c r="D170" s="88"/>
      <c r="E170" s="88"/>
      <c r="F170" s="88"/>
      <c r="G170" s="88"/>
      <c r="H170" s="8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x14ac:dyDescent="0.25">
      <c r="A171" s="85">
        <v>1</v>
      </c>
      <c r="B171" s="86"/>
      <c r="C171" s="54" t="s">
        <v>88</v>
      </c>
      <c r="D171" s="54" t="s">
        <v>361</v>
      </c>
      <c r="E171" s="76">
        <f>(147.886)*(10.764)</f>
        <v>1591.8449039999998</v>
      </c>
      <c r="F171" s="76">
        <f>(6.243)*(10.764)</f>
        <v>67.199652</v>
      </c>
      <c r="G171" s="76">
        <v>0</v>
      </c>
      <c r="H171" s="76">
        <f>E171+F171+(IF(G171&lt;101,G171,IF(G171&lt;201,G171/2,IF(G171&lt;=301,G171/3,G171/4))))</f>
        <v>1659.0445559999998</v>
      </c>
      <c r="I171" s="1"/>
      <c r="J171" s="1">
        <f>55700000/H171</f>
        <v>33573.540745821905</v>
      </c>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85">
        <f>A171+1</f>
        <v>2</v>
      </c>
      <c r="B172" s="86"/>
      <c r="C172" s="54" t="s">
        <v>95</v>
      </c>
      <c r="D172" s="93" t="s">
        <v>366</v>
      </c>
      <c r="E172" s="94"/>
      <c r="F172" s="94"/>
      <c r="G172" s="94"/>
      <c r="H172" s="95"/>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x14ac:dyDescent="0.25">
      <c r="A173" s="85">
        <f t="shared" ref="A173:A178" si="7">A172+1</f>
        <v>3</v>
      </c>
      <c r="B173" s="86"/>
      <c r="C173" s="54" t="s">
        <v>95</v>
      </c>
      <c r="D173" s="96"/>
      <c r="E173" s="97"/>
      <c r="F173" s="97"/>
      <c r="G173" s="97"/>
      <c r="H173" s="98"/>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85">
        <f t="shared" si="7"/>
        <v>4</v>
      </c>
      <c r="B174" s="86"/>
      <c r="C174" s="54" t="s">
        <v>95</v>
      </c>
      <c r="D174" s="99"/>
      <c r="E174" s="100"/>
      <c r="F174" s="100"/>
      <c r="G174" s="100"/>
      <c r="H174" s="10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85">
        <f t="shared" si="7"/>
        <v>5</v>
      </c>
      <c r="B175" s="86"/>
      <c r="C175" s="54" t="s">
        <v>88</v>
      </c>
      <c r="D175" s="54" t="s">
        <v>358</v>
      </c>
      <c r="E175" s="76">
        <f>(124.05)*(10.764)</f>
        <v>1335.2741999999998</v>
      </c>
      <c r="F175" s="76">
        <f>(6.243)*(10.764)</f>
        <v>67.199652</v>
      </c>
      <c r="G175" s="76">
        <v>0</v>
      </c>
      <c r="H175" s="76">
        <f t="shared" ref="H175:H178" si="8">E175+F175+(IF(G175&lt;101,G175,IF(G175&lt;201,G175/2,IF(G175&lt;=301,G175/3,G175/4))))</f>
        <v>1402.4738519999999</v>
      </c>
      <c r="I175" s="1"/>
      <c r="J175" s="1">
        <f>47700000/H175</f>
        <v>34011.329289296445</v>
      </c>
      <c r="K175" s="1"/>
      <c r="L175" s="1">
        <f>40200000/H175</f>
        <v>28663.636004815871</v>
      </c>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85">
        <f t="shared" si="7"/>
        <v>6</v>
      </c>
      <c r="B176" s="86"/>
      <c r="C176" s="54" t="s">
        <v>88</v>
      </c>
      <c r="D176" s="54" t="s">
        <v>359</v>
      </c>
      <c r="E176" s="76">
        <f>(70.952)*(10.764)</f>
        <v>763.72732799999994</v>
      </c>
      <c r="F176" s="76">
        <f>(3.3*1.6+1.7*1.6)*(10.764)</f>
        <v>86.111999999999995</v>
      </c>
      <c r="G176" s="76">
        <v>0</v>
      </c>
      <c r="H176" s="76">
        <f t="shared" si="8"/>
        <v>849.83932799999991</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85">
        <f t="shared" si="7"/>
        <v>7</v>
      </c>
      <c r="B177" s="86"/>
      <c r="C177" s="54" t="s">
        <v>88</v>
      </c>
      <c r="D177" s="54" t="s">
        <v>359</v>
      </c>
      <c r="E177" s="76">
        <f>(70.952)*(10.764)</f>
        <v>763.72732799999994</v>
      </c>
      <c r="F177" s="76">
        <f>(3.3*1.6+1.7*1.6)*(10.764)</f>
        <v>86.111999999999995</v>
      </c>
      <c r="G177" s="76">
        <v>0</v>
      </c>
      <c r="H177" s="76">
        <f t="shared" si="8"/>
        <v>849.83932799999991</v>
      </c>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85">
        <f t="shared" si="7"/>
        <v>8</v>
      </c>
      <c r="B178" s="86"/>
      <c r="C178" s="54" t="s">
        <v>88</v>
      </c>
      <c r="D178" s="54" t="s">
        <v>358</v>
      </c>
      <c r="E178" s="76">
        <f>(124.05)*(10.764)</f>
        <v>1335.2741999999998</v>
      </c>
      <c r="F178" s="76">
        <f>(6.243)*(10.764)</f>
        <v>67.199652</v>
      </c>
      <c r="G178" s="76">
        <v>0</v>
      </c>
      <c r="H178" s="76">
        <f t="shared" si="8"/>
        <v>1402.4738519999999</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87" t="s">
        <v>362</v>
      </c>
      <c r="B179" s="88"/>
      <c r="C179" s="88"/>
      <c r="D179" s="88"/>
      <c r="E179" s="88"/>
      <c r="F179" s="88"/>
      <c r="G179" s="88"/>
      <c r="H179" s="8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85">
        <v>1</v>
      </c>
      <c r="B180" s="86"/>
      <c r="C180" s="54" t="s">
        <v>88</v>
      </c>
      <c r="D180" s="54" t="s">
        <v>358</v>
      </c>
      <c r="E180" s="76">
        <f>(124.05)*(10.764)</f>
        <v>1335.2741999999998</v>
      </c>
      <c r="F180" s="76">
        <f>(6.243)*(10.764)</f>
        <v>67.199652</v>
      </c>
      <c r="G180" s="76">
        <v>0</v>
      </c>
      <c r="H180" s="76">
        <f>E180+F180+(IF(G180&lt;101,G180,IF(G180&lt;201,G180/2,IF(G180&lt;=301,G180/3,G180/4))))</f>
        <v>1402.4738519999999</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85">
        <f>A180+1</f>
        <v>2</v>
      </c>
      <c r="B181" s="86"/>
      <c r="C181" s="54" t="s">
        <v>88</v>
      </c>
      <c r="D181" s="54" t="s">
        <v>359</v>
      </c>
      <c r="E181" s="76">
        <f>(70.952)*(10.764)</f>
        <v>763.72732799999994</v>
      </c>
      <c r="F181" s="76">
        <f>(3.3*1.6+1.7*1.6)*(10.764)</f>
        <v>86.111999999999995</v>
      </c>
      <c r="G181" s="76">
        <v>0</v>
      </c>
      <c r="H181" s="76">
        <f t="shared" ref="H181:H186" si="9">E181+F181+(IF(G181&lt;101,G181,IF(G181&lt;201,G181/2,IF(G181&lt;=301,G181/3,G181/4))))</f>
        <v>849.83932799999991</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85">
        <f t="shared" ref="A182:A186" si="10">A181+1</f>
        <v>3</v>
      </c>
      <c r="B182" s="86"/>
      <c r="C182" s="54" t="s">
        <v>88</v>
      </c>
      <c r="D182" s="54" t="s">
        <v>358</v>
      </c>
      <c r="E182" s="76">
        <f>(200.487)*(10.764)</f>
        <v>2158.0420679999997</v>
      </c>
      <c r="F182" s="76">
        <f>(3.3*1.6+1.7*1.6+4.225*1.6)*(10.764)</f>
        <v>158.87663999999998</v>
      </c>
      <c r="G182" s="76">
        <v>0</v>
      </c>
      <c r="H182" s="76">
        <f t="shared" si="9"/>
        <v>2316.9187079999997</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85">
        <v>5</v>
      </c>
      <c r="B183" s="86"/>
      <c r="C183" s="54" t="s">
        <v>88</v>
      </c>
      <c r="D183" s="54" t="s">
        <v>358</v>
      </c>
      <c r="E183" s="76">
        <f>(124.05)*(10.764)</f>
        <v>1335.2741999999998</v>
      </c>
      <c r="F183" s="76">
        <f>(6.243)*(10.764)</f>
        <v>67.199652</v>
      </c>
      <c r="G183" s="76">
        <v>0</v>
      </c>
      <c r="H183" s="76">
        <f t="shared" si="9"/>
        <v>1402.4738519999999</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85">
        <f t="shared" si="10"/>
        <v>6</v>
      </c>
      <c r="B184" s="86"/>
      <c r="C184" s="54" t="s">
        <v>88</v>
      </c>
      <c r="D184" s="54" t="s">
        <v>359</v>
      </c>
      <c r="E184" s="76">
        <f>(70.952)*(10.764)</f>
        <v>763.72732799999994</v>
      </c>
      <c r="F184" s="76">
        <f>(3.3*1.6+1.7*1.6)*(10.764)</f>
        <v>86.111999999999995</v>
      </c>
      <c r="G184" s="76">
        <v>0</v>
      </c>
      <c r="H184" s="76">
        <f t="shared" si="9"/>
        <v>849.83932799999991</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85">
        <f t="shared" si="10"/>
        <v>7</v>
      </c>
      <c r="B185" s="86"/>
      <c r="C185" s="54" t="s">
        <v>88</v>
      </c>
      <c r="D185" s="54" t="s">
        <v>359</v>
      </c>
      <c r="E185" s="76">
        <f>(70.952)*(10.764)</f>
        <v>763.72732799999994</v>
      </c>
      <c r="F185" s="76">
        <f>(3.3*1.6+1.7*1.6)*(10.764)</f>
        <v>86.111999999999995</v>
      </c>
      <c r="G185" s="76">
        <v>0</v>
      </c>
      <c r="H185" s="76">
        <f t="shared" si="9"/>
        <v>849.83932799999991</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85">
        <f t="shared" si="10"/>
        <v>8</v>
      </c>
      <c r="B186" s="86"/>
      <c r="C186" s="54" t="s">
        <v>88</v>
      </c>
      <c r="D186" s="54" t="s">
        <v>358</v>
      </c>
      <c r="E186" s="76">
        <f>(124.05)*(10.764)</f>
        <v>1335.2741999999998</v>
      </c>
      <c r="F186" s="76">
        <f>(6.243)*(10.764)</f>
        <v>67.199652</v>
      </c>
      <c r="G186" s="76">
        <v>0</v>
      </c>
      <c r="H186" s="76">
        <f t="shared" si="9"/>
        <v>1402.4738519999999</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87" t="s">
        <v>364</v>
      </c>
      <c r="B187" s="88"/>
      <c r="C187" s="88"/>
      <c r="D187" s="88"/>
      <c r="E187" s="88"/>
      <c r="F187" s="88"/>
      <c r="G187" s="88"/>
      <c r="H187" s="8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85">
        <v>1</v>
      </c>
      <c r="B188" s="86"/>
      <c r="C188" s="54" t="s">
        <v>88</v>
      </c>
      <c r="D188" s="54" t="s">
        <v>358</v>
      </c>
      <c r="E188" s="76">
        <f>(124.05)*(10.764)</f>
        <v>1335.2741999999998</v>
      </c>
      <c r="F188" s="76">
        <f>(6.243)*(10.764)</f>
        <v>67.199652</v>
      </c>
      <c r="G188" s="76">
        <v>0</v>
      </c>
      <c r="H188" s="76">
        <f>E188+F188+(IF(G188&lt;101,G188,IF(G188&lt;201,G188/2,IF(G188&lt;=301,G188/3,G188/4))))</f>
        <v>1402.4738519999999</v>
      </c>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85">
        <f>A188+1</f>
        <v>2</v>
      </c>
      <c r="B189" s="86"/>
      <c r="C189" s="54" t="s">
        <v>88</v>
      </c>
      <c r="D189" s="54" t="s">
        <v>359</v>
      </c>
      <c r="E189" s="76">
        <f>(70.952)*(10.764)</f>
        <v>763.72732799999994</v>
      </c>
      <c r="F189" s="76">
        <f>(3.3*1.6+1.7*1.6)*(10.764)</f>
        <v>86.111999999999995</v>
      </c>
      <c r="G189" s="76">
        <v>0</v>
      </c>
      <c r="H189" s="76">
        <f t="shared" ref="H189:H195" si="11">E189+F189+(IF(G189&lt;101,G189,IF(G189&lt;201,G189/2,IF(G189&lt;=301,G189/3,G189/4))))</f>
        <v>849.83932799999991</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85">
        <f t="shared" ref="A190:A195" si="12">A189+1</f>
        <v>3</v>
      </c>
      <c r="B190" s="86"/>
      <c r="C190" s="54" t="s">
        <v>88</v>
      </c>
      <c r="D190" s="54" t="s">
        <v>365</v>
      </c>
      <c r="E190" s="76">
        <f>(57.665)*(10.764)</f>
        <v>620.70605999999998</v>
      </c>
      <c r="F190" s="76">
        <f>(3.3*1.6+1.7*1.6)*(10.764)</f>
        <v>86.111999999999995</v>
      </c>
      <c r="G190" s="76">
        <v>0</v>
      </c>
      <c r="H190" s="76">
        <f t="shared" si="11"/>
        <v>706.81805999999995</v>
      </c>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85">
        <f t="shared" si="12"/>
        <v>4</v>
      </c>
      <c r="B191" s="86"/>
      <c r="C191" s="54" t="s">
        <v>95</v>
      </c>
      <c r="D191" s="90" t="s">
        <v>366</v>
      </c>
      <c r="E191" s="91"/>
      <c r="F191" s="91"/>
      <c r="G191" s="91"/>
      <c r="H191" s="92"/>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85">
        <f t="shared" si="12"/>
        <v>5</v>
      </c>
      <c r="B192" s="86"/>
      <c r="C192" s="54" t="s">
        <v>88</v>
      </c>
      <c r="D192" s="54" t="s">
        <v>358</v>
      </c>
      <c r="E192" s="76">
        <f>(124.05)*(10.764)</f>
        <v>1335.2741999999998</v>
      </c>
      <c r="F192" s="76">
        <f>(6.243)*(10.764)</f>
        <v>67.199652</v>
      </c>
      <c r="G192" s="76">
        <v>0</v>
      </c>
      <c r="H192" s="76">
        <f t="shared" si="11"/>
        <v>1402.4738519999999</v>
      </c>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85">
        <f t="shared" si="12"/>
        <v>6</v>
      </c>
      <c r="B193" s="86"/>
      <c r="C193" s="54" t="s">
        <v>88</v>
      </c>
      <c r="D193" s="54" t="s">
        <v>359</v>
      </c>
      <c r="E193" s="76">
        <f>(70.952)*(10.764)</f>
        <v>763.72732799999994</v>
      </c>
      <c r="F193" s="76">
        <f>(3.3*1.6+1.7*1.6)*(10.764)</f>
        <v>86.111999999999995</v>
      </c>
      <c r="G193" s="76">
        <v>0</v>
      </c>
      <c r="H193" s="76">
        <f t="shared" si="11"/>
        <v>849.83932799999991</v>
      </c>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85">
        <f t="shared" si="12"/>
        <v>7</v>
      </c>
      <c r="B194" s="86"/>
      <c r="C194" s="54" t="s">
        <v>88</v>
      </c>
      <c r="D194" s="54" t="s">
        <v>359</v>
      </c>
      <c r="E194" s="76">
        <f>(70.952)*(10.764)</f>
        <v>763.72732799999994</v>
      </c>
      <c r="F194" s="76">
        <f>(3.3*1.6+1.7*1.6)*(10.764)</f>
        <v>86.111999999999995</v>
      </c>
      <c r="G194" s="76">
        <v>0</v>
      </c>
      <c r="H194" s="76">
        <f t="shared" si="11"/>
        <v>849.83932799999991</v>
      </c>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85">
        <f t="shared" si="12"/>
        <v>8</v>
      </c>
      <c r="B195" s="86"/>
      <c r="C195" s="54" t="s">
        <v>88</v>
      </c>
      <c r="D195" s="54" t="s">
        <v>358</v>
      </c>
      <c r="E195" s="76">
        <f>(124.05)*(10.764)</f>
        <v>1335.2741999999998</v>
      </c>
      <c r="F195" s="76">
        <f>(6.243)*(10.764)</f>
        <v>67.199652</v>
      </c>
      <c r="G195" s="76">
        <v>0</v>
      </c>
      <c r="H195" s="76">
        <f t="shared" si="11"/>
        <v>1402.4738519999999</v>
      </c>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x14ac:dyDescent="0.25">
      <c r="A196" s="102" t="s">
        <v>129</v>
      </c>
      <c r="B196" s="103"/>
      <c r="C196" s="103"/>
      <c r="D196" s="103"/>
      <c r="E196" s="103"/>
      <c r="F196" s="103"/>
      <c r="G196" s="103"/>
      <c r="H196" s="10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x14ac:dyDescent="0.25">
      <c r="A197" s="105">
        <f>LEFT(A196,SUM(LEN(A196)-LEN(SUBSTITUTE(A196,{"0","1","2","3","4","5","6","7","8","9"},""))))*100+1</f>
        <v>101</v>
      </c>
      <c r="B197" s="105"/>
      <c r="C197" s="54"/>
      <c r="D197" s="54"/>
      <c r="E197" s="33"/>
      <c r="F197" s="6"/>
      <c r="G197" s="6"/>
      <c r="H197" s="6">
        <f>E197+F197+(IF(G197&lt;101,G197,IF(G197&lt;201,G197/2,IF(G197&lt;=301,G197/3,G197/4))))</f>
        <v>0</v>
      </c>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hidden="1" x14ac:dyDescent="0.25">
      <c r="A198" s="85">
        <f>A197+1</f>
        <v>102</v>
      </c>
      <c r="B198" s="86"/>
      <c r="C198" s="54"/>
      <c r="D198" s="54"/>
      <c r="E198" s="33"/>
      <c r="F198" s="6"/>
      <c r="G198" s="6"/>
      <c r="H198" s="6">
        <f t="shared" ref="H198:H204" si="13">E198+F198+(IF(G198&lt;101,G198,IF(G198&lt;201,G198/2,IF(G198&lt;=301,G198/3,G198/4))))</f>
        <v>0</v>
      </c>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x14ac:dyDescent="0.25">
      <c r="A199" s="85">
        <f t="shared" ref="A199:A204" si="14">A198+1</f>
        <v>103</v>
      </c>
      <c r="B199" s="86"/>
      <c r="C199" s="54"/>
      <c r="D199" s="54"/>
      <c r="E199" s="33"/>
      <c r="F199" s="6"/>
      <c r="G199" s="6"/>
      <c r="H199" s="6">
        <f t="shared" si="13"/>
        <v>0</v>
      </c>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customHeight="1" x14ac:dyDescent="0.25">
      <c r="A200" s="85">
        <f t="shared" si="14"/>
        <v>104</v>
      </c>
      <c r="B200" s="86"/>
      <c r="C200" s="54"/>
      <c r="D200" s="54"/>
      <c r="E200" s="33"/>
      <c r="F200" s="6"/>
      <c r="G200" s="6"/>
      <c r="H200" s="6">
        <f t="shared" si="13"/>
        <v>0</v>
      </c>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customHeight="1" x14ac:dyDescent="0.25">
      <c r="A201" s="85">
        <f t="shared" si="14"/>
        <v>105</v>
      </c>
      <c r="B201" s="86"/>
      <c r="C201" s="54"/>
      <c r="D201" s="54"/>
      <c r="E201" s="33"/>
      <c r="F201" s="6"/>
      <c r="G201" s="6"/>
      <c r="H201" s="6">
        <f t="shared" si="13"/>
        <v>0</v>
      </c>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customHeight="1" x14ac:dyDescent="0.25">
      <c r="A202" s="85">
        <f t="shared" si="14"/>
        <v>106</v>
      </c>
      <c r="B202" s="86"/>
      <c r="C202" s="54"/>
      <c r="D202" s="54"/>
      <c r="E202" s="33"/>
      <c r="F202" s="6"/>
      <c r="G202" s="6"/>
      <c r="H202" s="6">
        <f t="shared" si="13"/>
        <v>0</v>
      </c>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customHeight="1" x14ac:dyDescent="0.25">
      <c r="A203" s="85">
        <f t="shared" si="14"/>
        <v>107</v>
      </c>
      <c r="B203" s="86"/>
      <c r="C203" s="54"/>
      <c r="D203" s="54"/>
      <c r="E203" s="33"/>
      <c r="F203" s="6"/>
      <c r="G203" s="6"/>
      <c r="H203" s="6">
        <f t="shared" si="13"/>
        <v>0</v>
      </c>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hidden="1" customHeight="1" x14ac:dyDescent="0.25">
      <c r="A204" s="85">
        <f t="shared" si="14"/>
        <v>108</v>
      </c>
      <c r="B204" s="86"/>
      <c r="C204" s="54"/>
      <c r="D204" s="54"/>
      <c r="E204" s="33"/>
      <c r="F204" s="6"/>
      <c r="G204" s="6"/>
      <c r="H204" s="6">
        <f t="shared" si="13"/>
        <v>0</v>
      </c>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hidden="1" x14ac:dyDescent="0.25">
      <c r="A205" s="87" t="s">
        <v>130</v>
      </c>
      <c r="B205" s="88"/>
      <c r="C205" s="88"/>
      <c r="D205" s="88"/>
      <c r="E205" s="88"/>
      <c r="F205" s="88"/>
      <c r="G205" s="88"/>
      <c r="H205" s="8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hidden="1" customHeight="1" x14ac:dyDescent="0.25">
      <c r="A206" s="105" t="str">
        <f ca="1">T206</f>
        <v>201,..,901</v>
      </c>
      <c r="B206" s="105"/>
      <c r="C206" s="54"/>
      <c r="D206" s="54"/>
      <c r="E206" s="33">
        <v>0</v>
      </c>
      <c r="F206" s="6">
        <v>0</v>
      </c>
      <c r="G206" s="6">
        <v>0</v>
      </c>
      <c r="H206" s="6">
        <f>E206+F206+(IF(G206&lt;101,G206,IF(G206&lt;201,G206/2,IF(G206&lt;=301,G206/3,G206/4))))</f>
        <v>0</v>
      </c>
      <c r="I206" s="1"/>
      <c r="J206" s="1"/>
      <c r="K206" s="1"/>
      <c r="L206" s="1"/>
      <c r="M206" s="1"/>
      <c r="N206" s="1"/>
      <c r="O206" s="1"/>
      <c r="P206" s="1"/>
      <c r="Q206" s="1"/>
      <c r="R206" s="1"/>
      <c r="S206" s="1"/>
      <c r="T206" s="23" t="str">
        <f t="shared" ref="T206:T213" ca="1" si="15">U206&amp;""&amp;",..,"&amp;""&amp;V206</f>
        <v>201,..,901</v>
      </c>
      <c r="U206" s="23">
        <f ca="1">(SUMPRODUCT(MID(0&amp;(LEFT(A205,SUM(LEN(A205)-LEN(SUBSTITUTE(A205,{"0","1","2","3"},""))))), LARGE(INDEX(ISNUMBER(--MID((LEFT(A205,SUM(LEN(A205)-LEN(SUBSTITUTE(A205,{"0","1","2","3"},""))))), ROW(INDIRECT("1:"&amp;LEN((LEFT(A205,SUM(LEN(A205)-LEN(SUBSTITUTE(A205,{"0","1","2","3"},"")))))))), 1)) * ROW(INDIRECT("1:"&amp;LEN((LEFT(A205,SUM(LEN(A205)-LEN(SUBSTITUTE(A205,{"0","1","2","3"},"")))))))), 0), ROW(INDIRECT("1:"&amp;LEN((LEFT(A205,SUM(LEN(A205)-LEN(SUBSTITUTE(A205,{"0","1","2","3"},"")))))))))+1, 1) * 10^ROW(INDIRECT("1:"&amp;LEN((LEFT(A205,SUM(LEN(A205)-LEN(SUBSTITUTE(A205,{"0","1","2","3"},""))))))))/10))*100+1</f>
        <v>201</v>
      </c>
      <c r="V206" s="23">
        <f ca="1">(SUMPRODUCT(MID(0&amp;(--TRIM(RIGHT(SUBSTITUTE(LEFT(A205,_xlfn.AGGREGATE(16,6,FIND({0,1,2,3,4,5,6,7,8,9},A205,ROW(INDIRECT("1:"&amp;LEN(A205)))),1)),"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",LEN(A205))),LEN(A205)))))))/10))*100+1</f>
        <v>901</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hidden="1" customHeight="1" x14ac:dyDescent="0.25">
      <c r="A207" s="105" t="str">
        <f t="shared" ref="A207:A213" ca="1" si="16">T207</f>
        <v>202,..,902</v>
      </c>
      <c r="B207" s="105"/>
      <c r="C207" s="54"/>
      <c r="D207" s="54"/>
      <c r="E207" s="33"/>
      <c r="F207" s="6"/>
      <c r="G207" s="6"/>
      <c r="H207" s="6">
        <f t="shared" ref="H207:H213" si="17">E207+F207+(IF(G207&lt;101,G207,IF(G207&lt;201,G207/2,IF(G207&lt;=301,G207/3,G207/4))))</f>
        <v>0</v>
      </c>
      <c r="I207" s="1"/>
      <c r="J207" s="1"/>
      <c r="K207" s="1"/>
      <c r="L207" s="1"/>
      <c r="M207" s="1"/>
      <c r="N207" s="1"/>
      <c r="O207" s="1"/>
      <c r="P207" s="1"/>
      <c r="Q207" s="1"/>
      <c r="R207" s="1"/>
      <c r="S207" s="1"/>
      <c r="T207" s="23" t="str">
        <f t="shared" ca="1" si="15"/>
        <v>202,..,902</v>
      </c>
      <c r="U207" s="23">
        <f ca="1">U206+1</f>
        <v>202</v>
      </c>
      <c r="V207" s="23">
        <f ca="1">V206+1</f>
        <v>902</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hidden="1" customHeight="1" x14ac:dyDescent="0.25">
      <c r="A208" s="105" t="str">
        <f t="shared" ca="1" si="16"/>
        <v>203,..,903</v>
      </c>
      <c r="B208" s="105"/>
      <c r="C208" s="54"/>
      <c r="D208" s="54"/>
      <c r="E208" s="33"/>
      <c r="F208" s="6"/>
      <c r="G208" s="6"/>
      <c r="H208" s="6">
        <f t="shared" si="17"/>
        <v>0</v>
      </c>
      <c r="I208" s="1"/>
      <c r="J208" s="1"/>
      <c r="K208" s="1"/>
      <c r="L208" s="1"/>
      <c r="M208" s="1"/>
      <c r="N208" s="1"/>
      <c r="O208" s="1"/>
      <c r="P208" s="1"/>
      <c r="Q208" s="1"/>
      <c r="R208" s="1"/>
      <c r="S208" s="1"/>
      <c r="T208" s="23" t="str">
        <f t="shared" ca="1" si="15"/>
        <v>203,..,903</v>
      </c>
      <c r="U208" s="23">
        <f t="shared" ref="U208:U213" ca="1" si="18">U207+1</f>
        <v>203</v>
      </c>
      <c r="V208" s="23">
        <f t="shared" ref="V208:V213" ca="1" si="19">V207+1</f>
        <v>903</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hidden="1" customHeight="1" x14ac:dyDescent="0.25">
      <c r="A209" s="105" t="str">
        <f t="shared" ca="1" si="16"/>
        <v>204,..,904</v>
      </c>
      <c r="B209" s="105"/>
      <c r="C209" s="54"/>
      <c r="D209" s="54"/>
      <c r="E209" s="33"/>
      <c r="F209" s="6"/>
      <c r="G209" s="6"/>
      <c r="H209" s="6">
        <f t="shared" si="17"/>
        <v>0</v>
      </c>
      <c r="I209" s="1"/>
      <c r="J209" s="1"/>
      <c r="K209" s="1"/>
      <c r="L209" s="1"/>
      <c r="M209" s="1"/>
      <c r="N209" s="1"/>
      <c r="O209" s="1"/>
      <c r="P209" s="1"/>
      <c r="Q209" s="1"/>
      <c r="R209" s="1"/>
      <c r="S209" s="1"/>
      <c r="T209" s="23" t="str">
        <f t="shared" ca="1" si="15"/>
        <v>204,..,904</v>
      </c>
      <c r="U209" s="23">
        <f t="shared" ca="1" si="18"/>
        <v>204</v>
      </c>
      <c r="V209" s="23">
        <f t="shared" ca="1" si="19"/>
        <v>904</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hidden="1" customHeight="1" x14ac:dyDescent="0.25">
      <c r="A210" s="105" t="str">
        <f t="shared" ca="1" si="16"/>
        <v>205,..,905</v>
      </c>
      <c r="B210" s="105"/>
      <c r="C210" s="54"/>
      <c r="D210" s="54"/>
      <c r="E210" s="33"/>
      <c r="F210" s="6"/>
      <c r="G210" s="6"/>
      <c r="H210" s="6">
        <f t="shared" si="17"/>
        <v>0</v>
      </c>
      <c r="I210" s="1"/>
      <c r="J210" s="1"/>
      <c r="K210" s="1"/>
      <c r="L210" s="1"/>
      <c r="M210" s="1"/>
      <c r="N210" s="1"/>
      <c r="O210" s="1"/>
      <c r="P210" s="1"/>
      <c r="Q210" s="1"/>
      <c r="R210" s="1"/>
      <c r="S210" s="1"/>
      <c r="T210" s="23" t="str">
        <f t="shared" ca="1" si="15"/>
        <v>205,..,905</v>
      </c>
      <c r="U210" s="23">
        <f t="shared" ca="1" si="18"/>
        <v>205</v>
      </c>
      <c r="V210" s="23">
        <f t="shared" ca="1" si="19"/>
        <v>905</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hidden="1" customHeight="1" x14ac:dyDescent="0.25">
      <c r="A211" s="105" t="str">
        <f t="shared" ca="1" si="16"/>
        <v>206,..,906</v>
      </c>
      <c r="B211" s="105"/>
      <c r="C211" s="54"/>
      <c r="D211" s="54"/>
      <c r="E211" s="33"/>
      <c r="F211" s="6"/>
      <c r="G211" s="6"/>
      <c r="H211" s="6">
        <f t="shared" si="17"/>
        <v>0</v>
      </c>
      <c r="I211" s="1"/>
      <c r="J211" s="1"/>
      <c r="K211" s="1"/>
      <c r="L211" s="1"/>
      <c r="M211" s="1"/>
      <c r="N211" s="1"/>
      <c r="O211" s="1"/>
      <c r="P211" s="1"/>
      <c r="Q211" s="1"/>
      <c r="R211" s="1"/>
      <c r="S211" s="1"/>
      <c r="T211" s="23" t="str">
        <f t="shared" ca="1" si="15"/>
        <v>206,..,906</v>
      </c>
      <c r="U211" s="23">
        <f t="shared" ca="1" si="18"/>
        <v>206</v>
      </c>
      <c r="V211" s="23">
        <f t="shared" ca="1" si="19"/>
        <v>906</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hidden="1" customHeight="1" x14ac:dyDescent="0.25">
      <c r="A212" s="105" t="str">
        <f t="shared" ca="1" si="16"/>
        <v>207,..,907</v>
      </c>
      <c r="B212" s="105"/>
      <c r="C212" s="54"/>
      <c r="D212" s="54"/>
      <c r="E212" s="33"/>
      <c r="F212" s="6"/>
      <c r="G212" s="6"/>
      <c r="H212" s="6">
        <f t="shared" si="17"/>
        <v>0</v>
      </c>
      <c r="I212" s="1"/>
      <c r="J212" s="1"/>
      <c r="K212" s="1"/>
      <c r="L212" s="1"/>
      <c r="M212" s="1"/>
      <c r="N212" s="1"/>
      <c r="O212" s="1"/>
      <c r="P212" s="1"/>
      <c r="Q212" s="1"/>
      <c r="R212" s="1"/>
      <c r="S212" s="1"/>
      <c r="T212" s="23" t="str">
        <f t="shared" ca="1" si="15"/>
        <v>207,..,907</v>
      </c>
      <c r="U212" s="23">
        <f t="shared" ca="1" si="18"/>
        <v>207</v>
      </c>
      <c r="V212" s="23">
        <f t="shared" ca="1" si="19"/>
        <v>907</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hidden="1" customHeight="1" x14ac:dyDescent="0.25">
      <c r="A213" s="105" t="str">
        <f t="shared" ca="1" si="16"/>
        <v>208,..,908</v>
      </c>
      <c r="B213" s="105"/>
      <c r="C213" s="54"/>
      <c r="D213" s="54"/>
      <c r="E213" s="33"/>
      <c r="F213" s="6"/>
      <c r="G213" s="6"/>
      <c r="H213" s="6">
        <f t="shared" si="17"/>
        <v>0</v>
      </c>
      <c r="I213" s="1"/>
      <c r="J213" s="1"/>
      <c r="K213" s="1"/>
      <c r="L213" s="1"/>
      <c r="M213" s="1"/>
      <c r="N213" s="1"/>
      <c r="O213" s="1"/>
      <c r="P213" s="1"/>
      <c r="Q213" s="1"/>
      <c r="R213" s="1"/>
      <c r="S213" s="1"/>
      <c r="T213" s="23" t="str">
        <f t="shared" ca="1" si="15"/>
        <v>208,..,908</v>
      </c>
      <c r="U213" s="23">
        <f t="shared" ca="1" si="18"/>
        <v>208</v>
      </c>
      <c r="V213" s="23">
        <f t="shared" ca="1" si="19"/>
        <v>908</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hidden="1" x14ac:dyDescent="0.25">
      <c r="A214" s="87" t="s">
        <v>131</v>
      </c>
      <c r="B214" s="88"/>
      <c r="C214" s="88"/>
      <c r="D214" s="88"/>
      <c r="E214" s="88"/>
      <c r="F214" s="88"/>
      <c r="G214" s="88"/>
      <c r="H214" s="8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hidden="1" customHeight="1" x14ac:dyDescent="0.25">
      <c r="A215" s="105" t="str">
        <f ca="1">T215</f>
        <v>201 to 501</v>
      </c>
      <c r="B215" s="105"/>
      <c r="C215" s="54"/>
      <c r="D215" s="54"/>
      <c r="E215" s="33">
        <v>0</v>
      </c>
      <c r="F215" s="6">
        <v>0</v>
      </c>
      <c r="G215" s="6">
        <v>0</v>
      </c>
      <c r="H215" s="6">
        <f>E215+F215+(IF(G215&lt;101,G215,IF(G215&lt;201,G215/2,IF(G215&lt;=301,G215/3,G215/4))))</f>
        <v>0</v>
      </c>
      <c r="I215" s="1"/>
      <c r="J215" s="1"/>
      <c r="K215" s="1"/>
      <c r="L215" s="1"/>
      <c r="M215" s="1"/>
      <c r="N215" s="1"/>
      <c r="O215" s="1"/>
      <c r="P215" s="1"/>
      <c r="Q215" s="1"/>
      <c r="R215" s="1"/>
      <c r="S215" s="1"/>
      <c r="T215" s="23" t="str">
        <f ca="1">U215&amp;""&amp;" to "&amp;""&amp;V215</f>
        <v>201 to 501</v>
      </c>
      <c r="U215" s="23">
        <f ca="1">(SUMPRODUCT(MID(0&amp;(LEFT(A214,SUM(LEN(A214)-LEN(SUBSTITUTE(A214,{"0","1","2","3"},""))))), LARGE(INDEX(ISNUMBER(--MID((LEFT(A214,SUM(LEN(A214)-LEN(SUBSTITUTE(A214,{"0","1","2","3"},""))))), ROW(INDIRECT("1:"&amp;LEN((LEFT(A214,SUM(LEN(A214)-LEN(SUBSTITUTE(A214,{"0","1","2","3"},"")))))))), 1)) * ROW(INDIRECT("1:"&amp;LEN((LEFT(A214,SUM(LEN(A214)-LEN(SUBSTITUTE(A214,{"0","1","2","3"},"")))))))), 0), ROW(INDIRECT("1:"&amp;LEN((LEFT(A214,SUM(LEN(A214)-LEN(SUBSTITUTE(A214,{"0","1","2","3"},"")))))))))+1, 1) * 10^ROW(INDIRECT("1:"&amp;LEN((LEFT(A214,SUM(LEN(A214)-LEN(SUBSTITUTE(A214,{"0","1","2","3"},""))))))))/10))*100+1</f>
        <v>201</v>
      </c>
      <c r="V215" s="23">
        <f ca="1">(SUMPRODUCT(MID(0&amp;(--TRIM(RIGHT(SUBSTITUTE(LEFT(A214,_xlfn.AGGREGATE(16,6,FIND({0,1,2,3,4,5,6,7,8,9},A214,ROW(INDIRECT("1:"&amp;LEN(A214)))),1)),"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",LEN(A214))),LEN(A214)))))))/10))*100+1</f>
        <v>501</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hidden="1" customHeight="1" x14ac:dyDescent="0.25">
      <c r="A216" s="105" t="str">
        <f t="shared" ref="A216:A222" ca="1" si="20">T216</f>
        <v>202 to 502</v>
      </c>
      <c r="B216" s="105"/>
      <c r="C216" s="54"/>
      <c r="D216" s="54"/>
      <c r="E216" s="33"/>
      <c r="F216" s="6"/>
      <c r="G216" s="6"/>
      <c r="H216" s="6">
        <f t="shared" ref="H216:H222" si="21">E216+F216+(IF(G216&lt;101,G216,IF(G216&lt;201,G216/2,IF(G216&lt;=301,G216/3,G216/4))))</f>
        <v>0</v>
      </c>
      <c r="I216" s="1"/>
      <c r="J216" s="1"/>
      <c r="K216" s="1"/>
      <c r="L216" s="1"/>
      <c r="M216" s="1"/>
      <c r="N216" s="1"/>
      <c r="O216" s="1"/>
      <c r="P216" s="1"/>
      <c r="Q216" s="1"/>
      <c r="R216" s="1"/>
      <c r="S216" s="1"/>
      <c r="T216" s="23" t="str">
        <f t="shared" ref="T216:T222" ca="1" si="22">U216&amp;""&amp;" to "&amp;""&amp;V216</f>
        <v>202 to 502</v>
      </c>
      <c r="U216" s="23">
        <f ca="1">U215+1</f>
        <v>202</v>
      </c>
      <c r="V216" s="23">
        <f ca="1">V215+1</f>
        <v>502</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hidden="1" customHeight="1" x14ac:dyDescent="0.25">
      <c r="A217" s="105" t="str">
        <f t="shared" ca="1" si="20"/>
        <v>203 to 503</v>
      </c>
      <c r="B217" s="105"/>
      <c r="C217" s="54"/>
      <c r="D217" s="54"/>
      <c r="E217" s="33"/>
      <c r="F217" s="6"/>
      <c r="G217" s="6"/>
      <c r="H217" s="6">
        <f t="shared" si="21"/>
        <v>0</v>
      </c>
      <c r="I217" s="1"/>
      <c r="J217" s="1"/>
      <c r="K217" s="1"/>
      <c r="L217" s="1"/>
      <c r="M217" s="1"/>
      <c r="N217" s="1"/>
      <c r="O217" s="1"/>
      <c r="P217" s="1"/>
      <c r="Q217" s="1"/>
      <c r="R217" s="1"/>
      <c r="S217" s="1"/>
      <c r="T217" s="23" t="str">
        <f t="shared" ca="1" si="22"/>
        <v>203 to 503</v>
      </c>
      <c r="U217" s="23">
        <f t="shared" ref="U217:U222" ca="1" si="23">U216+1</f>
        <v>203</v>
      </c>
      <c r="V217" s="23">
        <f t="shared" ref="V217:V222" ca="1" si="24">V216+1</f>
        <v>503</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hidden="1" customHeight="1" x14ac:dyDescent="0.25">
      <c r="A218" s="105" t="str">
        <f t="shared" ca="1" si="20"/>
        <v>204 to 504</v>
      </c>
      <c r="B218" s="105"/>
      <c r="C218" s="54"/>
      <c r="D218" s="54"/>
      <c r="E218" s="33"/>
      <c r="F218" s="6"/>
      <c r="G218" s="6"/>
      <c r="H218" s="6">
        <f t="shared" si="21"/>
        <v>0</v>
      </c>
      <c r="I218" s="1"/>
      <c r="J218" s="1"/>
      <c r="K218" s="1"/>
      <c r="L218" s="1"/>
      <c r="M218" s="1"/>
      <c r="N218" s="1"/>
      <c r="O218" s="1"/>
      <c r="P218" s="1"/>
      <c r="Q218" s="1"/>
      <c r="R218" s="1"/>
      <c r="S218" s="1"/>
      <c r="T218" s="23" t="str">
        <f t="shared" ca="1" si="22"/>
        <v>204 to 504</v>
      </c>
      <c r="U218" s="23">
        <f t="shared" ca="1" si="23"/>
        <v>204</v>
      </c>
      <c r="V218" s="23">
        <f t="shared" ca="1" si="24"/>
        <v>504</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hidden="1" customHeight="1" x14ac:dyDescent="0.25">
      <c r="A219" s="105" t="str">
        <f t="shared" ca="1" si="20"/>
        <v>205 to 505</v>
      </c>
      <c r="B219" s="105"/>
      <c r="C219" s="54"/>
      <c r="D219" s="54"/>
      <c r="E219" s="33"/>
      <c r="F219" s="6"/>
      <c r="G219" s="6"/>
      <c r="H219" s="6">
        <f t="shared" si="21"/>
        <v>0</v>
      </c>
      <c r="I219" s="1"/>
      <c r="J219" s="1"/>
      <c r="K219" s="1"/>
      <c r="L219" s="1"/>
      <c r="M219" s="1"/>
      <c r="N219" s="1"/>
      <c r="O219" s="1"/>
      <c r="P219" s="1"/>
      <c r="Q219" s="1"/>
      <c r="R219" s="1"/>
      <c r="S219" s="1"/>
      <c r="T219" s="23" t="str">
        <f t="shared" ca="1" si="22"/>
        <v>205 to 505</v>
      </c>
      <c r="U219" s="23">
        <f t="shared" ca="1" si="23"/>
        <v>205</v>
      </c>
      <c r="V219" s="23">
        <f t="shared" ca="1" si="24"/>
        <v>505</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hidden="1" customHeight="1" x14ac:dyDescent="0.25">
      <c r="A220" s="105" t="str">
        <f t="shared" ca="1" si="20"/>
        <v>206 to 506</v>
      </c>
      <c r="B220" s="105"/>
      <c r="C220" s="54"/>
      <c r="D220" s="54"/>
      <c r="E220" s="33"/>
      <c r="F220" s="6"/>
      <c r="G220" s="6"/>
      <c r="H220" s="6">
        <f t="shared" si="21"/>
        <v>0</v>
      </c>
      <c r="I220" s="1"/>
      <c r="J220" s="1"/>
      <c r="K220" s="1"/>
      <c r="L220" s="1"/>
      <c r="M220" s="1"/>
      <c r="N220" s="1"/>
      <c r="O220" s="1"/>
      <c r="P220" s="1"/>
      <c r="Q220" s="1"/>
      <c r="R220" s="1"/>
      <c r="S220" s="1"/>
      <c r="T220" s="23" t="str">
        <f t="shared" ca="1" si="22"/>
        <v>206 to 506</v>
      </c>
      <c r="U220" s="23">
        <f t="shared" ca="1" si="23"/>
        <v>206</v>
      </c>
      <c r="V220" s="23">
        <f t="shared" ca="1" si="24"/>
        <v>506</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hidden="1" customHeight="1" x14ac:dyDescent="0.25">
      <c r="A221" s="105" t="str">
        <f t="shared" ca="1" si="20"/>
        <v>207 to 507</v>
      </c>
      <c r="B221" s="105"/>
      <c r="C221" s="54"/>
      <c r="D221" s="54"/>
      <c r="E221" s="33"/>
      <c r="F221" s="6"/>
      <c r="G221" s="6"/>
      <c r="H221" s="6">
        <f t="shared" si="21"/>
        <v>0</v>
      </c>
      <c r="I221" s="1"/>
      <c r="J221" s="1"/>
      <c r="K221" s="1"/>
      <c r="L221" s="1"/>
      <c r="M221" s="1"/>
      <c r="N221" s="1"/>
      <c r="O221" s="1"/>
      <c r="P221" s="1"/>
      <c r="Q221" s="1"/>
      <c r="R221" s="1"/>
      <c r="S221" s="1"/>
      <c r="T221" s="23" t="str">
        <f t="shared" ca="1" si="22"/>
        <v>207 to 507</v>
      </c>
      <c r="U221" s="23">
        <f t="shared" ca="1" si="23"/>
        <v>207</v>
      </c>
      <c r="V221" s="23">
        <f t="shared" ca="1" si="24"/>
        <v>507</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hidden="1" customHeight="1" x14ac:dyDescent="0.25">
      <c r="A222" s="105" t="str">
        <f t="shared" ca="1" si="20"/>
        <v>208 to 508</v>
      </c>
      <c r="B222" s="105"/>
      <c r="C222" s="54"/>
      <c r="D222" s="54"/>
      <c r="E222" s="33"/>
      <c r="F222" s="6"/>
      <c r="G222" s="6"/>
      <c r="H222" s="6">
        <f t="shared" si="21"/>
        <v>0</v>
      </c>
      <c r="I222" s="1"/>
      <c r="J222" s="1"/>
      <c r="K222" s="1"/>
      <c r="L222" s="1"/>
      <c r="M222" s="1"/>
      <c r="N222" s="1"/>
      <c r="O222" s="1"/>
      <c r="P222" s="1"/>
      <c r="Q222" s="1"/>
      <c r="R222" s="1"/>
      <c r="S222" s="1"/>
      <c r="T222" s="23" t="str">
        <f t="shared" ca="1" si="22"/>
        <v>208 to 508</v>
      </c>
      <c r="U222" s="23">
        <f t="shared" ca="1" si="23"/>
        <v>208</v>
      </c>
      <c r="V222" s="23">
        <f t="shared" ca="1" si="24"/>
        <v>508</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hidden="1" x14ac:dyDescent="0.25">
      <c r="A223" s="87" t="s">
        <v>132</v>
      </c>
      <c r="B223" s="88"/>
      <c r="C223" s="88"/>
      <c r="D223" s="88"/>
      <c r="E223" s="88"/>
      <c r="F223" s="88"/>
      <c r="G223" s="88"/>
      <c r="H223" s="8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hidden="1" customHeight="1" x14ac:dyDescent="0.25">
      <c r="A224" s="105" t="str">
        <f ca="1">T224</f>
        <v>201 &amp; 501</v>
      </c>
      <c r="B224" s="105"/>
      <c r="C224" s="54"/>
      <c r="D224" s="54"/>
      <c r="E224" s="33">
        <v>0</v>
      </c>
      <c r="F224" s="6">
        <v>0</v>
      </c>
      <c r="G224" s="6">
        <v>0</v>
      </c>
      <c r="H224" s="6">
        <f>E224+F224+(IF(G224&lt;101,G224,IF(G224&lt;201,G224/2,IF(G224&lt;=301,G224/3,G224/4))))</f>
        <v>0</v>
      </c>
      <c r="I224" s="1"/>
      <c r="J224" s="1"/>
      <c r="K224" s="1"/>
      <c r="L224" s="1"/>
      <c r="M224" s="1"/>
      <c r="N224" s="1"/>
      <c r="O224" s="1"/>
      <c r="P224" s="1"/>
      <c r="Q224" s="1"/>
      <c r="R224" s="1"/>
      <c r="S224" s="1"/>
      <c r="T224" s="23" t="str">
        <f ca="1">U224&amp;""&amp;" &amp; "&amp;""&amp;V224</f>
        <v>201 &amp; 501</v>
      </c>
      <c r="U224" s="23">
        <f ca="1">(SUMPRODUCT(MID(0&amp;(LEFT(A223,SUM(LEN(A223)-LEN(SUBSTITUTE(A223,{"0","1","2","3"},""))))), LARGE(INDEX(ISNUMBER(--MID((LEFT(A223,SUM(LEN(A223)-LEN(SUBSTITUTE(A223,{"0","1","2","3"},""))))), ROW(INDIRECT("1:"&amp;LEN((LEFT(A223,SUM(LEN(A223)-LEN(SUBSTITUTE(A223,{"0","1","2","3"},"")))))))), 1)) * ROW(INDIRECT("1:"&amp;LEN((LEFT(A223,SUM(LEN(A223)-LEN(SUBSTITUTE(A223,{"0","1","2","3"},"")))))))), 0), ROW(INDIRECT("1:"&amp;LEN((LEFT(A223,SUM(LEN(A223)-LEN(SUBSTITUTE(A223,{"0","1","2","3"},"")))))))))+1, 1) * 10^ROW(INDIRECT("1:"&amp;LEN((LEFT(A223,SUM(LEN(A223)-LEN(SUBSTITUTE(A223,{"0","1","2","3"},""))))))))/10))*100+1</f>
        <v>201</v>
      </c>
      <c r="V224" s="23">
        <f ca="1">(SUMPRODUCT(MID(0&amp;(--TRIM(RIGHT(SUBSTITUTE(LEFT(A223,_xlfn.AGGREGATE(16,6,FIND({0,1,2,3,4,5,6,7,8,9},A223,ROW(INDIRECT("1:"&amp;LEN(A223)))),1)),"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",LEN(A223))),LEN(A223)))))))/10))*100+1</f>
        <v>501</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hidden="1" customHeight="1" x14ac:dyDescent="0.25">
      <c r="A225" s="105" t="str">
        <f t="shared" ref="A225:A231" ca="1" si="25">T225</f>
        <v>202 &amp; 502</v>
      </c>
      <c r="B225" s="105"/>
      <c r="C225" s="54"/>
      <c r="D225" s="54"/>
      <c r="E225" s="33"/>
      <c r="F225" s="6"/>
      <c r="G225" s="6"/>
      <c r="H225" s="6">
        <f t="shared" ref="H225:H231" si="26">E225+F225+(IF(G225&lt;101,G225,IF(G225&lt;201,G225/2,IF(G225&lt;=301,G225/3,G225/4))))</f>
        <v>0</v>
      </c>
      <c r="I225" s="1"/>
      <c r="J225" s="1"/>
      <c r="K225" s="1"/>
      <c r="L225" s="1"/>
      <c r="M225" s="1"/>
      <c r="N225" s="1"/>
      <c r="O225" s="1"/>
      <c r="P225" s="1"/>
      <c r="Q225" s="1"/>
      <c r="R225" s="1"/>
      <c r="S225" s="1"/>
      <c r="T225" s="23" t="str">
        <f t="shared" ref="T225:T231" ca="1" si="27">U225&amp;""&amp;" &amp; "&amp;""&amp;V225</f>
        <v>202 &amp; 502</v>
      </c>
      <c r="U225" s="23">
        <f ca="1">U224+1</f>
        <v>202</v>
      </c>
      <c r="V225" s="23">
        <f ca="1">V224+1</f>
        <v>502</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hidden="1" customHeight="1" x14ac:dyDescent="0.25">
      <c r="A226" s="105" t="str">
        <f t="shared" ca="1" si="25"/>
        <v>203 &amp; 503</v>
      </c>
      <c r="B226" s="105"/>
      <c r="C226" s="54"/>
      <c r="D226" s="54"/>
      <c r="E226" s="33"/>
      <c r="F226" s="6"/>
      <c r="G226" s="6"/>
      <c r="H226" s="6">
        <f t="shared" si="26"/>
        <v>0</v>
      </c>
      <c r="I226" s="1"/>
      <c r="J226" s="1"/>
      <c r="K226" s="1"/>
      <c r="L226" s="1"/>
      <c r="M226" s="1"/>
      <c r="N226" s="1"/>
      <c r="O226" s="1"/>
      <c r="P226" s="1"/>
      <c r="Q226" s="1"/>
      <c r="R226" s="1"/>
      <c r="S226" s="1"/>
      <c r="T226" s="23" t="str">
        <f t="shared" ca="1" si="27"/>
        <v>203 &amp; 503</v>
      </c>
      <c r="U226" s="23">
        <f t="shared" ref="U226:U231" ca="1" si="28">U225+1</f>
        <v>203</v>
      </c>
      <c r="V226" s="23">
        <f t="shared" ref="V226:V231" ca="1" si="29">V225+1</f>
        <v>503</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hidden="1" customHeight="1" x14ac:dyDescent="0.25">
      <c r="A227" s="105" t="str">
        <f t="shared" ca="1" si="25"/>
        <v>204 &amp; 504</v>
      </c>
      <c r="B227" s="105"/>
      <c r="C227" s="54"/>
      <c r="D227" s="54"/>
      <c r="E227" s="33"/>
      <c r="F227" s="6"/>
      <c r="G227" s="6"/>
      <c r="H227" s="6">
        <f t="shared" si="26"/>
        <v>0</v>
      </c>
      <c r="I227" s="1"/>
      <c r="J227" s="1"/>
      <c r="K227" s="1"/>
      <c r="L227" s="1"/>
      <c r="M227" s="1"/>
      <c r="N227" s="1"/>
      <c r="O227" s="1"/>
      <c r="P227" s="1"/>
      <c r="Q227" s="1"/>
      <c r="R227" s="1"/>
      <c r="S227" s="1"/>
      <c r="T227" s="23" t="str">
        <f t="shared" ca="1" si="27"/>
        <v>204 &amp; 504</v>
      </c>
      <c r="U227" s="23">
        <f t="shared" ca="1" si="28"/>
        <v>204</v>
      </c>
      <c r="V227" s="23">
        <f t="shared" ca="1" si="29"/>
        <v>504</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hidden="1" customHeight="1" x14ac:dyDescent="0.25">
      <c r="A228" s="105" t="str">
        <f t="shared" ca="1" si="25"/>
        <v>205 &amp; 505</v>
      </c>
      <c r="B228" s="105"/>
      <c r="C228" s="54"/>
      <c r="D228" s="54"/>
      <c r="E228" s="33"/>
      <c r="F228" s="6"/>
      <c r="G228" s="6"/>
      <c r="H228" s="6">
        <f t="shared" si="26"/>
        <v>0</v>
      </c>
      <c r="I228" s="1"/>
      <c r="J228" s="1"/>
      <c r="K228" s="1"/>
      <c r="L228" s="1"/>
      <c r="M228" s="1"/>
      <c r="N228" s="1"/>
      <c r="O228" s="1"/>
      <c r="P228" s="1"/>
      <c r="Q228" s="1"/>
      <c r="R228" s="1"/>
      <c r="S228" s="1"/>
      <c r="T228" s="23" t="str">
        <f t="shared" ca="1" si="27"/>
        <v>205 &amp; 505</v>
      </c>
      <c r="U228" s="23">
        <f t="shared" ca="1" si="28"/>
        <v>205</v>
      </c>
      <c r="V228" s="23">
        <f t="shared" ca="1" si="29"/>
        <v>505</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hidden="1" customHeight="1" x14ac:dyDescent="0.25">
      <c r="A229" s="105" t="str">
        <f t="shared" ca="1" si="25"/>
        <v>206 &amp; 506</v>
      </c>
      <c r="B229" s="105"/>
      <c r="C229" s="54"/>
      <c r="D229" s="54"/>
      <c r="E229" s="33"/>
      <c r="F229" s="6"/>
      <c r="G229" s="6"/>
      <c r="H229" s="6">
        <f t="shared" si="26"/>
        <v>0</v>
      </c>
      <c r="I229" s="1"/>
      <c r="J229" s="1"/>
      <c r="K229" s="1"/>
      <c r="L229" s="1"/>
      <c r="M229" s="1"/>
      <c r="N229" s="1"/>
      <c r="O229" s="1"/>
      <c r="P229" s="1"/>
      <c r="Q229" s="1"/>
      <c r="R229" s="1"/>
      <c r="S229" s="1"/>
      <c r="T229" s="23" t="str">
        <f t="shared" ca="1" si="27"/>
        <v>206 &amp; 506</v>
      </c>
      <c r="U229" s="23">
        <f t="shared" ca="1" si="28"/>
        <v>206</v>
      </c>
      <c r="V229" s="23">
        <f t="shared" ca="1" si="29"/>
        <v>506</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hidden="1" customHeight="1" x14ac:dyDescent="0.25">
      <c r="A230" s="105" t="str">
        <f t="shared" ca="1" si="25"/>
        <v>207 &amp; 507</v>
      </c>
      <c r="B230" s="105"/>
      <c r="C230" s="54"/>
      <c r="D230" s="54"/>
      <c r="E230" s="33"/>
      <c r="F230" s="6"/>
      <c r="G230" s="6"/>
      <c r="H230" s="6">
        <f t="shared" si="26"/>
        <v>0</v>
      </c>
      <c r="I230" s="1"/>
      <c r="J230" s="1"/>
      <c r="K230" s="1"/>
      <c r="L230" s="1"/>
      <c r="M230" s="1"/>
      <c r="N230" s="1"/>
      <c r="O230" s="1"/>
      <c r="P230" s="1"/>
      <c r="Q230" s="1"/>
      <c r="R230" s="1"/>
      <c r="S230" s="1"/>
      <c r="T230" s="23" t="str">
        <f t="shared" ca="1" si="27"/>
        <v>207 &amp; 507</v>
      </c>
      <c r="U230" s="23">
        <f t="shared" ca="1" si="28"/>
        <v>207</v>
      </c>
      <c r="V230" s="23">
        <f t="shared" ca="1" si="29"/>
        <v>507</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hidden="1" customHeight="1" x14ac:dyDescent="0.25">
      <c r="A231" s="105" t="str">
        <f t="shared" ca="1" si="25"/>
        <v>208 &amp; 508</v>
      </c>
      <c r="B231" s="105"/>
      <c r="C231" s="54"/>
      <c r="D231" s="54"/>
      <c r="E231" s="33"/>
      <c r="F231" s="6"/>
      <c r="G231" s="6"/>
      <c r="H231" s="6">
        <f t="shared" si="26"/>
        <v>0</v>
      </c>
      <c r="I231" s="1"/>
      <c r="J231" s="1"/>
      <c r="K231" s="1"/>
      <c r="L231" s="1"/>
      <c r="M231" s="1"/>
      <c r="N231" s="1"/>
      <c r="O231" s="1"/>
      <c r="P231" s="1"/>
      <c r="Q231" s="1"/>
      <c r="R231" s="1"/>
      <c r="S231" s="1"/>
      <c r="T231" s="23" t="str">
        <f t="shared" ca="1" si="27"/>
        <v>208 &amp; 508</v>
      </c>
      <c r="U231" s="23">
        <f t="shared" ca="1" si="28"/>
        <v>208</v>
      </c>
      <c r="V231" s="23">
        <f t="shared" ca="1" si="29"/>
        <v>508</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ht="20.25" x14ac:dyDescent="0.25">
      <c r="A232" s="114" t="s">
        <v>69</v>
      </c>
      <c r="B232" s="114"/>
      <c r="C232" s="114"/>
      <c r="D232" s="114"/>
      <c r="E232" s="114"/>
      <c r="F232" s="114"/>
      <c r="G232" s="114"/>
      <c r="H232" s="114"/>
    </row>
    <row r="233" spans="1:150 16226:16383" ht="20.25" x14ac:dyDescent="0.25">
      <c r="A233" s="2" t="s">
        <v>239</v>
      </c>
      <c r="B233" s="155" t="s">
        <v>381</v>
      </c>
      <c r="C233" s="156"/>
      <c r="D233" s="156"/>
      <c r="E233" s="156"/>
      <c r="F233" s="156"/>
      <c r="G233" s="156"/>
      <c r="H233" s="157"/>
    </row>
    <row r="234" spans="1:150 16226:16383" ht="20.25" x14ac:dyDescent="0.25">
      <c r="A234" s="2" t="s">
        <v>239</v>
      </c>
      <c r="B234" s="155" t="s">
        <v>240</v>
      </c>
      <c r="C234" s="156"/>
      <c r="D234" s="156"/>
      <c r="E234" s="156"/>
      <c r="F234" s="156"/>
      <c r="G234" s="156"/>
      <c r="H234" s="157"/>
    </row>
    <row r="235" spans="1:150 16226:16383" ht="20.25" x14ac:dyDescent="0.25">
      <c r="A235" s="2" t="s">
        <v>239</v>
      </c>
      <c r="B235" s="155" t="s">
        <v>369</v>
      </c>
      <c r="C235" s="156"/>
      <c r="D235" s="156"/>
      <c r="E235" s="156"/>
      <c r="F235" s="156"/>
      <c r="G235" s="156"/>
      <c r="H235" s="157"/>
    </row>
    <row r="236" spans="1:150 16226:16383" ht="20.25" x14ac:dyDescent="0.25">
      <c r="A236" s="2" t="s">
        <v>239</v>
      </c>
      <c r="B236" s="155" t="s">
        <v>241</v>
      </c>
      <c r="C236" s="156"/>
      <c r="D236" s="156"/>
      <c r="E236" s="156"/>
      <c r="F236" s="156"/>
      <c r="G236" s="156"/>
      <c r="H236" s="157"/>
    </row>
    <row r="237" spans="1:150 16226:16383" ht="20.25" x14ac:dyDescent="0.25">
      <c r="A237" s="2" t="s">
        <v>239</v>
      </c>
      <c r="B237" s="155" t="s">
        <v>242</v>
      </c>
      <c r="C237" s="156"/>
      <c r="D237" s="156"/>
      <c r="E237" s="156"/>
      <c r="F237" s="156"/>
      <c r="G237" s="156"/>
      <c r="H237" s="157"/>
    </row>
    <row r="238" spans="1:150 16226:16383" ht="46.5" hidden="1" customHeight="1" x14ac:dyDescent="0.25">
      <c r="A238" s="2" t="s">
        <v>239</v>
      </c>
      <c r="B238" s="186" t="s">
        <v>243</v>
      </c>
      <c r="C238" s="156"/>
      <c r="D238" s="156"/>
      <c r="E238" s="156"/>
      <c r="F238" s="156"/>
      <c r="G238" s="156"/>
      <c r="H238" s="157"/>
    </row>
    <row r="239" spans="1:150 16226:16383" ht="20.25" x14ac:dyDescent="0.25">
      <c r="A239" s="2" t="s">
        <v>239</v>
      </c>
      <c r="B239" s="155" t="s">
        <v>368</v>
      </c>
      <c r="C239" s="156"/>
      <c r="D239" s="156"/>
      <c r="E239" s="156"/>
      <c r="F239" s="156"/>
      <c r="G239" s="156"/>
      <c r="H239" s="157"/>
    </row>
    <row r="240" spans="1:150 16226:16383" ht="24.75" customHeight="1" x14ac:dyDescent="0.25">
      <c r="A240" s="78" t="s">
        <v>239</v>
      </c>
      <c r="B240" s="155" t="s">
        <v>377</v>
      </c>
      <c r="C240" s="156"/>
      <c r="D240" s="156"/>
      <c r="E240" s="156"/>
      <c r="F240" s="156"/>
      <c r="G240" s="156"/>
      <c r="H240" s="157"/>
    </row>
    <row r="241" spans="1:8" ht="24.75" hidden="1" customHeight="1" x14ac:dyDescent="0.25">
      <c r="A241" s="2" t="s">
        <v>239</v>
      </c>
      <c r="B241" s="155" t="s">
        <v>376</v>
      </c>
      <c r="C241" s="156"/>
      <c r="D241" s="156"/>
      <c r="E241" s="156"/>
      <c r="F241" s="156"/>
      <c r="G241" s="156"/>
      <c r="H241" s="157"/>
    </row>
    <row r="242" spans="1:8" ht="20.25" x14ac:dyDescent="0.25">
      <c r="A242" s="154" t="s">
        <v>75</v>
      </c>
      <c r="B242" s="154"/>
      <c r="C242" s="154"/>
      <c r="D242" s="154"/>
      <c r="E242" s="154"/>
      <c r="F242" s="154"/>
      <c r="G242" s="154"/>
      <c r="H242" s="154"/>
    </row>
    <row r="243" spans="1:8" ht="20.25" x14ac:dyDescent="0.25">
      <c r="A243" s="142" t="s">
        <v>70</v>
      </c>
      <c r="B243" s="142"/>
      <c r="C243" s="142"/>
      <c r="D243" s="155" t="str">
        <f>C3</f>
        <v>Narang Vivenda</v>
      </c>
      <c r="E243" s="156"/>
      <c r="F243" s="156"/>
      <c r="G243" s="156"/>
      <c r="H243" s="157"/>
    </row>
    <row r="244" spans="1:8" ht="40.5" customHeight="1" x14ac:dyDescent="0.25">
      <c r="A244" s="142" t="s">
        <v>104</v>
      </c>
      <c r="B244" s="142"/>
      <c r="C244" s="142"/>
      <c r="D244" s="155" t="str">
        <f>C9</f>
        <v>Narang Vivenda, CTS No. 307/3 ,307/4 ,307/5 ,307/6, Evershine Nagar Rd, Malad, Malad West, Mumbai, Maharashtra 400064</v>
      </c>
      <c r="E244" s="156"/>
      <c r="F244" s="156"/>
      <c r="G244" s="156"/>
      <c r="H244" s="157"/>
    </row>
    <row r="245" spans="1:8" ht="20.25" customHeight="1" x14ac:dyDescent="0.25">
      <c r="A245" s="167" t="s">
        <v>110</v>
      </c>
      <c r="B245" s="167"/>
      <c r="C245" s="167"/>
      <c r="D245" s="155" t="str">
        <f>G3</f>
        <v>30/09/2025 @ 01:49PM</v>
      </c>
      <c r="E245" s="156"/>
      <c r="F245" s="156"/>
      <c r="G245" s="156"/>
      <c r="H245" s="157"/>
    </row>
    <row r="246" spans="1:8" ht="20.25" x14ac:dyDescent="0.25">
      <c r="A246" s="10"/>
      <c r="B246" s="11"/>
      <c r="C246" s="11"/>
      <c r="D246" s="11"/>
      <c r="E246" s="11"/>
      <c r="F246" s="11"/>
      <c r="G246" s="11"/>
      <c r="H246" s="7"/>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2"/>
      <c r="B261" s="13"/>
      <c r="C261" s="13"/>
      <c r="D261" s="13"/>
      <c r="E261" s="13"/>
      <c r="F261" s="13"/>
      <c r="G261" s="13"/>
      <c r="H261" s="8"/>
    </row>
    <row r="262" spans="1:8" ht="20.25" x14ac:dyDescent="0.25">
      <c r="A262" s="12"/>
      <c r="B262" s="13"/>
      <c r="C262" s="13"/>
      <c r="D262" s="13"/>
      <c r="E262" s="13"/>
      <c r="F262" s="13"/>
      <c r="G262" s="13"/>
      <c r="H262" s="8"/>
    </row>
    <row r="263" spans="1:8" ht="20.25" x14ac:dyDescent="0.25">
      <c r="A263" s="12"/>
      <c r="B263" s="13"/>
      <c r="C263" s="13"/>
      <c r="D263" s="13"/>
      <c r="E263" s="13"/>
      <c r="F263" s="13"/>
      <c r="G263" s="13"/>
      <c r="H263" s="8"/>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4"/>
      <c r="B289" s="15"/>
      <c r="C289" s="15"/>
      <c r="D289" s="15"/>
      <c r="E289" s="15"/>
      <c r="F289" s="15"/>
      <c r="G289" s="15"/>
      <c r="H289" s="9"/>
    </row>
    <row r="290" spans="1:8" ht="20.25" x14ac:dyDescent="0.25">
      <c r="A290" s="114" t="s">
        <v>163</v>
      </c>
      <c r="B290" s="114"/>
      <c r="C290" s="114"/>
      <c r="D290" s="114"/>
      <c r="E290" s="114"/>
      <c r="F290" s="114"/>
      <c r="G290" s="114"/>
      <c r="H290" s="114"/>
    </row>
    <row r="291" spans="1:8" ht="20.25" x14ac:dyDescent="0.25">
      <c r="A291" s="10"/>
      <c r="B291" s="11"/>
      <c r="C291" s="11"/>
      <c r="D291" s="11"/>
      <c r="E291" s="11"/>
      <c r="F291" s="11"/>
      <c r="G291" s="11"/>
      <c r="H291" s="7"/>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2"/>
      <c r="B304" s="13"/>
      <c r="C304" s="13"/>
      <c r="D304" s="13"/>
      <c r="E304" s="13"/>
      <c r="F304" s="13"/>
      <c r="G304" s="13"/>
      <c r="H304" s="8"/>
    </row>
    <row r="305" spans="1:8" ht="20.25" x14ac:dyDescent="0.25">
      <c r="A305" s="12"/>
      <c r="B305" s="13"/>
      <c r="C305" s="13"/>
      <c r="D305" s="13"/>
      <c r="E305" s="13"/>
      <c r="F305" s="13"/>
      <c r="G305" s="13"/>
      <c r="H305" s="8"/>
    </row>
    <row r="306" spans="1:8" ht="20.25" x14ac:dyDescent="0.25">
      <c r="A306" s="12"/>
      <c r="B306" s="13"/>
      <c r="C306" s="13"/>
      <c r="D306" s="13"/>
      <c r="E306" s="13"/>
      <c r="F306" s="13"/>
      <c r="G306" s="13"/>
      <c r="H306" s="8"/>
    </row>
    <row r="307" spans="1:8" ht="20.25" x14ac:dyDescent="0.25">
      <c r="A307" s="12"/>
      <c r="B307" s="13"/>
      <c r="C307" s="13"/>
      <c r="D307" s="13"/>
      <c r="E307" s="13"/>
      <c r="F307" s="13"/>
      <c r="G307" s="13"/>
      <c r="H307" s="8"/>
    </row>
    <row r="308" spans="1:8" ht="20.25" x14ac:dyDescent="0.25">
      <c r="A308" s="12"/>
      <c r="B308" s="13"/>
      <c r="C308" s="13"/>
      <c r="D308" s="13"/>
      <c r="E308" s="13"/>
      <c r="F308" s="13"/>
      <c r="G308" s="13"/>
      <c r="H308" s="8"/>
    </row>
    <row r="309" spans="1:8" ht="20.25" x14ac:dyDescent="0.25">
      <c r="A309" s="12"/>
      <c r="B309" s="13"/>
      <c r="C309" s="13"/>
      <c r="D309" s="13"/>
      <c r="E309" s="13"/>
      <c r="F309" s="13"/>
      <c r="G309" s="13"/>
      <c r="H309" s="8"/>
    </row>
    <row r="310" spans="1:8" ht="20.25" x14ac:dyDescent="0.25">
      <c r="A310" s="12"/>
      <c r="B310" s="13"/>
      <c r="C310" s="13"/>
      <c r="D310" s="13"/>
      <c r="E310" s="13"/>
      <c r="F310" s="13"/>
      <c r="G310" s="13"/>
      <c r="H310" s="8"/>
    </row>
    <row r="311" spans="1:8" ht="20.25" x14ac:dyDescent="0.25">
      <c r="A311" s="12"/>
      <c r="B311" s="13"/>
      <c r="C311" s="13"/>
      <c r="D311" s="13"/>
      <c r="E311" s="13"/>
      <c r="F311" s="13"/>
      <c r="G311" s="13"/>
      <c r="H311" s="8"/>
    </row>
    <row r="312" spans="1:8" ht="20.25" x14ac:dyDescent="0.25">
      <c r="A312" s="12"/>
      <c r="B312" s="13"/>
      <c r="C312" s="13"/>
      <c r="D312" s="13"/>
      <c r="E312" s="13"/>
      <c r="F312" s="13"/>
      <c r="G312" s="13"/>
      <c r="H312" s="8"/>
    </row>
    <row r="313" spans="1:8" ht="20.25" x14ac:dyDescent="0.25">
      <c r="A313" s="12"/>
      <c r="B313" s="13"/>
      <c r="C313" s="13"/>
      <c r="D313" s="13"/>
      <c r="E313" s="13"/>
      <c r="F313" s="13"/>
      <c r="G313" s="13"/>
      <c r="H313" s="8"/>
    </row>
    <row r="314" spans="1:8" ht="20.25" x14ac:dyDescent="0.25">
      <c r="A314" s="12"/>
      <c r="B314" s="13"/>
      <c r="C314" s="13"/>
      <c r="D314" s="13"/>
      <c r="E314" s="13"/>
      <c r="F314" s="13"/>
      <c r="G314" s="13"/>
      <c r="H314" s="8"/>
    </row>
    <row r="315" spans="1:8" ht="20.25" x14ac:dyDescent="0.25">
      <c r="A315" s="12"/>
      <c r="B315" s="13"/>
      <c r="C315" s="13"/>
      <c r="D315" s="13"/>
      <c r="E315" s="13"/>
      <c r="F315" s="13"/>
      <c r="G315" s="13"/>
      <c r="H315" s="8"/>
    </row>
    <row r="316" spans="1:8" ht="20.25" x14ac:dyDescent="0.25">
      <c r="A316" s="12"/>
      <c r="B316" s="13"/>
      <c r="C316" s="13"/>
      <c r="D316" s="13"/>
      <c r="E316" s="13"/>
      <c r="F316" s="13"/>
      <c r="G316" s="13"/>
      <c r="H316" s="8"/>
    </row>
    <row r="317" spans="1:8" ht="20.25" x14ac:dyDescent="0.25">
      <c r="A317" s="12"/>
      <c r="B317" s="13"/>
      <c r="C317" s="13"/>
      <c r="D317" s="13"/>
      <c r="E317" s="13"/>
      <c r="F317" s="13"/>
      <c r="G317" s="13"/>
      <c r="H317" s="8"/>
    </row>
    <row r="318" spans="1:8" ht="20.25" x14ac:dyDescent="0.25">
      <c r="A318" s="12"/>
      <c r="B318" s="13"/>
      <c r="C318" s="13"/>
      <c r="D318" s="13"/>
      <c r="E318" s="13"/>
      <c r="F318" s="13"/>
      <c r="G318" s="13"/>
      <c r="H318" s="8"/>
    </row>
    <row r="319" spans="1:8" ht="20.25" x14ac:dyDescent="0.25">
      <c r="A319" s="12"/>
      <c r="B319" s="13"/>
      <c r="C319" s="13"/>
      <c r="D319" s="13"/>
      <c r="E319" s="13"/>
      <c r="F319" s="13"/>
      <c r="G319" s="13"/>
      <c r="H319" s="8"/>
    </row>
    <row r="320" spans="1:8" ht="20.25" x14ac:dyDescent="0.25">
      <c r="A320" s="12"/>
      <c r="B320" s="13"/>
      <c r="C320" s="13"/>
      <c r="D320" s="13"/>
      <c r="E320" s="13"/>
      <c r="F320" s="13"/>
      <c r="G320" s="13"/>
      <c r="H320" s="8"/>
    </row>
    <row r="321" spans="1:8" ht="20.25" x14ac:dyDescent="0.25">
      <c r="A321" s="12"/>
      <c r="B321" s="13"/>
      <c r="C321" s="13"/>
      <c r="D321" s="13"/>
      <c r="E321" s="13"/>
      <c r="F321" s="13"/>
      <c r="G321" s="13"/>
      <c r="H321" s="8"/>
    </row>
    <row r="322" spans="1:8" ht="20.25" x14ac:dyDescent="0.25">
      <c r="A322" s="12"/>
      <c r="B322" s="13"/>
      <c r="C322" s="13"/>
      <c r="D322" s="13"/>
      <c r="E322" s="13"/>
      <c r="F322" s="13"/>
      <c r="G322" s="13"/>
      <c r="H322" s="8"/>
    </row>
    <row r="323" spans="1:8" ht="20.25" x14ac:dyDescent="0.25">
      <c r="A323" s="12"/>
      <c r="B323" s="13"/>
      <c r="C323" s="13"/>
      <c r="D323" s="13"/>
      <c r="E323" s="13"/>
      <c r="F323" s="13"/>
      <c r="G323" s="13"/>
      <c r="H323" s="8"/>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2"/>
      <c r="B330" s="13"/>
      <c r="C330" s="13"/>
      <c r="D330" s="13"/>
      <c r="E330" s="13"/>
      <c r="F330" s="13"/>
      <c r="G330" s="13"/>
      <c r="H330" s="8"/>
    </row>
    <row r="331" spans="1:8" ht="20.25" x14ac:dyDescent="0.25">
      <c r="A331" s="12"/>
      <c r="B331" s="13"/>
      <c r="C331" s="13"/>
      <c r="D331" s="13"/>
      <c r="E331" s="13"/>
      <c r="F331" s="13"/>
      <c r="G331" s="13"/>
      <c r="H331" s="8"/>
    </row>
    <row r="332" spans="1:8" ht="20.25" x14ac:dyDescent="0.25">
      <c r="A332" s="12"/>
      <c r="B332" s="13"/>
      <c r="C332" s="13"/>
      <c r="D332" s="13"/>
      <c r="E332" s="13"/>
      <c r="F332" s="13"/>
      <c r="G332" s="13"/>
      <c r="H332" s="8"/>
    </row>
    <row r="333" spans="1:8" ht="20.25" x14ac:dyDescent="0.25">
      <c r="A333" s="12"/>
      <c r="B333" s="13"/>
      <c r="C333" s="13"/>
      <c r="D333" s="13"/>
      <c r="E333" s="13"/>
      <c r="F333" s="13"/>
      <c r="G333" s="13"/>
      <c r="H333" s="8"/>
    </row>
    <row r="334" spans="1:8" ht="20.25" x14ac:dyDescent="0.25">
      <c r="A334" s="12"/>
      <c r="B334" s="13"/>
      <c r="C334" s="13"/>
      <c r="D334" s="13"/>
      <c r="E334" s="13"/>
      <c r="F334" s="13"/>
      <c r="G334" s="13"/>
      <c r="H334" s="8"/>
    </row>
    <row r="335" spans="1:8" ht="20.25" x14ac:dyDescent="0.25">
      <c r="A335" s="12"/>
      <c r="B335" s="13"/>
      <c r="C335" s="13"/>
      <c r="D335" s="13"/>
      <c r="E335" s="13"/>
      <c r="F335" s="13"/>
      <c r="G335" s="13"/>
      <c r="H335" s="8"/>
    </row>
    <row r="336" spans="1:8" ht="20.25" x14ac:dyDescent="0.25">
      <c r="A336" s="12"/>
      <c r="B336" s="13"/>
      <c r="C336" s="13"/>
      <c r="D336" s="13"/>
      <c r="E336" s="13"/>
      <c r="F336" s="13"/>
      <c r="G336" s="13"/>
      <c r="H336" s="8"/>
    </row>
    <row r="337" spans="1:8" ht="20.25" x14ac:dyDescent="0.25">
      <c r="A337" s="12"/>
      <c r="B337" s="13"/>
      <c r="C337" s="13"/>
      <c r="D337" s="13"/>
      <c r="E337" s="13"/>
      <c r="F337" s="13"/>
      <c r="G337" s="13"/>
      <c r="H337" s="8"/>
    </row>
    <row r="338" spans="1:8" ht="20.25" x14ac:dyDescent="0.25">
      <c r="A338" s="12"/>
      <c r="B338" s="13"/>
      <c r="C338" s="13"/>
      <c r="D338" s="13"/>
      <c r="E338" s="13"/>
      <c r="F338" s="13"/>
      <c r="G338" s="13"/>
      <c r="H338" s="8"/>
    </row>
    <row r="339" spans="1:8" ht="20.25" x14ac:dyDescent="0.25">
      <c r="A339" s="14"/>
      <c r="B339" s="15"/>
      <c r="C339" s="15"/>
      <c r="D339" s="15"/>
      <c r="E339" s="15"/>
      <c r="F339" s="15"/>
      <c r="G339" s="15"/>
      <c r="H339" s="9"/>
    </row>
    <row r="340" spans="1:8" ht="20.25" x14ac:dyDescent="0.25">
      <c r="A340" s="131" t="s">
        <v>76</v>
      </c>
      <c r="B340" s="132"/>
      <c r="C340" s="132"/>
      <c r="D340" s="132"/>
      <c r="E340" s="132"/>
      <c r="F340" s="132"/>
      <c r="G340" s="132"/>
      <c r="H340" s="133"/>
    </row>
    <row r="341" spans="1:8" ht="20.25" x14ac:dyDescent="0.25">
      <c r="A341" s="10"/>
      <c r="B341" s="11"/>
      <c r="C341" s="11"/>
      <c r="D341" s="11"/>
      <c r="E341" s="11"/>
      <c r="F341" s="11"/>
      <c r="G341" s="11"/>
      <c r="H341" s="7"/>
    </row>
    <row r="342" spans="1:8" ht="20.25" x14ac:dyDescent="0.25">
      <c r="A342" s="12"/>
      <c r="B342" s="13"/>
      <c r="C342" s="13"/>
      <c r="D342" s="13"/>
      <c r="E342" s="13"/>
      <c r="F342" s="13"/>
      <c r="G342" s="13"/>
      <c r="H342" s="8"/>
    </row>
    <row r="343" spans="1:8" ht="20.25" x14ac:dyDescent="0.25">
      <c r="A343" s="12"/>
      <c r="B343" s="13"/>
      <c r="C343" s="13"/>
      <c r="D343" s="13"/>
      <c r="E343" s="13"/>
      <c r="F343" s="13"/>
      <c r="G343" s="13"/>
      <c r="H343" s="8"/>
    </row>
    <row r="344" spans="1:8" ht="20.25" x14ac:dyDescent="0.25">
      <c r="A344" s="12"/>
      <c r="B344" s="13"/>
      <c r="C344" s="13"/>
      <c r="D344" s="13"/>
      <c r="E344" s="13"/>
      <c r="F344" s="13"/>
      <c r="G344" s="13"/>
      <c r="H344" s="8"/>
    </row>
    <row r="345" spans="1:8" ht="20.25" x14ac:dyDescent="0.25">
      <c r="A345" s="12"/>
      <c r="B345" s="13"/>
      <c r="C345" s="13"/>
      <c r="D345" s="13"/>
      <c r="E345" s="13"/>
      <c r="F345" s="13"/>
      <c r="G345" s="13"/>
      <c r="H345" s="8"/>
    </row>
    <row r="346" spans="1:8" ht="20.25" x14ac:dyDescent="0.25">
      <c r="A346" s="12"/>
      <c r="B346" s="13"/>
      <c r="C346" s="13"/>
      <c r="D346" s="13"/>
      <c r="E346" s="13"/>
      <c r="F346" s="13"/>
      <c r="G346" s="13"/>
      <c r="H346" s="8"/>
    </row>
    <row r="347" spans="1:8" ht="20.25" x14ac:dyDescent="0.25">
      <c r="A347" s="12"/>
      <c r="B347" s="13"/>
      <c r="C347" s="13"/>
      <c r="D347" s="13"/>
      <c r="E347" s="13"/>
      <c r="F347" s="13"/>
      <c r="G347" s="13"/>
      <c r="H347" s="8"/>
    </row>
    <row r="348" spans="1:8" ht="20.25" x14ac:dyDescent="0.25">
      <c r="A348" s="12"/>
      <c r="B348" s="13"/>
      <c r="C348" s="13"/>
      <c r="D348" s="13"/>
      <c r="E348" s="13"/>
      <c r="F348" s="13"/>
      <c r="G348" s="13"/>
      <c r="H348" s="8"/>
    </row>
    <row r="349" spans="1:8" ht="20.25" x14ac:dyDescent="0.25">
      <c r="A349" s="12"/>
      <c r="B349" s="13"/>
      <c r="C349" s="13"/>
      <c r="D349" s="13"/>
      <c r="E349" s="13"/>
      <c r="F349" s="13"/>
      <c r="G349" s="13"/>
      <c r="H349" s="8"/>
    </row>
    <row r="350" spans="1:8" ht="20.25" x14ac:dyDescent="0.25">
      <c r="A350" s="12"/>
      <c r="B350" s="13"/>
      <c r="C350" s="13"/>
      <c r="D350" s="13"/>
      <c r="E350" s="13"/>
      <c r="F350" s="13"/>
      <c r="G350" s="13"/>
      <c r="H350" s="8"/>
    </row>
    <row r="351" spans="1:8" ht="20.25" x14ac:dyDescent="0.25">
      <c r="A351" s="12"/>
      <c r="B351" s="13"/>
      <c r="C351" s="13"/>
      <c r="D351" s="13"/>
      <c r="E351" s="13"/>
      <c r="F351" s="13"/>
      <c r="G351" s="13"/>
      <c r="H351" s="8"/>
    </row>
    <row r="352" spans="1:8" ht="20.25" x14ac:dyDescent="0.25">
      <c r="A352" s="12"/>
      <c r="B352" s="13"/>
      <c r="C352" s="13"/>
      <c r="D352" s="13"/>
      <c r="E352" s="13"/>
      <c r="F352" s="13"/>
      <c r="G352" s="13"/>
      <c r="H352" s="8"/>
    </row>
    <row r="353" spans="1:8" ht="20.25" x14ac:dyDescent="0.25">
      <c r="A353" s="12"/>
      <c r="B353" s="13"/>
      <c r="C353" s="13"/>
      <c r="D353" s="13"/>
      <c r="E353" s="13"/>
      <c r="F353" s="13"/>
      <c r="G353" s="13"/>
      <c r="H353" s="8"/>
    </row>
    <row r="354" spans="1:8" ht="20.25" x14ac:dyDescent="0.25">
      <c r="A354" s="12"/>
      <c r="B354" s="13"/>
      <c r="C354" s="13"/>
      <c r="D354" s="13"/>
      <c r="E354" s="13"/>
      <c r="F354" s="13"/>
      <c r="G354" s="13"/>
      <c r="H354" s="8"/>
    </row>
    <row r="355" spans="1:8" ht="20.25" x14ac:dyDescent="0.25">
      <c r="A355" s="12"/>
      <c r="B355" s="13"/>
      <c r="C355" s="13"/>
      <c r="D355" s="13"/>
      <c r="E355" s="13"/>
      <c r="F355" s="13"/>
      <c r="G355" s="13"/>
      <c r="H355" s="8"/>
    </row>
    <row r="356" spans="1:8" ht="20.25" x14ac:dyDescent="0.25">
      <c r="A356" s="12"/>
      <c r="B356" s="13"/>
      <c r="C356" s="13"/>
      <c r="D356" s="13"/>
      <c r="E356" s="13"/>
      <c r="F356" s="13"/>
      <c r="G356" s="13"/>
      <c r="H356" s="8"/>
    </row>
    <row r="357" spans="1:8" ht="20.25" x14ac:dyDescent="0.25">
      <c r="A357" s="12"/>
      <c r="B357" s="13"/>
      <c r="C357" s="13"/>
      <c r="D357" s="13"/>
      <c r="E357" s="13"/>
      <c r="F357" s="13"/>
      <c r="G357" s="13"/>
      <c r="H357" s="8"/>
    </row>
    <row r="358" spans="1:8" ht="20.25" x14ac:dyDescent="0.25">
      <c r="A358" s="12"/>
      <c r="B358" s="13"/>
      <c r="C358" s="13"/>
      <c r="D358" s="13"/>
      <c r="E358" s="13"/>
      <c r="F358" s="13"/>
      <c r="G358" s="13"/>
      <c r="H358" s="8"/>
    </row>
    <row r="359" spans="1:8" ht="20.25" x14ac:dyDescent="0.25">
      <c r="A359" s="12"/>
      <c r="B359" s="13"/>
      <c r="C359" s="13"/>
      <c r="D359" s="13"/>
      <c r="E359" s="13"/>
      <c r="F359" s="13"/>
      <c r="G359" s="13"/>
      <c r="H359" s="8"/>
    </row>
    <row r="360" spans="1:8" ht="20.25" x14ac:dyDescent="0.25">
      <c r="A360" s="12"/>
      <c r="B360" s="13"/>
      <c r="C360" s="13"/>
      <c r="D360" s="13"/>
      <c r="E360" s="13"/>
      <c r="F360" s="13"/>
      <c r="G360" s="13"/>
      <c r="H360" s="8"/>
    </row>
    <row r="361" spans="1:8" ht="20.25" x14ac:dyDescent="0.25">
      <c r="A361" s="12"/>
      <c r="B361" s="13"/>
      <c r="C361" s="13"/>
      <c r="D361" s="13"/>
      <c r="E361" s="13"/>
      <c r="F361" s="13"/>
      <c r="G361" s="13"/>
      <c r="H361" s="8"/>
    </row>
    <row r="362" spans="1:8" ht="20.25" x14ac:dyDescent="0.25">
      <c r="A362" s="12"/>
      <c r="B362" s="13"/>
      <c r="C362" s="13"/>
      <c r="D362" s="13"/>
      <c r="E362" s="13"/>
      <c r="F362" s="13"/>
      <c r="G362" s="13"/>
      <c r="H362" s="8"/>
    </row>
    <row r="363" spans="1:8" ht="20.25" x14ac:dyDescent="0.25">
      <c r="A363" s="12"/>
      <c r="B363" s="13"/>
      <c r="C363" s="13"/>
      <c r="D363" s="13"/>
      <c r="E363" s="13"/>
      <c r="F363" s="13"/>
      <c r="G363" s="13"/>
      <c r="H363" s="8"/>
    </row>
    <row r="364" spans="1:8" ht="20.25" x14ac:dyDescent="0.25">
      <c r="A364" s="12"/>
      <c r="B364" s="13"/>
      <c r="C364" s="13"/>
      <c r="D364" s="13"/>
      <c r="E364" s="13"/>
      <c r="F364" s="13"/>
      <c r="G364" s="13"/>
      <c r="H364" s="8"/>
    </row>
    <row r="365" spans="1:8" ht="20.25" x14ac:dyDescent="0.25">
      <c r="A365" s="12"/>
      <c r="B365" s="13"/>
      <c r="C365" s="13"/>
      <c r="D365" s="13"/>
      <c r="E365" s="13"/>
      <c r="F365" s="13"/>
      <c r="G365" s="13"/>
      <c r="H365" s="8"/>
    </row>
    <row r="366" spans="1:8" ht="20.25" x14ac:dyDescent="0.25">
      <c r="A366" s="12"/>
      <c r="B366" s="13"/>
      <c r="C366" s="13"/>
      <c r="D366" s="13"/>
      <c r="E366" s="13"/>
      <c r="F366" s="13"/>
      <c r="G366" s="13"/>
      <c r="H366" s="8"/>
    </row>
    <row r="367" spans="1:8" ht="20.25" x14ac:dyDescent="0.25">
      <c r="A367" s="12"/>
      <c r="B367" s="13"/>
      <c r="C367" s="13"/>
      <c r="D367" s="13"/>
      <c r="E367" s="13"/>
      <c r="F367" s="13"/>
      <c r="G367" s="13"/>
      <c r="H367" s="8"/>
    </row>
    <row r="368" spans="1:8" ht="20.25" x14ac:dyDescent="0.25">
      <c r="A368" s="12"/>
      <c r="B368" s="13"/>
      <c r="C368" s="13"/>
      <c r="D368" s="13"/>
      <c r="E368" s="13"/>
      <c r="F368" s="13"/>
      <c r="G368" s="13"/>
      <c r="H368" s="8"/>
    </row>
    <row r="369" spans="1:8" ht="20.25" x14ac:dyDescent="0.25">
      <c r="A369" s="12"/>
      <c r="B369" s="13"/>
      <c r="C369" s="13"/>
      <c r="D369" s="13"/>
      <c r="E369" s="13"/>
      <c r="F369" s="13"/>
      <c r="G369" s="13"/>
      <c r="H369" s="8"/>
    </row>
    <row r="370" spans="1:8" ht="20.25" x14ac:dyDescent="0.25">
      <c r="A370" s="12"/>
      <c r="B370" s="13"/>
      <c r="C370" s="13"/>
      <c r="D370" s="13"/>
      <c r="E370" s="13"/>
      <c r="F370" s="13"/>
      <c r="G370" s="13"/>
      <c r="H370" s="8"/>
    </row>
    <row r="371" spans="1:8" ht="20.25" x14ac:dyDescent="0.25">
      <c r="A371" s="114" t="s">
        <v>23</v>
      </c>
      <c r="B371" s="114"/>
      <c r="C371" s="114"/>
      <c r="D371" s="114"/>
      <c r="E371" s="114"/>
      <c r="F371" s="114"/>
      <c r="G371" s="114"/>
      <c r="H371" s="114"/>
    </row>
    <row r="372" spans="1:8" ht="20.25" x14ac:dyDescent="0.25">
      <c r="A372" s="158" t="s">
        <v>77</v>
      </c>
      <c r="B372" s="159"/>
      <c r="C372" s="159"/>
      <c r="D372" s="159"/>
      <c r="E372" s="159"/>
      <c r="F372" s="159"/>
      <c r="G372" s="159"/>
      <c r="H372" s="160"/>
    </row>
    <row r="373" spans="1:8" ht="20.25" x14ac:dyDescent="0.25">
      <c r="A373" s="161" t="s">
        <v>78</v>
      </c>
      <c r="B373" s="162"/>
      <c r="C373" s="162"/>
      <c r="D373" s="162"/>
      <c r="E373" s="162"/>
      <c r="F373" s="162"/>
      <c r="G373" s="162"/>
      <c r="H373" s="163"/>
    </row>
    <row r="374" spans="1:8" ht="45" customHeight="1" x14ac:dyDescent="0.25">
      <c r="A374" s="161" t="s">
        <v>79</v>
      </c>
      <c r="B374" s="162"/>
      <c r="C374" s="162"/>
      <c r="D374" s="162"/>
      <c r="E374" s="162"/>
      <c r="F374" s="162"/>
      <c r="G374" s="162"/>
      <c r="H374" s="163"/>
    </row>
    <row r="375" spans="1:8" ht="42.75" customHeight="1" x14ac:dyDescent="0.25">
      <c r="A375" s="161" t="s">
        <v>80</v>
      </c>
      <c r="B375" s="162"/>
      <c r="C375" s="162"/>
      <c r="D375" s="162"/>
      <c r="E375" s="162"/>
      <c r="F375" s="162"/>
      <c r="G375" s="162"/>
      <c r="H375" s="163"/>
    </row>
    <row r="376" spans="1:8" ht="20.25" x14ac:dyDescent="0.25">
      <c r="A376" s="161" t="s">
        <v>81</v>
      </c>
      <c r="B376" s="162"/>
      <c r="C376" s="162"/>
      <c r="D376" s="162"/>
      <c r="E376" s="162"/>
      <c r="F376" s="162"/>
      <c r="G376" s="162"/>
      <c r="H376" s="163"/>
    </row>
    <row r="377" spans="1:8" ht="20.25" x14ac:dyDescent="0.25">
      <c r="A377" s="161" t="s">
        <v>82</v>
      </c>
      <c r="B377" s="162"/>
      <c r="C377" s="162"/>
      <c r="D377" s="162"/>
      <c r="E377" s="162"/>
      <c r="F377" s="162"/>
      <c r="G377" s="162"/>
      <c r="H377" s="163"/>
    </row>
    <row r="378" spans="1:8" ht="45" customHeight="1" x14ac:dyDescent="0.25">
      <c r="A378" s="161" t="s">
        <v>83</v>
      </c>
      <c r="B378" s="162"/>
      <c r="C378" s="162"/>
      <c r="D378" s="162"/>
      <c r="E378" s="162"/>
      <c r="F378" s="162"/>
      <c r="G378" s="162"/>
      <c r="H378" s="163"/>
    </row>
    <row r="379" spans="1:8" ht="45" customHeight="1" x14ac:dyDescent="0.25">
      <c r="A379" s="161" t="s">
        <v>84</v>
      </c>
      <c r="B379" s="162"/>
      <c r="C379" s="162"/>
      <c r="D379" s="162"/>
      <c r="E379" s="162"/>
      <c r="F379" s="162"/>
      <c r="G379" s="162"/>
      <c r="H379" s="163"/>
    </row>
    <row r="380" spans="1:8" ht="20.25" x14ac:dyDescent="0.25">
      <c r="A380" s="164" t="s">
        <v>85</v>
      </c>
      <c r="B380" s="165"/>
      <c r="C380" s="165"/>
      <c r="D380" s="165"/>
      <c r="E380" s="165"/>
      <c r="F380" s="165"/>
      <c r="G380" s="165"/>
      <c r="H380" s="166"/>
    </row>
    <row r="381" spans="1:8" ht="57" customHeight="1" x14ac:dyDescent="0.25">
      <c r="A381" s="168" t="s">
        <v>29</v>
      </c>
      <c r="B381" s="169"/>
      <c r="C381" s="170" t="s">
        <v>373</v>
      </c>
      <c r="D381" s="171"/>
      <c r="E381" s="168" t="s">
        <v>9</v>
      </c>
      <c r="F381" s="169"/>
      <c r="G381" s="127"/>
      <c r="H381" s="127"/>
    </row>
  </sheetData>
  <mergeCells count="425">
    <mergeCell ref="E115:F115"/>
    <mergeCell ref="A117:F117"/>
    <mergeCell ref="A118:F118"/>
    <mergeCell ref="A119:F119"/>
    <mergeCell ref="C123:D123"/>
    <mergeCell ref="A114:B114"/>
    <mergeCell ref="B240:H240"/>
    <mergeCell ref="A106:B106"/>
    <mergeCell ref="A107:B107"/>
    <mergeCell ref="A108:B108"/>
    <mergeCell ref="A109:B109"/>
    <mergeCell ref="A110:B110"/>
    <mergeCell ref="A113:B113"/>
    <mergeCell ref="C113:D113"/>
    <mergeCell ref="C114:D114"/>
    <mergeCell ref="C115:D115"/>
    <mergeCell ref="B239:H239"/>
    <mergeCell ref="B234:H234"/>
    <mergeCell ref="B233:H233"/>
    <mergeCell ref="B237:H237"/>
    <mergeCell ref="B236:H236"/>
    <mergeCell ref="B235:H235"/>
    <mergeCell ref="B238:H238"/>
    <mergeCell ref="A219:B219"/>
    <mergeCell ref="G48:H48"/>
    <mergeCell ref="A49:B49"/>
    <mergeCell ref="D49:F49"/>
    <mergeCell ref="G49:H49"/>
    <mergeCell ref="A51:B51"/>
    <mergeCell ref="A53:B53"/>
    <mergeCell ref="A58:B58"/>
    <mergeCell ref="A60:B60"/>
    <mergeCell ref="A52:B52"/>
    <mergeCell ref="C51:H51"/>
    <mergeCell ref="C52:F52"/>
    <mergeCell ref="C53:F53"/>
    <mergeCell ref="C57:F57"/>
    <mergeCell ref="C56:F56"/>
    <mergeCell ref="A56:B57"/>
    <mergeCell ref="A59:B59"/>
    <mergeCell ref="C59:F59"/>
    <mergeCell ref="C58:F58"/>
    <mergeCell ref="C60:F60"/>
    <mergeCell ref="A54:B55"/>
    <mergeCell ref="C54:F54"/>
    <mergeCell ref="C55:F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B241:H241"/>
    <mergeCell ref="A232:H232"/>
    <mergeCell ref="E3:F3"/>
    <mergeCell ref="E4:F4"/>
    <mergeCell ref="E83:F94"/>
    <mergeCell ref="G83:H94"/>
    <mergeCell ref="A84:B84"/>
    <mergeCell ref="A85:B85"/>
    <mergeCell ref="A86:B86"/>
    <mergeCell ref="A87:B87"/>
    <mergeCell ref="A88:B88"/>
    <mergeCell ref="A89:B89"/>
    <mergeCell ref="A90:B90"/>
    <mergeCell ref="A91:B91"/>
    <mergeCell ref="A92:B92"/>
    <mergeCell ref="A93:B93"/>
    <mergeCell ref="A94:B94"/>
    <mergeCell ref="A68:B68"/>
    <mergeCell ref="C27:D27"/>
    <mergeCell ref="A75:B75"/>
    <mergeCell ref="A76:B76"/>
    <mergeCell ref="A77:B77"/>
    <mergeCell ref="A78:B78"/>
    <mergeCell ref="A69:B69"/>
    <mergeCell ref="A220:B220"/>
    <mergeCell ref="A221:B221"/>
    <mergeCell ref="A230:B230"/>
    <mergeCell ref="A231:B231"/>
    <mergeCell ref="A227:B227"/>
    <mergeCell ref="A228:B228"/>
    <mergeCell ref="A229:B229"/>
    <mergeCell ref="A223:H223"/>
    <mergeCell ref="A224:B224"/>
    <mergeCell ref="A225:B225"/>
    <mergeCell ref="A226:B226"/>
    <mergeCell ref="A218:B218"/>
    <mergeCell ref="A211:B211"/>
    <mergeCell ref="A209:B209"/>
    <mergeCell ref="E129:F129"/>
    <mergeCell ref="E127:F127"/>
    <mergeCell ref="C126:D126"/>
    <mergeCell ref="E128:F128"/>
    <mergeCell ref="A206:B206"/>
    <mergeCell ref="C128:D128"/>
    <mergeCell ref="E130:F130"/>
    <mergeCell ref="C129:D129"/>
    <mergeCell ref="A216:B216"/>
    <mergeCell ref="A217:B217"/>
    <mergeCell ref="A199:B199"/>
    <mergeCell ref="A200:B200"/>
    <mergeCell ref="A147:B147"/>
    <mergeCell ref="A148:B148"/>
    <mergeCell ref="A149:B149"/>
    <mergeCell ref="A131:H131"/>
    <mergeCell ref="A133:H133"/>
    <mergeCell ref="A152:H152"/>
    <mergeCell ref="A153:B153"/>
    <mergeCell ref="A154:B154"/>
    <mergeCell ref="A155:B155"/>
    <mergeCell ref="G14:H14"/>
    <mergeCell ref="G16:H16"/>
    <mergeCell ref="G17:H17"/>
    <mergeCell ref="G15:H15"/>
    <mergeCell ref="G18:H18"/>
    <mergeCell ref="G19:H19"/>
    <mergeCell ref="G46:H46"/>
    <mergeCell ref="G31:H31"/>
    <mergeCell ref="G22:H22"/>
    <mergeCell ref="G36:H36"/>
    <mergeCell ref="G35:H35"/>
    <mergeCell ref="G381:H381"/>
    <mergeCell ref="A242:H242"/>
    <mergeCell ref="D244:H244"/>
    <mergeCell ref="A372:H372"/>
    <mergeCell ref="A378:H378"/>
    <mergeCell ref="A379:H379"/>
    <mergeCell ref="A380:H380"/>
    <mergeCell ref="A373:H373"/>
    <mergeCell ref="A374:H374"/>
    <mergeCell ref="A375:H375"/>
    <mergeCell ref="A376:H376"/>
    <mergeCell ref="A244:C244"/>
    <mergeCell ref="A371:H371"/>
    <mergeCell ref="A377:H377"/>
    <mergeCell ref="A340:H340"/>
    <mergeCell ref="D243:H243"/>
    <mergeCell ref="A245:C245"/>
    <mergeCell ref="D245:H245"/>
    <mergeCell ref="A290:H290"/>
    <mergeCell ref="E381:F381"/>
    <mergeCell ref="A381:B381"/>
    <mergeCell ref="C381:D381"/>
    <mergeCell ref="A1:H1"/>
    <mergeCell ref="A243:C243"/>
    <mergeCell ref="G27:H27"/>
    <mergeCell ref="G28:H28"/>
    <mergeCell ref="A37:H37"/>
    <mergeCell ref="A44:H44"/>
    <mergeCell ref="A50:H50"/>
    <mergeCell ref="A120:H120"/>
    <mergeCell ref="G118:H118"/>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G117:H117"/>
    <mergeCell ref="A196:H196"/>
    <mergeCell ref="A130:B130"/>
    <mergeCell ref="G130:H130"/>
    <mergeCell ref="A222:B222"/>
    <mergeCell ref="A125:H125"/>
    <mergeCell ref="A126:B126"/>
    <mergeCell ref="E126:F126"/>
    <mergeCell ref="A202:B202"/>
    <mergeCell ref="A203:B203"/>
    <mergeCell ref="A204:B204"/>
    <mergeCell ref="A197:B197"/>
    <mergeCell ref="C127:D127"/>
    <mergeCell ref="C130:D130"/>
    <mergeCell ref="A210:B210"/>
    <mergeCell ref="A212:B212"/>
    <mergeCell ref="A213:B213"/>
    <mergeCell ref="A208:B208"/>
    <mergeCell ref="A214:H214"/>
    <mergeCell ref="A215:B215"/>
    <mergeCell ref="A207:B207"/>
    <mergeCell ref="A205:H205"/>
    <mergeCell ref="A201:B201"/>
    <mergeCell ref="A198:B198"/>
    <mergeCell ref="A80:C81"/>
    <mergeCell ref="E80:F80"/>
    <mergeCell ref="G111:H111"/>
    <mergeCell ref="G67:H78"/>
    <mergeCell ref="A63:H63"/>
    <mergeCell ref="A66:B66"/>
    <mergeCell ref="A67:B67"/>
    <mergeCell ref="E66:F66"/>
    <mergeCell ref="E64:F64"/>
    <mergeCell ref="E65:F65"/>
    <mergeCell ref="A64:C65"/>
    <mergeCell ref="A73:B73"/>
    <mergeCell ref="E96:F96"/>
    <mergeCell ref="E97:F97"/>
    <mergeCell ref="A103:B103"/>
    <mergeCell ref="A104:B104"/>
    <mergeCell ref="A105:B105"/>
    <mergeCell ref="A111:F111"/>
    <mergeCell ref="G115:H115"/>
    <mergeCell ref="G119:H119"/>
    <mergeCell ref="A116:H116"/>
    <mergeCell ref="E113:F113"/>
    <mergeCell ref="A115:B115"/>
    <mergeCell ref="E114:F114"/>
    <mergeCell ref="G114:H114"/>
    <mergeCell ref="E67:F78"/>
    <mergeCell ref="A61:B61"/>
    <mergeCell ref="A62:B62"/>
    <mergeCell ref="C61:F61"/>
    <mergeCell ref="C62:F62"/>
    <mergeCell ref="A112:H112"/>
    <mergeCell ref="G113:H113"/>
    <mergeCell ref="A70:B70"/>
    <mergeCell ref="A72:B72"/>
    <mergeCell ref="A98:B98"/>
    <mergeCell ref="E98:F98"/>
    <mergeCell ref="A99:B99"/>
    <mergeCell ref="E99:F110"/>
    <mergeCell ref="G99:H110"/>
    <mergeCell ref="A100:B100"/>
    <mergeCell ref="A101:B101"/>
    <mergeCell ref="A102:B102"/>
    <mergeCell ref="A95:H95"/>
    <mergeCell ref="A96:C97"/>
    <mergeCell ref="C18:D18"/>
    <mergeCell ref="C19:D19"/>
    <mergeCell ref="C20:D20"/>
    <mergeCell ref="C21:D21"/>
    <mergeCell ref="C22:D22"/>
    <mergeCell ref="C24:H24"/>
    <mergeCell ref="C23:H23"/>
    <mergeCell ref="A71:B71"/>
    <mergeCell ref="A74:B74"/>
    <mergeCell ref="E81:F81"/>
    <mergeCell ref="A82:B82"/>
    <mergeCell ref="E82:F82"/>
    <mergeCell ref="A83:B83"/>
    <mergeCell ref="A45:B45"/>
    <mergeCell ref="A46:B46"/>
    <mergeCell ref="A47:B47"/>
    <mergeCell ref="D46:F46"/>
    <mergeCell ref="D45:F45"/>
    <mergeCell ref="D47:F47"/>
    <mergeCell ref="A48:B48"/>
    <mergeCell ref="D48:F48"/>
    <mergeCell ref="A79:H79"/>
    <mergeCell ref="G121:H121"/>
    <mergeCell ref="G122:H122"/>
    <mergeCell ref="G123:H123"/>
    <mergeCell ref="G124:H124"/>
    <mergeCell ref="C124:D124"/>
    <mergeCell ref="G126:H126"/>
    <mergeCell ref="G127:H127"/>
    <mergeCell ref="G128:H128"/>
    <mergeCell ref="A129:B129"/>
    <mergeCell ref="A127:B128"/>
    <mergeCell ref="E121:F121"/>
    <mergeCell ref="E122:F122"/>
    <mergeCell ref="E123:F123"/>
    <mergeCell ref="E124:F124"/>
    <mergeCell ref="A121:B121"/>
    <mergeCell ref="A122:B122"/>
    <mergeCell ref="A123:B123"/>
    <mergeCell ref="C121:D121"/>
    <mergeCell ref="A124:B124"/>
    <mergeCell ref="C122:D122"/>
    <mergeCell ref="G129:H129"/>
    <mergeCell ref="A156:B156"/>
    <mergeCell ref="A157:B157"/>
    <mergeCell ref="A158:B158"/>
    <mergeCell ref="A159:B159"/>
    <mergeCell ref="A151:H151"/>
    <mergeCell ref="A134:H134"/>
    <mergeCell ref="A150:H150"/>
    <mergeCell ref="A135:H135"/>
    <mergeCell ref="A136:B136"/>
    <mergeCell ref="A137:B137"/>
    <mergeCell ref="A138:B138"/>
    <mergeCell ref="A139:B139"/>
    <mergeCell ref="A140:B140"/>
    <mergeCell ref="A141:B141"/>
    <mergeCell ref="A142:B142"/>
    <mergeCell ref="A143:B143"/>
    <mergeCell ref="A144:B144"/>
    <mergeCell ref="A145:B145"/>
    <mergeCell ref="A146:B146"/>
    <mergeCell ref="A173:B173"/>
    <mergeCell ref="A174:B174"/>
    <mergeCell ref="A175:B175"/>
    <mergeCell ref="A176:B176"/>
    <mergeCell ref="A177:B177"/>
    <mergeCell ref="D172:H174"/>
    <mergeCell ref="A160:B160"/>
    <mergeCell ref="A161:H161"/>
    <mergeCell ref="A162:B162"/>
    <mergeCell ref="A163:B163"/>
    <mergeCell ref="A164:B164"/>
    <mergeCell ref="A165:B165"/>
    <mergeCell ref="A166:B166"/>
    <mergeCell ref="A167:B167"/>
    <mergeCell ref="A168:B168"/>
    <mergeCell ref="A169:B169"/>
    <mergeCell ref="A170:H170"/>
    <mergeCell ref="A171:B171"/>
    <mergeCell ref="A172:B172"/>
    <mergeCell ref="A195:B195"/>
    <mergeCell ref="A179:H179"/>
    <mergeCell ref="A180:B180"/>
    <mergeCell ref="A181:B181"/>
    <mergeCell ref="A182:B182"/>
    <mergeCell ref="A183:B183"/>
    <mergeCell ref="A184:B184"/>
    <mergeCell ref="A185:B185"/>
    <mergeCell ref="A186:B186"/>
    <mergeCell ref="D191:H191"/>
    <mergeCell ref="A178:B178"/>
    <mergeCell ref="A187:H187"/>
    <mergeCell ref="A188:B188"/>
    <mergeCell ref="A189:B189"/>
    <mergeCell ref="A190:B190"/>
    <mergeCell ref="A191:B191"/>
    <mergeCell ref="A192:B192"/>
    <mergeCell ref="A193:B193"/>
    <mergeCell ref="A194:B194"/>
  </mergeCells>
  <dataValidations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115">
      <formula1>"300000,350000,400000,500000,600000,700000,800000,900000,1000000,1200000,1400000,1500000,1600000"</formula1>
    </dataValidation>
    <dataValidation type="list" allowBlank="1" showInputMessage="1" showErrorMessage="1" sqref="F132">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32">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53" max="16383" man="1"/>
    <brk id="241" max="8" man="1"/>
    <brk id="289" max="16383" man="1"/>
    <brk id="33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topLeftCell="A43" zoomScale="70" zoomScaleNormal="70" workbookViewId="0">
      <selection activeCell="G46" sqref="G46"/>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4" t="s">
        <v>68</v>
      </c>
      <c r="B3" s="114"/>
      <c r="C3" s="114"/>
      <c r="D3" s="114"/>
      <c r="E3" s="114"/>
      <c r="F3" s="114"/>
      <c r="G3" s="114"/>
      <c r="H3" s="114"/>
      <c r="I3" s="114"/>
    </row>
    <row r="4" spans="1:11" s="1" customFormat="1" ht="20.25" customHeight="1" x14ac:dyDescent="0.3">
      <c r="A4" s="196">
        <v>1</v>
      </c>
      <c r="B4" s="196"/>
      <c r="C4" s="196"/>
      <c r="D4" s="197" t="s">
        <v>4</v>
      </c>
      <c r="E4" s="30" t="s">
        <v>115</v>
      </c>
      <c r="F4" s="122" t="s">
        <v>102</v>
      </c>
      <c r="G4" s="122"/>
      <c r="H4" s="30" t="s">
        <v>116</v>
      </c>
      <c r="I4" s="30" t="s">
        <v>117</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96"/>
      <c r="B5" s="196"/>
      <c r="C5" s="196"/>
      <c r="D5" s="197"/>
      <c r="E5" s="30">
        <v>3</v>
      </c>
      <c r="F5" s="122">
        <v>1</v>
      </c>
      <c r="G5" s="122"/>
      <c r="H5" s="30">
        <v>0</v>
      </c>
      <c r="I5" s="30">
        <f ca="1">--TRIM(RIGHT(SUBSTITUTE(LEFT(A4,_xlfn.AGGREGATE(16,6,FIND({0,1,2,3,4,5,6,7,8,9},A4,ROW(INDIRECT("1:"&amp;LEN(A4)))),1))," ",REPT(" ",LEN(A4))),LEN(A4)))</f>
        <v>1</v>
      </c>
      <c r="J5" s="17" t="s">
        <v>121</v>
      </c>
      <c r="K5" s="18"/>
    </row>
    <row r="6" spans="1:11" s="1" customFormat="1" ht="20.25" customHeight="1" x14ac:dyDescent="0.3">
      <c r="A6" s="123" t="s">
        <v>119</v>
      </c>
      <c r="B6" s="123"/>
      <c r="C6" s="123" t="s">
        <v>133</v>
      </c>
      <c r="D6" s="123"/>
      <c r="E6" s="28" t="s">
        <v>134</v>
      </c>
      <c r="F6" s="123" t="s">
        <v>120</v>
      </c>
      <c r="G6" s="123"/>
      <c r="H6" s="29" t="s">
        <v>118</v>
      </c>
      <c r="I6" s="29"/>
      <c r="J6" s="20" t="s">
        <v>135</v>
      </c>
      <c r="K6" s="19">
        <f ca="1">I5*25%</f>
        <v>0.25</v>
      </c>
    </row>
    <row r="7" spans="1:11" s="1" customFormat="1" ht="20.25" customHeight="1" x14ac:dyDescent="0.3">
      <c r="A7" s="121" t="s">
        <v>136</v>
      </c>
      <c r="B7" s="121"/>
      <c r="C7" s="122">
        <f ca="1">K8</f>
        <v>1</v>
      </c>
      <c r="D7" s="122"/>
      <c r="E7" s="5">
        <f ca="1">((100/I5)*C7)/100</f>
        <v>1</v>
      </c>
      <c r="F7" s="121">
        <f ca="1">(((C7/I5*5)+(C8/I5*20)+(25/(F5+H5+I5)*C9)+(5/(I5)*C10)+(2.5/(I5)*C11)+(2.5/(I5)*C12)+(5/I5*C13)+(10/I5*C14)+(2.5/I5*C15)+(2.5/I5*C16)+(10/I5*C17)+(10/I5*C18))/100)</f>
        <v>0.25</v>
      </c>
      <c r="G7" s="121"/>
      <c r="H7" s="121" t="str">
        <f ca="1">J4</f>
        <v>Excavation work Completed. Plinth work completed</v>
      </c>
      <c r="I7" s="121"/>
      <c r="J7" s="20" t="s">
        <v>122</v>
      </c>
      <c r="K7" s="24">
        <f ca="1">I5*50%</f>
        <v>0.5</v>
      </c>
    </row>
    <row r="8" spans="1:11" s="1" customFormat="1" ht="20.25" x14ac:dyDescent="0.3">
      <c r="A8" s="121" t="s">
        <v>103</v>
      </c>
      <c r="B8" s="121"/>
      <c r="C8" s="195">
        <f ca="1">K16</f>
        <v>1</v>
      </c>
      <c r="D8" s="122"/>
      <c r="E8" s="5">
        <f ca="1">((100/I5)*C8)/100</f>
        <v>1</v>
      </c>
      <c r="F8" s="121"/>
      <c r="G8" s="121"/>
      <c r="H8" s="121"/>
      <c r="I8" s="121"/>
      <c r="J8" s="20" t="s">
        <v>123</v>
      </c>
      <c r="K8" s="24">
        <f ca="1">I5</f>
        <v>1</v>
      </c>
    </row>
    <row r="9" spans="1:11" s="1" customFormat="1" ht="21" customHeight="1" x14ac:dyDescent="0.35">
      <c r="A9" s="121" t="s">
        <v>137</v>
      </c>
      <c r="B9" s="121"/>
      <c r="C9" s="122">
        <v>0</v>
      </c>
      <c r="D9" s="122"/>
      <c r="E9" s="5">
        <f ca="1">((100/(F5+H5+I5))*C9)/100</f>
        <v>0</v>
      </c>
      <c r="F9" s="121"/>
      <c r="G9" s="121"/>
      <c r="H9" s="121"/>
      <c r="I9" s="121"/>
      <c r="J9" s="20" t="s">
        <v>124</v>
      </c>
      <c r="K9" s="25">
        <f ca="1">(IF(E5&gt;1,(I5/(E5+2)),I5*0.2))</f>
        <v>0.2</v>
      </c>
    </row>
    <row r="10" spans="1:11" s="1" customFormat="1" ht="21" customHeight="1" x14ac:dyDescent="0.35">
      <c r="A10" s="121" t="s">
        <v>138</v>
      </c>
      <c r="B10" s="121"/>
      <c r="C10" s="122">
        <v>0</v>
      </c>
      <c r="D10" s="122"/>
      <c r="E10" s="5">
        <f ca="1">((100/I5)*C10)/100</f>
        <v>0</v>
      </c>
      <c r="F10" s="121"/>
      <c r="G10" s="121"/>
      <c r="H10" s="121"/>
      <c r="I10" s="121"/>
      <c r="J10" s="20" t="s">
        <v>125</v>
      </c>
      <c r="K10" s="25">
        <f ca="1">(IF(E5&gt;1,(I5/(E5+2)+K9),I5*0.2+K9))</f>
        <v>0.4</v>
      </c>
    </row>
    <row r="11" spans="1:11" s="1" customFormat="1" ht="21" customHeight="1" x14ac:dyDescent="0.35">
      <c r="A11" s="119" t="s">
        <v>139</v>
      </c>
      <c r="B11" s="120"/>
      <c r="C11" s="122">
        <v>0</v>
      </c>
      <c r="D11" s="122"/>
      <c r="E11" s="5">
        <f ca="1">((100/I5)*C11)/100</f>
        <v>0</v>
      </c>
      <c r="F11" s="121"/>
      <c r="G11" s="121"/>
      <c r="H11" s="121"/>
      <c r="I11" s="121"/>
      <c r="J11" s="20" t="s">
        <v>140</v>
      </c>
      <c r="K11" s="25">
        <f ca="1">(IF(E5&gt;1,(I5/(E5+2)+K10),0))</f>
        <v>0.60000000000000009</v>
      </c>
    </row>
    <row r="12" spans="1:11" s="1" customFormat="1" ht="21" customHeight="1" x14ac:dyDescent="0.35">
      <c r="A12" s="119" t="s">
        <v>171</v>
      </c>
      <c r="B12" s="120"/>
      <c r="C12" s="122">
        <v>0</v>
      </c>
      <c r="D12" s="122"/>
      <c r="E12" s="5">
        <f ca="1">((100/I5)*C12)/100</f>
        <v>0</v>
      </c>
      <c r="F12" s="121"/>
      <c r="G12" s="121"/>
      <c r="H12" s="121"/>
      <c r="I12" s="121"/>
      <c r="J12" s="20" t="s">
        <v>141</v>
      </c>
      <c r="K12" s="25">
        <f ca="1">(IF(E5&gt;2,(I5/(E5+2)+K11),0))</f>
        <v>0.8</v>
      </c>
    </row>
    <row r="13" spans="1:11" s="1" customFormat="1" ht="57.75" customHeight="1" x14ac:dyDescent="0.35">
      <c r="A13" s="119" t="s">
        <v>168</v>
      </c>
      <c r="B13" s="120"/>
      <c r="C13" s="122">
        <v>0</v>
      </c>
      <c r="D13" s="122"/>
      <c r="E13" s="5">
        <f ca="1">((100/(I5))*C13)/100</f>
        <v>0</v>
      </c>
      <c r="F13" s="121"/>
      <c r="G13" s="121"/>
      <c r="H13" s="121"/>
      <c r="I13" s="121"/>
      <c r="J13" s="20" t="s">
        <v>143</v>
      </c>
      <c r="K13" s="26">
        <f>(IF(E5&gt;3,(I5/(E5+2)+K12),0))</f>
        <v>0</v>
      </c>
    </row>
    <row r="14" spans="1:11" s="1" customFormat="1" ht="21" x14ac:dyDescent="0.35">
      <c r="A14" s="121" t="s">
        <v>142</v>
      </c>
      <c r="B14" s="121"/>
      <c r="C14" s="122">
        <v>0</v>
      </c>
      <c r="D14" s="122"/>
      <c r="E14" s="5">
        <f ca="1">((100/(I5))*C14)/100</f>
        <v>0</v>
      </c>
      <c r="F14" s="121"/>
      <c r="G14" s="121"/>
      <c r="H14" s="121"/>
      <c r="I14" s="121"/>
      <c r="J14" s="20" t="s">
        <v>144</v>
      </c>
      <c r="K14" s="25">
        <f>(IF(E5&gt;4,(I5/(E5+2)+K13),0))</f>
        <v>0</v>
      </c>
    </row>
    <row r="15" spans="1:11" s="1" customFormat="1" ht="21" customHeight="1" x14ac:dyDescent="0.35">
      <c r="A15" s="121" t="s">
        <v>170</v>
      </c>
      <c r="B15" s="121"/>
      <c r="C15" s="122">
        <v>0</v>
      </c>
      <c r="D15" s="122"/>
      <c r="E15" s="5">
        <f ca="1">((100/I5)*C15)/100</f>
        <v>0</v>
      </c>
      <c r="F15" s="121"/>
      <c r="G15" s="121"/>
      <c r="H15" s="121"/>
      <c r="I15" s="121"/>
      <c r="J15" s="20" t="s">
        <v>126</v>
      </c>
      <c r="K15" s="25">
        <f>(IF(E5=1,(I5/(E5+3)+K10),IF(E5=0,(I5*0.3+K10),IF(E5&gt;1,0))))</f>
        <v>0</v>
      </c>
    </row>
    <row r="16" spans="1:11" s="1" customFormat="1" ht="21.75" thickBot="1" x14ac:dyDescent="0.4">
      <c r="A16" s="121" t="s">
        <v>169</v>
      </c>
      <c r="B16" s="121"/>
      <c r="C16" s="122">
        <v>0</v>
      </c>
      <c r="D16" s="122"/>
      <c r="E16" s="5">
        <f ca="1">((100/I5)*C16)/100</f>
        <v>0</v>
      </c>
      <c r="F16" s="121"/>
      <c r="G16" s="121"/>
      <c r="H16" s="121"/>
      <c r="I16" s="121"/>
      <c r="J16" s="22" t="s">
        <v>127</v>
      </c>
      <c r="K16" s="27">
        <f ca="1">(IF(E5&gt;1.5,(I5/(E5+2)+K10+MAX(0,K11-K10)+MAX(0,K12-K11)+MAX(0,K13-K12)+MAX(0,K14-K13)+MAX(0,K15-K14)),IF(E5=1,(I5/(E5+3)+K15),IF(E5=0,I5*0.3+K15))))</f>
        <v>1</v>
      </c>
    </row>
    <row r="17" spans="1:9" s="1" customFormat="1" ht="20.25" x14ac:dyDescent="0.25">
      <c r="A17" s="121" t="s">
        <v>145</v>
      </c>
      <c r="B17" s="121"/>
      <c r="C17" s="122">
        <v>0</v>
      </c>
      <c r="D17" s="122"/>
      <c r="E17" s="5">
        <f ca="1">((100/(I5))*C17)/100</f>
        <v>0</v>
      </c>
      <c r="F17" s="121"/>
      <c r="G17" s="121"/>
      <c r="H17" s="121"/>
      <c r="I17" s="121"/>
    </row>
    <row r="18" spans="1:9" s="1" customFormat="1" ht="20.25" x14ac:dyDescent="0.25">
      <c r="A18" s="121" t="s">
        <v>146</v>
      </c>
      <c r="B18" s="121"/>
      <c r="C18" s="122">
        <v>0</v>
      </c>
      <c r="D18" s="122"/>
      <c r="E18" s="5">
        <f ca="1">((100/(I5))*C18)/100</f>
        <v>0</v>
      </c>
      <c r="F18" s="121"/>
      <c r="G18" s="121"/>
      <c r="H18" s="121"/>
      <c r="I18" s="121"/>
    </row>
    <row r="23" spans="1:9" x14ac:dyDescent="0.25">
      <c r="B23" s="194" t="s">
        <v>172</v>
      </c>
      <c r="C23" s="194"/>
      <c r="D23" s="194"/>
      <c r="E23" s="194"/>
      <c r="F23" s="194"/>
      <c r="G23" s="194"/>
    </row>
    <row r="24" spans="1:9" ht="14.45" customHeight="1" x14ac:dyDescent="0.25">
      <c r="B24" s="189" t="s">
        <v>173</v>
      </c>
      <c r="C24" s="189" t="s">
        <v>174</v>
      </c>
      <c r="D24" s="192" t="s">
        <v>175</v>
      </c>
      <c r="E24" s="193" t="s">
        <v>176</v>
      </c>
      <c r="F24" s="190" t="s">
        <v>177</v>
      </c>
      <c r="G24" s="189" t="s">
        <v>178</v>
      </c>
    </row>
    <row r="25" spans="1:9" x14ac:dyDescent="0.25">
      <c r="B25" s="189"/>
      <c r="C25" s="189"/>
      <c r="D25" s="192"/>
      <c r="E25" s="193"/>
      <c r="F25" s="190"/>
      <c r="G25" s="189"/>
    </row>
    <row r="26" spans="1:9" x14ac:dyDescent="0.25">
      <c r="B26" s="37" t="s">
        <v>179</v>
      </c>
      <c r="C26" s="38">
        <v>10</v>
      </c>
      <c r="D26" s="38">
        <v>1</v>
      </c>
      <c r="E26" s="39"/>
      <c r="F26" s="40">
        <f>((E26/D26)*0.05)*100</f>
        <v>0</v>
      </c>
      <c r="G26" s="40">
        <f t="shared" ref="G26:G37" si="0">((E26/D26)*(C26/100))*100</f>
        <v>0</v>
      </c>
    </row>
    <row r="27" spans="1:9" x14ac:dyDescent="0.25">
      <c r="B27" s="37" t="s">
        <v>180</v>
      </c>
      <c r="C27" s="39">
        <v>10</v>
      </c>
      <c r="D27" s="39">
        <v>1</v>
      </c>
      <c r="E27" s="39"/>
      <c r="F27" s="40">
        <f>((E27/D27)*0.05)*100</f>
        <v>0</v>
      </c>
      <c r="G27" s="40">
        <f t="shared" si="0"/>
        <v>0</v>
      </c>
    </row>
    <row r="28" spans="1:9" x14ac:dyDescent="0.25">
      <c r="B28" s="37" t="s">
        <v>181</v>
      </c>
      <c r="C28" s="39">
        <v>15</v>
      </c>
      <c r="D28" s="39">
        <v>1</v>
      </c>
      <c r="E28" s="39"/>
      <c r="F28" s="40">
        <f>((E28/D28)*0.15)*100</f>
        <v>0</v>
      </c>
      <c r="G28" s="40">
        <f t="shared" si="0"/>
        <v>0</v>
      </c>
    </row>
    <row r="29" spans="1:9" x14ac:dyDescent="0.25">
      <c r="B29" s="41" t="s">
        <v>182</v>
      </c>
      <c r="C29" s="39">
        <v>25</v>
      </c>
      <c r="D29" s="39">
        <v>40</v>
      </c>
      <c r="E29" s="39"/>
      <c r="F29" s="40">
        <f>((E29/D29)*0.25)*100</f>
        <v>0</v>
      </c>
      <c r="G29" s="40">
        <f t="shared" si="0"/>
        <v>0</v>
      </c>
    </row>
    <row r="30" spans="1:9" x14ac:dyDescent="0.25">
      <c r="B30" s="41" t="s">
        <v>183</v>
      </c>
      <c r="C30" s="39">
        <v>5</v>
      </c>
      <c r="D30" s="39">
        <v>39</v>
      </c>
      <c r="E30" s="39"/>
      <c r="F30" s="40">
        <f>((E30/D30)*0.05)*100</f>
        <v>0</v>
      </c>
      <c r="G30" s="40">
        <f t="shared" si="0"/>
        <v>0</v>
      </c>
    </row>
    <row r="31" spans="1:9" ht="30" x14ac:dyDescent="0.25">
      <c r="B31" s="41" t="s">
        <v>184</v>
      </c>
      <c r="C31" s="39">
        <v>2.5</v>
      </c>
      <c r="D31" s="39">
        <v>39</v>
      </c>
      <c r="E31" s="39"/>
      <c r="F31" s="40">
        <f>((E31/D31)*0.025)*100</f>
        <v>0</v>
      </c>
      <c r="G31" s="40">
        <f t="shared" si="0"/>
        <v>0</v>
      </c>
    </row>
    <row r="32" spans="1:9" ht="30" x14ac:dyDescent="0.25">
      <c r="B32" s="41" t="s">
        <v>185</v>
      </c>
      <c r="C32" s="39">
        <v>2.5</v>
      </c>
      <c r="D32" s="39">
        <v>39</v>
      </c>
      <c r="E32" s="39"/>
      <c r="F32" s="40">
        <f>((E32/D32)*0.025)*100</f>
        <v>0</v>
      </c>
      <c r="G32" s="40">
        <f t="shared" si="0"/>
        <v>0</v>
      </c>
    </row>
    <row r="33" spans="1:7" ht="45" x14ac:dyDescent="0.25">
      <c r="B33" s="42" t="s">
        <v>186</v>
      </c>
      <c r="C33" s="39">
        <v>5</v>
      </c>
      <c r="D33" s="39">
        <v>39</v>
      </c>
      <c r="E33" s="39"/>
      <c r="F33" s="40">
        <f>((E33/D33)*0.05)*100</f>
        <v>0</v>
      </c>
      <c r="G33" s="40">
        <f t="shared" si="0"/>
        <v>0</v>
      </c>
    </row>
    <row r="34" spans="1:7" ht="30" x14ac:dyDescent="0.25">
      <c r="B34" s="42" t="s">
        <v>187</v>
      </c>
      <c r="C34" s="39">
        <v>5</v>
      </c>
      <c r="D34" s="39">
        <v>39</v>
      </c>
      <c r="E34" s="39"/>
      <c r="F34" s="40">
        <f>((E34/D34)*0.1)*100</f>
        <v>0</v>
      </c>
      <c r="G34" s="40">
        <f t="shared" si="0"/>
        <v>0</v>
      </c>
    </row>
    <row r="35" spans="1:7" ht="30" x14ac:dyDescent="0.25">
      <c r="B35" s="42" t="s">
        <v>188</v>
      </c>
      <c r="C35" s="39">
        <v>5</v>
      </c>
      <c r="D35" s="39">
        <v>39</v>
      </c>
      <c r="E35" s="39"/>
      <c r="F35" s="40">
        <f>((E35/D35)*0.05)*100</f>
        <v>0</v>
      </c>
      <c r="G35" s="40">
        <f t="shared" si="0"/>
        <v>0</v>
      </c>
    </row>
    <row r="36" spans="1:7" ht="60" x14ac:dyDescent="0.25">
      <c r="B36" s="42" t="s">
        <v>189</v>
      </c>
      <c r="C36" s="39">
        <v>10</v>
      </c>
      <c r="D36" s="39">
        <v>39</v>
      </c>
      <c r="E36" s="39"/>
      <c r="F36" s="40">
        <f>((E36/D36)*0.1)*100</f>
        <v>0</v>
      </c>
      <c r="G36" s="40">
        <f t="shared" si="0"/>
        <v>0</v>
      </c>
    </row>
    <row r="37" spans="1:7" ht="45" x14ac:dyDescent="0.25">
      <c r="B37" s="42" t="s">
        <v>190</v>
      </c>
      <c r="C37" s="39">
        <v>5</v>
      </c>
      <c r="D37" s="39">
        <v>39</v>
      </c>
      <c r="E37" s="39"/>
      <c r="F37" s="40">
        <f>((E37/D37)*0.1)*100</f>
        <v>0</v>
      </c>
      <c r="G37" s="40">
        <f t="shared" si="0"/>
        <v>0</v>
      </c>
    </row>
    <row r="38" spans="1:7" ht="15.75" x14ac:dyDescent="0.25">
      <c r="B38" s="43" t="s">
        <v>191</v>
      </c>
      <c r="C38" s="44">
        <f>SUM(C26:C37)</f>
        <v>100</v>
      </c>
      <c r="D38" s="43"/>
      <c r="E38" s="43"/>
      <c r="F38" s="44">
        <f>SUM(F26:F37)</f>
        <v>0</v>
      </c>
      <c r="G38" s="44">
        <f>SUM(G26:G37)</f>
        <v>0</v>
      </c>
    </row>
    <row r="39" spans="1:7" x14ac:dyDescent="0.25">
      <c r="B39" s="190" t="s">
        <v>192</v>
      </c>
      <c r="C39" s="190"/>
      <c r="D39" s="190"/>
      <c r="E39" s="190"/>
      <c r="F39" s="190"/>
      <c r="G39" s="190"/>
    </row>
    <row r="40" spans="1:7" x14ac:dyDescent="0.25">
      <c r="B40" s="191" t="s">
        <v>193</v>
      </c>
      <c r="C40" s="191"/>
      <c r="D40" s="191"/>
      <c r="E40" s="191" t="s">
        <v>194</v>
      </c>
      <c r="F40" s="191"/>
      <c r="G40" s="191"/>
    </row>
    <row r="41" spans="1:7" x14ac:dyDescent="0.25">
      <c r="B41" s="187" t="s">
        <v>195</v>
      </c>
      <c r="C41" s="187"/>
      <c r="D41" s="187"/>
      <c r="E41" s="187" t="s">
        <v>196</v>
      </c>
      <c r="F41" s="187"/>
      <c r="G41" s="187"/>
    </row>
    <row r="42" spans="1:7" x14ac:dyDescent="0.25">
      <c r="B42" s="187" t="s">
        <v>197</v>
      </c>
      <c r="C42" s="187"/>
      <c r="D42" s="187"/>
      <c r="E42" s="187" t="s">
        <v>198</v>
      </c>
      <c r="F42" s="187"/>
      <c r="G42" s="187"/>
    </row>
    <row r="43" spans="1:7" x14ac:dyDescent="0.25">
      <c r="B43" s="188" t="s">
        <v>199</v>
      </c>
      <c r="C43" s="188"/>
      <c r="D43" s="188"/>
      <c r="E43" s="188" t="s">
        <v>200</v>
      </c>
      <c r="F43" s="188"/>
      <c r="G43" s="188"/>
    </row>
    <row r="45" spans="1:7" ht="15.75" thickBot="1" x14ac:dyDescent="0.3"/>
    <row r="46" spans="1:7" ht="17.25" thickTop="1" thickBot="1" x14ac:dyDescent="0.3">
      <c r="A46" s="45" t="s">
        <v>201</v>
      </c>
      <c r="B46" s="45" t="s">
        <v>173</v>
      </c>
      <c r="C46" s="46" t="s">
        <v>202</v>
      </c>
      <c r="D46" s="46" t="s">
        <v>203</v>
      </c>
      <c r="E46" s="46" t="s">
        <v>204</v>
      </c>
    </row>
    <row r="47" spans="1:7" ht="31.5" thickTop="1" thickBot="1" x14ac:dyDescent="0.3">
      <c r="A47" s="47">
        <v>1</v>
      </c>
      <c r="B47" s="48" t="s">
        <v>205</v>
      </c>
      <c r="C47" s="49">
        <v>0</v>
      </c>
      <c r="D47" s="50">
        <v>0.1</v>
      </c>
      <c r="E47" s="49">
        <v>0.1</v>
      </c>
    </row>
    <row r="48" spans="1:7" ht="31.5" thickTop="1" thickBot="1" x14ac:dyDescent="0.3">
      <c r="A48" s="47">
        <v>2</v>
      </c>
      <c r="B48" s="48" t="s">
        <v>206</v>
      </c>
      <c r="C48" s="49" t="s">
        <v>207</v>
      </c>
      <c r="D48" s="50" t="s">
        <v>208</v>
      </c>
      <c r="E48" s="49">
        <v>0.3</v>
      </c>
    </row>
    <row r="49" spans="1:5" ht="61.5" thickTop="1" thickBot="1" x14ac:dyDescent="0.3">
      <c r="A49" s="47">
        <v>3</v>
      </c>
      <c r="B49" s="48" t="s">
        <v>209</v>
      </c>
      <c r="C49" s="49" t="s">
        <v>210</v>
      </c>
      <c r="D49" s="50" t="s">
        <v>211</v>
      </c>
      <c r="E49" s="49">
        <v>0.45</v>
      </c>
    </row>
    <row r="50" spans="1:5" ht="76.5" thickTop="1" thickBot="1" x14ac:dyDescent="0.3">
      <c r="A50" s="47">
        <v>4</v>
      </c>
      <c r="B50" s="48" t="s">
        <v>212</v>
      </c>
      <c r="C50" s="49" t="s">
        <v>213</v>
      </c>
      <c r="D50" s="50" t="s">
        <v>214</v>
      </c>
      <c r="E50" s="49">
        <v>0.7</v>
      </c>
    </row>
    <row r="51" spans="1:5" ht="76.5" thickTop="1" thickBot="1" x14ac:dyDescent="0.3">
      <c r="A51" s="47">
        <v>5</v>
      </c>
      <c r="B51" s="48" t="s">
        <v>215</v>
      </c>
      <c r="C51" s="49" t="s">
        <v>216</v>
      </c>
      <c r="D51" s="50" t="s">
        <v>217</v>
      </c>
      <c r="E51" s="49">
        <v>0.75</v>
      </c>
    </row>
    <row r="52" spans="1:5" ht="76.5" thickTop="1" thickBot="1" x14ac:dyDescent="0.3">
      <c r="A52" s="47">
        <v>6</v>
      </c>
      <c r="B52" s="48" t="s">
        <v>218</v>
      </c>
      <c r="C52" s="49" t="s">
        <v>219</v>
      </c>
      <c r="D52" s="50" t="s">
        <v>220</v>
      </c>
      <c r="E52" s="49">
        <v>0.8</v>
      </c>
    </row>
    <row r="53" spans="1:5" ht="121.5" thickTop="1" thickBot="1" x14ac:dyDescent="0.3">
      <c r="A53" s="47">
        <v>7</v>
      </c>
      <c r="B53" s="48" t="s">
        <v>221</v>
      </c>
      <c r="C53" s="49" t="s">
        <v>222</v>
      </c>
      <c r="D53" s="50" t="s">
        <v>223</v>
      </c>
      <c r="E53" s="49">
        <v>0.85</v>
      </c>
    </row>
    <row r="54" spans="1:5" ht="211.5" thickTop="1" thickBot="1" x14ac:dyDescent="0.3">
      <c r="A54" s="47">
        <v>8</v>
      </c>
      <c r="B54" s="48" t="s">
        <v>224</v>
      </c>
      <c r="C54" s="49" t="s">
        <v>225</v>
      </c>
      <c r="D54" s="50" t="s">
        <v>226</v>
      </c>
      <c r="E54" s="49">
        <v>0.95</v>
      </c>
    </row>
    <row r="55" spans="1:5" ht="91.5" thickTop="1" thickBot="1" x14ac:dyDescent="0.3">
      <c r="A55" s="47">
        <v>9</v>
      </c>
      <c r="B55" s="48" t="s">
        <v>227</v>
      </c>
      <c r="C55" s="49" t="s">
        <v>228</v>
      </c>
      <c r="D55" s="50" t="s">
        <v>229</v>
      </c>
      <c r="E55" s="49">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7" t="s">
        <v>249</v>
      </c>
    </row>
    <row r="3" spans="2:3" x14ac:dyDescent="0.25">
      <c r="B3" s="39">
        <v>2</v>
      </c>
      <c r="C3" s="58" t="s">
        <v>250</v>
      </c>
    </row>
    <row r="4" spans="2:3" x14ac:dyDescent="0.25">
      <c r="B4" s="39">
        <v>3</v>
      </c>
      <c r="C4" s="39" t="s">
        <v>251</v>
      </c>
    </row>
    <row r="5" spans="2:3" x14ac:dyDescent="0.25">
      <c r="B5" s="39">
        <v>4</v>
      </c>
      <c r="C5" s="58" t="s">
        <v>252</v>
      </c>
    </row>
    <row r="6" spans="2:3" x14ac:dyDescent="0.25">
      <c r="B6" s="39">
        <v>5</v>
      </c>
      <c r="C6" s="39" t="s">
        <v>253</v>
      </c>
    </row>
    <row r="7" spans="2:3" ht="30" x14ac:dyDescent="0.25">
      <c r="B7" s="39">
        <v>6</v>
      </c>
      <c r="C7" s="58" t="s">
        <v>254</v>
      </c>
    </row>
    <row r="8" spans="2:3" ht="75" x14ac:dyDescent="0.25">
      <c r="B8" s="39">
        <v>7</v>
      </c>
      <c r="C8" s="58" t="s">
        <v>255</v>
      </c>
    </row>
    <row r="9" spans="2:3" x14ac:dyDescent="0.25">
      <c r="B9" s="39">
        <v>8</v>
      </c>
      <c r="C9" s="39" t="s">
        <v>256</v>
      </c>
    </row>
    <row r="10" spans="2:3" x14ac:dyDescent="0.25">
      <c r="B10" s="39">
        <v>9</v>
      </c>
      <c r="C10" s="39" t="s">
        <v>257</v>
      </c>
    </row>
    <row r="11" spans="2:3" x14ac:dyDescent="0.25">
      <c r="B11" s="39">
        <v>10</v>
      </c>
      <c r="C11" s="39" t="s">
        <v>258</v>
      </c>
    </row>
    <row r="12" spans="2:3" x14ac:dyDescent="0.25">
      <c r="B12" s="39">
        <v>11</v>
      </c>
      <c r="C12" s="39" t="s">
        <v>259</v>
      </c>
    </row>
    <row r="13" spans="2:3" x14ac:dyDescent="0.25">
      <c r="B13" s="39">
        <v>12</v>
      </c>
      <c r="C13" s="39" t="s">
        <v>260</v>
      </c>
    </row>
    <row r="14" spans="2:3" x14ac:dyDescent="0.25">
      <c r="B14" s="39">
        <v>13</v>
      </c>
      <c r="C14" s="39" t="s">
        <v>261</v>
      </c>
    </row>
    <row r="15" spans="2:3" x14ac:dyDescent="0.25">
      <c r="B15" s="39">
        <v>14</v>
      </c>
      <c r="C15" s="39" t="s">
        <v>251</v>
      </c>
    </row>
    <row r="16" spans="2:3" x14ac:dyDescent="0.25">
      <c r="B16" s="39">
        <v>15</v>
      </c>
      <c r="C16" s="39" t="s">
        <v>243</v>
      </c>
    </row>
    <row r="17" spans="2:3" x14ac:dyDescent="0.25">
      <c r="B17" s="59">
        <v>16</v>
      </c>
      <c r="C17" s="60" t="s">
        <v>262</v>
      </c>
    </row>
    <row r="18" spans="2:3" x14ac:dyDescent="0.25">
      <c r="B18" s="61">
        <v>17</v>
      </c>
      <c r="C18" s="60" t="s">
        <v>263</v>
      </c>
    </row>
    <row r="19" spans="2:3" x14ac:dyDescent="0.25">
      <c r="B19" s="62">
        <v>18</v>
      </c>
      <c r="C19" s="39" t="s">
        <v>264</v>
      </c>
    </row>
    <row r="20" spans="2:3" x14ac:dyDescent="0.25">
      <c r="B20" s="61">
        <v>19</v>
      </c>
      <c r="C20" s="39" t="s">
        <v>265</v>
      </c>
    </row>
    <row r="21" spans="2:3" x14ac:dyDescent="0.25">
      <c r="B21" s="39">
        <v>20</v>
      </c>
      <c r="C21" s="39" t="s">
        <v>266</v>
      </c>
    </row>
    <row r="22" spans="2:3" x14ac:dyDescent="0.25">
      <c r="B22" s="61">
        <v>21</v>
      </c>
      <c r="C22" s="39" t="s">
        <v>264</v>
      </c>
    </row>
    <row r="23" spans="2:3" s="64" customFormat="1" ht="30" x14ac:dyDescent="0.25">
      <c r="B23" s="63">
        <v>22</v>
      </c>
      <c r="C23" s="57" t="s">
        <v>267</v>
      </c>
    </row>
    <row r="24" spans="2:3" s="64" customFormat="1" ht="30" x14ac:dyDescent="0.25">
      <c r="B24" s="65">
        <v>23</v>
      </c>
      <c r="C24" s="57" t="s">
        <v>268</v>
      </c>
    </row>
    <row r="25" spans="2:3" x14ac:dyDescent="0.25">
      <c r="B25" s="39">
        <v>24</v>
      </c>
      <c r="C25" s="39" t="s">
        <v>269</v>
      </c>
    </row>
    <row r="26" spans="2:3" x14ac:dyDescent="0.25">
      <c r="B26" s="61">
        <v>25</v>
      </c>
      <c r="C26" s="39" t="s">
        <v>270</v>
      </c>
    </row>
    <row r="27" spans="2:3" x14ac:dyDescent="0.25">
      <c r="B27" s="65">
        <v>26</v>
      </c>
      <c r="C27" s="39" t="s">
        <v>271</v>
      </c>
    </row>
    <row r="28" spans="2:3" x14ac:dyDescent="0.25">
      <c r="B28" s="61">
        <v>27</v>
      </c>
      <c r="C28" s="39" t="s">
        <v>272</v>
      </c>
    </row>
    <row r="29" spans="2:3" ht="60" x14ac:dyDescent="0.25">
      <c r="B29" s="66">
        <v>28</v>
      </c>
      <c r="C29" s="58" t="s">
        <v>273</v>
      </c>
    </row>
    <row r="30" spans="2:3" x14ac:dyDescent="0.25">
      <c r="B30" s="65">
        <v>29</v>
      </c>
      <c r="C30" s="39" t="s">
        <v>274</v>
      </c>
    </row>
    <row r="31" spans="2:3" ht="30" x14ac:dyDescent="0.25">
      <c r="B31" s="65">
        <v>30</v>
      </c>
      <c r="C31" s="58" t="s">
        <v>302</v>
      </c>
    </row>
    <row r="32" spans="2:3" x14ac:dyDescent="0.25">
      <c r="B32" s="65">
        <v>31</v>
      </c>
      <c r="C32" s="39" t="s">
        <v>303</v>
      </c>
    </row>
    <row r="33" spans="2:3" x14ac:dyDescent="0.25">
      <c r="B33" s="65">
        <v>32</v>
      </c>
      <c r="C33" s="39" t="s">
        <v>304</v>
      </c>
    </row>
    <row r="34" spans="2:3" ht="30" x14ac:dyDescent="0.25">
      <c r="B34" s="65">
        <v>33</v>
      </c>
      <c r="C34" s="60" t="s">
        <v>305</v>
      </c>
    </row>
    <row r="35" spans="2:3" x14ac:dyDescent="0.25">
      <c r="B35" s="65">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7"/>
    <col min="2" max="2" width="12.28515625" style="67" customWidth="1"/>
    <col min="3" max="16384" width="9.140625" style="67"/>
  </cols>
  <sheetData>
    <row r="2" spans="1:12" x14ac:dyDescent="0.25">
      <c r="B2" s="68" t="s">
        <v>275</v>
      </c>
      <c r="C2" s="198"/>
      <c r="D2" s="198"/>
    </row>
    <row r="3" spans="1:12" x14ac:dyDescent="0.25">
      <c r="D3" s="69"/>
      <c r="E3" s="69"/>
      <c r="F3" s="69"/>
      <c r="G3" s="69"/>
      <c r="H3" s="69"/>
      <c r="I3" s="69"/>
    </row>
    <row r="4" spans="1:12" x14ac:dyDescent="0.25">
      <c r="A4" s="68" t="s">
        <v>276</v>
      </c>
      <c r="B4" s="56" t="s">
        <v>277</v>
      </c>
      <c r="C4" s="199" t="s">
        <v>278</v>
      </c>
      <c r="D4" s="199"/>
      <c r="E4" s="199"/>
      <c r="F4" s="56"/>
      <c r="G4" s="200" t="s">
        <v>279</v>
      </c>
      <c r="H4" s="200"/>
      <c r="I4" s="200"/>
      <c r="J4" s="201" t="s">
        <v>280</v>
      </c>
      <c r="K4" s="201"/>
      <c r="L4" s="201"/>
    </row>
    <row r="5" spans="1:12" x14ac:dyDescent="0.25">
      <c r="A5" s="68"/>
      <c r="B5" s="56"/>
      <c r="C5" s="56" t="s">
        <v>281</v>
      </c>
      <c r="D5" s="56" t="s">
        <v>282</v>
      </c>
      <c r="E5" s="56" t="s">
        <v>283</v>
      </c>
      <c r="F5" s="56"/>
      <c r="G5" s="56" t="s">
        <v>281</v>
      </c>
      <c r="H5" s="56" t="s">
        <v>282</v>
      </c>
      <c r="I5" s="56" t="s">
        <v>283</v>
      </c>
      <c r="J5" s="56" t="s">
        <v>281</v>
      </c>
      <c r="K5" s="56" t="s">
        <v>282</v>
      </c>
      <c r="L5" s="56" t="s">
        <v>283</v>
      </c>
    </row>
    <row r="6" spans="1:12" x14ac:dyDescent="0.25">
      <c r="B6" s="55" t="s">
        <v>284</v>
      </c>
      <c r="C6" s="55"/>
      <c r="D6" s="55"/>
      <c r="E6" s="55">
        <f>C6*D6</f>
        <v>0</v>
      </c>
      <c r="F6" s="55" t="s">
        <v>285</v>
      </c>
      <c r="G6" s="55"/>
      <c r="H6" s="55"/>
      <c r="I6" s="55">
        <f>G6*H6</f>
        <v>0</v>
      </c>
      <c r="J6" s="55"/>
      <c r="K6" s="55"/>
      <c r="L6" s="55">
        <f>J6*K6</f>
        <v>0</v>
      </c>
    </row>
    <row r="7" spans="1:12" x14ac:dyDescent="0.25">
      <c r="B7" s="55"/>
      <c r="C7" s="55"/>
      <c r="D7" s="55"/>
      <c r="E7" s="55">
        <f t="shared" ref="E7:E41" si="0">C7*D7</f>
        <v>0</v>
      </c>
      <c r="F7" s="55" t="s">
        <v>285</v>
      </c>
      <c r="G7" s="55"/>
      <c r="H7" s="55"/>
      <c r="I7" s="55">
        <f t="shared" ref="I7:I35" si="1">G7*H7</f>
        <v>0</v>
      </c>
      <c r="J7" s="55"/>
      <c r="K7" s="55"/>
      <c r="L7" s="55">
        <f t="shared" ref="L7:L35" si="2">J7*K7</f>
        <v>0</v>
      </c>
    </row>
    <row r="8" spans="1:12" x14ac:dyDescent="0.25">
      <c r="B8" s="55"/>
      <c r="C8" s="55"/>
      <c r="D8" s="55"/>
      <c r="E8" s="55">
        <f t="shared" si="0"/>
        <v>0</v>
      </c>
      <c r="F8" s="55"/>
      <c r="G8" s="55"/>
      <c r="H8" s="55"/>
      <c r="I8" s="55">
        <f t="shared" si="1"/>
        <v>0</v>
      </c>
      <c r="J8" s="55"/>
      <c r="K8" s="55"/>
      <c r="L8" s="55">
        <f t="shared" si="2"/>
        <v>0</v>
      </c>
    </row>
    <row r="9" spans="1:12" x14ac:dyDescent="0.25">
      <c r="B9" s="55"/>
      <c r="C9" s="55"/>
      <c r="D9" s="55"/>
      <c r="E9" s="55">
        <f t="shared" si="0"/>
        <v>0</v>
      </c>
      <c r="F9" s="55" t="s">
        <v>286</v>
      </c>
      <c r="G9" s="55"/>
      <c r="H9" s="55"/>
      <c r="I9" s="55">
        <f t="shared" si="1"/>
        <v>0</v>
      </c>
      <c r="J9" s="55"/>
      <c r="K9" s="55"/>
      <c r="L9" s="55">
        <f t="shared" si="2"/>
        <v>0</v>
      </c>
    </row>
    <row r="10" spans="1:12" x14ac:dyDescent="0.25">
      <c r="B10" s="55" t="s">
        <v>287</v>
      </c>
      <c r="C10" s="55"/>
      <c r="D10" s="55"/>
      <c r="E10" s="55">
        <f t="shared" si="0"/>
        <v>0</v>
      </c>
      <c r="F10" s="55" t="s">
        <v>286</v>
      </c>
      <c r="G10" s="55"/>
      <c r="H10" s="55"/>
      <c r="I10" s="55">
        <f t="shared" si="1"/>
        <v>0</v>
      </c>
      <c r="J10" s="55"/>
      <c r="K10" s="55"/>
      <c r="L10" s="55">
        <f t="shared" si="2"/>
        <v>0</v>
      </c>
    </row>
    <row r="11" spans="1:12" x14ac:dyDescent="0.25">
      <c r="B11" s="55"/>
      <c r="C11" s="55"/>
      <c r="D11" s="55"/>
      <c r="E11" s="55">
        <f t="shared" si="0"/>
        <v>0</v>
      </c>
      <c r="F11" s="55" t="s">
        <v>288</v>
      </c>
      <c r="G11" s="55"/>
      <c r="H11" s="55"/>
      <c r="I11" s="55">
        <f t="shared" si="1"/>
        <v>0</v>
      </c>
      <c r="J11" s="55"/>
      <c r="K11" s="55"/>
      <c r="L11" s="55">
        <f t="shared" si="2"/>
        <v>0</v>
      </c>
    </row>
    <row r="12" spans="1:12" x14ac:dyDescent="0.25">
      <c r="B12" s="55"/>
      <c r="C12" s="55"/>
      <c r="D12" s="55"/>
      <c r="E12" s="55">
        <f t="shared" si="0"/>
        <v>0</v>
      </c>
      <c r="F12" s="55"/>
      <c r="G12" s="55"/>
      <c r="H12" s="55"/>
      <c r="I12" s="55">
        <f t="shared" si="1"/>
        <v>0</v>
      </c>
      <c r="J12" s="55"/>
      <c r="K12" s="55"/>
      <c r="L12" s="55">
        <f t="shared" si="2"/>
        <v>0</v>
      </c>
    </row>
    <row r="13" spans="1:12" x14ac:dyDescent="0.25">
      <c r="B13" s="55"/>
      <c r="C13" s="55"/>
      <c r="D13" s="55"/>
      <c r="E13" s="55">
        <f t="shared" si="0"/>
        <v>0</v>
      </c>
      <c r="F13" s="55"/>
      <c r="G13" s="55"/>
      <c r="H13" s="55"/>
      <c r="I13" s="55">
        <f t="shared" si="1"/>
        <v>0</v>
      </c>
      <c r="J13" s="55"/>
      <c r="K13" s="55"/>
      <c r="L13" s="55">
        <f t="shared" si="2"/>
        <v>0</v>
      </c>
    </row>
    <row r="14" spans="1:12" x14ac:dyDescent="0.25">
      <c r="B14" s="55" t="s">
        <v>289</v>
      </c>
      <c r="C14" s="55"/>
      <c r="D14" s="55"/>
      <c r="E14" s="55">
        <f t="shared" si="0"/>
        <v>0</v>
      </c>
      <c r="F14" s="55" t="s">
        <v>286</v>
      </c>
      <c r="G14" s="55"/>
      <c r="H14" s="55"/>
      <c r="I14" s="55">
        <f t="shared" si="1"/>
        <v>0</v>
      </c>
      <c r="J14" s="55"/>
      <c r="K14" s="55"/>
      <c r="L14" s="55">
        <f t="shared" si="2"/>
        <v>0</v>
      </c>
    </row>
    <row r="15" spans="1:12" x14ac:dyDescent="0.25">
      <c r="B15" s="55"/>
      <c r="C15" s="55"/>
      <c r="D15" s="55"/>
      <c r="E15" s="55">
        <f t="shared" si="0"/>
        <v>0</v>
      </c>
      <c r="F15" s="55" t="s">
        <v>288</v>
      </c>
      <c r="G15" s="55"/>
      <c r="H15" s="55"/>
      <c r="I15" s="55">
        <f t="shared" si="1"/>
        <v>0</v>
      </c>
      <c r="J15" s="55"/>
      <c r="K15" s="55"/>
      <c r="L15" s="55">
        <f t="shared" si="2"/>
        <v>0</v>
      </c>
    </row>
    <row r="16" spans="1:12" x14ac:dyDescent="0.25">
      <c r="B16" s="55"/>
      <c r="C16" s="55"/>
      <c r="D16" s="55"/>
      <c r="E16" s="55">
        <f t="shared" si="0"/>
        <v>0</v>
      </c>
      <c r="F16" s="55"/>
      <c r="G16" s="55"/>
      <c r="H16" s="55"/>
      <c r="I16" s="55">
        <f t="shared" si="1"/>
        <v>0</v>
      </c>
      <c r="J16" s="55"/>
      <c r="K16" s="55"/>
      <c r="L16" s="55">
        <f t="shared" si="2"/>
        <v>0</v>
      </c>
    </row>
    <row r="17" spans="2:12" x14ac:dyDescent="0.25">
      <c r="B17" s="55"/>
      <c r="C17" s="55"/>
      <c r="D17" s="55"/>
      <c r="E17" s="55">
        <f t="shared" si="0"/>
        <v>0</v>
      </c>
      <c r="F17" s="55"/>
      <c r="G17" s="55"/>
      <c r="H17" s="55"/>
      <c r="I17" s="55">
        <f t="shared" si="1"/>
        <v>0</v>
      </c>
      <c r="J17" s="55"/>
      <c r="K17" s="55"/>
      <c r="L17" s="55">
        <f t="shared" si="2"/>
        <v>0</v>
      </c>
    </row>
    <row r="18" spans="2:12" x14ac:dyDescent="0.25">
      <c r="B18" s="55" t="s">
        <v>290</v>
      </c>
      <c r="C18" s="55"/>
      <c r="D18" s="55"/>
      <c r="E18" s="55">
        <f t="shared" si="0"/>
        <v>0</v>
      </c>
      <c r="F18" s="55" t="s">
        <v>286</v>
      </c>
      <c r="G18" s="55"/>
      <c r="H18" s="55"/>
      <c r="I18" s="55">
        <f t="shared" si="1"/>
        <v>0</v>
      </c>
      <c r="J18" s="55"/>
      <c r="K18" s="55"/>
      <c r="L18" s="55">
        <f t="shared" si="2"/>
        <v>0</v>
      </c>
    </row>
    <row r="19" spans="2:12" x14ac:dyDescent="0.25">
      <c r="B19" s="55"/>
      <c r="C19" s="55"/>
      <c r="D19" s="55"/>
      <c r="E19" s="55">
        <f t="shared" si="0"/>
        <v>0</v>
      </c>
      <c r="F19" s="55" t="s">
        <v>288</v>
      </c>
      <c r="G19" s="55"/>
      <c r="H19" s="55"/>
      <c r="I19" s="55">
        <f t="shared" si="1"/>
        <v>0</v>
      </c>
      <c r="J19" s="55"/>
      <c r="K19" s="55"/>
      <c r="L19" s="55">
        <f t="shared" si="2"/>
        <v>0</v>
      </c>
    </row>
    <row r="20" spans="2:12" x14ac:dyDescent="0.25">
      <c r="B20" s="55"/>
      <c r="C20" s="55"/>
      <c r="D20" s="55"/>
      <c r="E20" s="55">
        <f t="shared" si="0"/>
        <v>0</v>
      </c>
      <c r="F20" s="55"/>
      <c r="G20" s="55"/>
      <c r="H20" s="55"/>
      <c r="I20" s="55">
        <f t="shared" si="1"/>
        <v>0</v>
      </c>
      <c r="J20" s="55"/>
      <c r="K20" s="55"/>
      <c r="L20" s="55">
        <f t="shared" si="2"/>
        <v>0</v>
      </c>
    </row>
    <row r="21" spans="2:12" x14ac:dyDescent="0.25">
      <c r="B21" s="55" t="s">
        <v>291</v>
      </c>
      <c r="C21" s="55"/>
      <c r="D21" s="55"/>
      <c r="E21" s="55">
        <f t="shared" si="0"/>
        <v>0</v>
      </c>
      <c r="F21" s="55" t="s">
        <v>286</v>
      </c>
      <c r="G21" s="55"/>
      <c r="H21" s="55"/>
      <c r="I21" s="55">
        <f t="shared" si="1"/>
        <v>0</v>
      </c>
      <c r="J21" s="55"/>
      <c r="K21" s="55"/>
      <c r="L21" s="55">
        <f t="shared" si="2"/>
        <v>0</v>
      </c>
    </row>
    <row r="22" spans="2:12" x14ac:dyDescent="0.25">
      <c r="B22" s="55"/>
      <c r="C22" s="55"/>
      <c r="D22" s="55"/>
      <c r="E22" s="55">
        <f t="shared" si="0"/>
        <v>0</v>
      </c>
      <c r="F22" s="55" t="s">
        <v>288</v>
      </c>
      <c r="G22" s="55"/>
      <c r="H22" s="55"/>
      <c r="I22" s="55">
        <f t="shared" si="1"/>
        <v>0</v>
      </c>
      <c r="J22" s="55"/>
      <c r="K22" s="55"/>
      <c r="L22" s="55">
        <f t="shared" si="2"/>
        <v>0</v>
      </c>
    </row>
    <row r="23" spans="2:12" x14ac:dyDescent="0.25">
      <c r="B23" s="55"/>
      <c r="C23" s="55"/>
      <c r="D23" s="55"/>
      <c r="E23" s="55">
        <f t="shared" si="0"/>
        <v>0</v>
      </c>
      <c r="F23" s="55"/>
      <c r="G23" s="55"/>
      <c r="H23" s="55"/>
      <c r="I23" s="55">
        <f t="shared" si="1"/>
        <v>0</v>
      </c>
      <c r="J23" s="55"/>
      <c r="K23" s="55"/>
      <c r="L23" s="55">
        <f t="shared" si="2"/>
        <v>0</v>
      </c>
    </row>
    <row r="24" spans="2:12" x14ac:dyDescent="0.25">
      <c r="B24" s="55" t="s">
        <v>292</v>
      </c>
      <c r="C24" s="55"/>
      <c r="D24" s="55"/>
      <c r="E24" s="55">
        <f t="shared" si="0"/>
        <v>0</v>
      </c>
      <c r="F24" s="55" t="s">
        <v>293</v>
      </c>
      <c r="G24" s="55"/>
      <c r="H24" s="55"/>
      <c r="I24" s="55">
        <f t="shared" si="1"/>
        <v>0</v>
      </c>
      <c r="J24" s="55"/>
      <c r="K24" s="55"/>
      <c r="L24" s="55">
        <f t="shared" si="2"/>
        <v>0</v>
      </c>
    </row>
    <row r="25" spans="2:12" x14ac:dyDescent="0.25">
      <c r="B25" s="55"/>
      <c r="C25" s="55"/>
      <c r="D25" s="55"/>
      <c r="E25" s="55">
        <f t="shared" si="0"/>
        <v>0</v>
      </c>
      <c r="F25" s="55" t="s">
        <v>293</v>
      </c>
      <c r="G25" s="55"/>
      <c r="H25" s="55"/>
      <c r="I25" s="55">
        <f t="shared" si="1"/>
        <v>0</v>
      </c>
      <c r="J25" s="55"/>
      <c r="K25" s="55"/>
      <c r="L25" s="55">
        <f t="shared" si="2"/>
        <v>0</v>
      </c>
    </row>
    <row r="26" spans="2:12" x14ac:dyDescent="0.25">
      <c r="B26" s="55"/>
      <c r="C26" s="55"/>
      <c r="D26" s="55"/>
      <c r="E26" s="55">
        <f t="shared" si="0"/>
        <v>0</v>
      </c>
      <c r="F26" s="55" t="s">
        <v>293</v>
      </c>
      <c r="G26" s="55"/>
      <c r="H26" s="55"/>
      <c r="I26" s="55">
        <f t="shared" si="1"/>
        <v>0</v>
      </c>
      <c r="J26" s="55"/>
      <c r="K26" s="55"/>
      <c r="L26" s="55">
        <f t="shared" si="2"/>
        <v>0</v>
      </c>
    </row>
    <row r="27" spans="2:12" x14ac:dyDescent="0.25">
      <c r="B27" s="55"/>
      <c r="C27" s="55"/>
      <c r="D27" s="55"/>
      <c r="E27" s="55">
        <f t="shared" si="0"/>
        <v>0</v>
      </c>
      <c r="F27" s="55" t="s">
        <v>293</v>
      </c>
      <c r="G27" s="55"/>
      <c r="H27" s="55"/>
      <c r="I27" s="55">
        <f t="shared" si="1"/>
        <v>0</v>
      </c>
      <c r="J27" s="55"/>
      <c r="K27" s="55"/>
      <c r="L27" s="55">
        <f t="shared" si="2"/>
        <v>0</v>
      </c>
    </row>
    <row r="28" spans="2:12" x14ac:dyDescent="0.25">
      <c r="B28" s="55" t="s">
        <v>294</v>
      </c>
      <c r="C28" s="55"/>
      <c r="D28" s="55"/>
      <c r="E28" s="55">
        <f t="shared" si="0"/>
        <v>0</v>
      </c>
      <c r="F28" s="55" t="s">
        <v>293</v>
      </c>
      <c r="G28" s="55"/>
      <c r="H28" s="55"/>
      <c r="I28" s="55">
        <f t="shared" si="1"/>
        <v>0</v>
      </c>
      <c r="J28" s="55"/>
      <c r="K28" s="55"/>
      <c r="L28" s="55">
        <f t="shared" si="2"/>
        <v>0</v>
      </c>
    </row>
    <row r="29" spans="2:12" x14ac:dyDescent="0.25">
      <c r="B29" s="55" t="s">
        <v>295</v>
      </c>
      <c r="C29" s="55"/>
      <c r="D29" s="55"/>
      <c r="E29" s="55">
        <f t="shared" si="0"/>
        <v>0</v>
      </c>
      <c r="F29" s="55" t="s">
        <v>293</v>
      </c>
      <c r="G29" s="55"/>
      <c r="H29" s="55"/>
      <c r="I29" s="55">
        <f t="shared" si="1"/>
        <v>0</v>
      </c>
      <c r="J29" s="55"/>
      <c r="K29" s="55"/>
      <c r="L29" s="55">
        <f t="shared" si="2"/>
        <v>0</v>
      </c>
    </row>
    <row r="30" spans="2:12" x14ac:dyDescent="0.25">
      <c r="B30" s="55" t="s">
        <v>296</v>
      </c>
      <c r="C30" s="55"/>
      <c r="D30" s="55"/>
      <c r="E30" s="55">
        <f t="shared" si="0"/>
        <v>0</v>
      </c>
      <c r="F30" s="55"/>
      <c r="G30" s="55"/>
      <c r="H30" s="55"/>
      <c r="I30" s="55">
        <f t="shared" si="1"/>
        <v>0</v>
      </c>
      <c r="J30" s="55"/>
      <c r="K30" s="55"/>
      <c r="L30" s="55">
        <f t="shared" si="2"/>
        <v>0</v>
      </c>
    </row>
    <row r="31" spans="2:12" x14ac:dyDescent="0.25">
      <c r="B31" s="55"/>
      <c r="C31" s="55"/>
      <c r="D31" s="55"/>
      <c r="E31" s="55">
        <f t="shared" si="0"/>
        <v>0</v>
      </c>
      <c r="F31" s="55"/>
      <c r="G31" s="55"/>
      <c r="H31" s="55"/>
      <c r="I31" s="55">
        <f t="shared" si="1"/>
        <v>0</v>
      </c>
      <c r="J31" s="55"/>
      <c r="K31" s="55"/>
      <c r="L31" s="55">
        <f t="shared" si="2"/>
        <v>0</v>
      </c>
    </row>
    <row r="32" spans="2:12" x14ac:dyDescent="0.25">
      <c r="B32" s="55"/>
      <c r="C32" s="55"/>
      <c r="D32" s="55"/>
      <c r="E32" s="55">
        <f t="shared" si="0"/>
        <v>0</v>
      </c>
      <c r="F32" s="55"/>
      <c r="G32" s="55"/>
      <c r="H32" s="55"/>
      <c r="I32" s="55">
        <f t="shared" si="1"/>
        <v>0</v>
      </c>
      <c r="J32" s="55"/>
      <c r="K32" s="55"/>
      <c r="L32" s="55">
        <f t="shared" si="2"/>
        <v>0</v>
      </c>
    </row>
    <row r="33" spans="2:12" x14ac:dyDescent="0.25">
      <c r="B33" s="55" t="s">
        <v>297</v>
      </c>
      <c r="C33" s="55"/>
      <c r="D33" s="55"/>
      <c r="E33" s="55">
        <f t="shared" si="0"/>
        <v>0</v>
      </c>
      <c r="F33" s="55"/>
      <c r="G33" s="55"/>
      <c r="H33" s="55"/>
      <c r="I33" s="55">
        <f t="shared" si="1"/>
        <v>0</v>
      </c>
      <c r="J33" s="55"/>
      <c r="K33" s="55"/>
      <c r="L33" s="55">
        <f t="shared" si="2"/>
        <v>0</v>
      </c>
    </row>
    <row r="34" spans="2:12" x14ac:dyDescent="0.25">
      <c r="B34" s="55" t="s">
        <v>298</v>
      </c>
      <c r="C34" s="55"/>
      <c r="D34" s="55"/>
      <c r="E34" s="55">
        <f t="shared" si="0"/>
        <v>0</v>
      </c>
      <c r="F34" s="55"/>
      <c r="G34" s="55"/>
      <c r="H34" s="55"/>
      <c r="I34" s="55">
        <f t="shared" si="1"/>
        <v>0</v>
      </c>
      <c r="J34" s="55"/>
      <c r="K34" s="55"/>
      <c r="L34" s="55">
        <f t="shared" si="2"/>
        <v>0</v>
      </c>
    </row>
    <row r="35" spans="2:12" x14ac:dyDescent="0.25">
      <c r="B35" s="55" t="s">
        <v>299</v>
      </c>
      <c r="C35" s="55"/>
      <c r="D35" s="55"/>
      <c r="E35" s="55">
        <f t="shared" si="0"/>
        <v>0</v>
      </c>
      <c r="F35" s="55"/>
      <c r="G35" s="55"/>
      <c r="H35" s="55"/>
      <c r="I35" s="55">
        <f t="shared" si="1"/>
        <v>0</v>
      </c>
      <c r="J35" s="55"/>
      <c r="K35" s="55"/>
      <c r="L35" s="55">
        <f t="shared" si="2"/>
        <v>0</v>
      </c>
    </row>
    <row r="36" spans="2:12" x14ac:dyDescent="0.25">
      <c r="B36" s="55" t="s">
        <v>300</v>
      </c>
      <c r="C36" s="55"/>
      <c r="D36" s="55"/>
      <c r="E36" s="55">
        <f t="shared" si="0"/>
        <v>0</v>
      </c>
      <c r="F36" s="55"/>
      <c r="G36" s="55"/>
      <c r="H36" s="55"/>
      <c r="I36" s="55">
        <f>G36*H36</f>
        <v>0</v>
      </c>
      <c r="J36" s="55"/>
      <c r="K36" s="55"/>
      <c r="L36" s="55">
        <f>J36*K36</f>
        <v>0</v>
      </c>
    </row>
    <row r="37" spans="2:12" x14ac:dyDescent="0.25">
      <c r="B37" s="55"/>
      <c r="C37" s="55"/>
      <c r="D37" s="55"/>
      <c r="E37" s="55">
        <f t="shared" si="0"/>
        <v>0</v>
      </c>
      <c r="F37" s="55"/>
      <c r="G37" s="55"/>
      <c r="H37" s="55"/>
      <c r="I37" s="55">
        <f t="shared" ref="I37:I38" si="3">G37*H37</f>
        <v>0</v>
      </c>
      <c r="J37" s="55"/>
      <c r="K37" s="55"/>
      <c r="L37" s="55">
        <f t="shared" ref="L37:L38" si="4">J37*K37</f>
        <v>0</v>
      </c>
    </row>
    <row r="38" spans="2:12" x14ac:dyDescent="0.25">
      <c r="B38" s="55" t="s">
        <v>301</v>
      </c>
      <c r="C38" s="55"/>
      <c r="D38" s="55"/>
      <c r="E38" s="55">
        <f t="shared" si="0"/>
        <v>0</v>
      </c>
      <c r="F38" s="55"/>
      <c r="G38" s="55"/>
      <c r="H38" s="55"/>
      <c r="I38" s="55">
        <f t="shared" si="3"/>
        <v>0</v>
      </c>
      <c r="J38" s="55"/>
      <c r="K38" s="55"/>
      <c r="L38" s="55">
        <f t="shared" si="4"/>
        <v>0</v>
      </c>
    </row>
    <row r="39" spans="2:12" x14ac:dyDescent="0.25">
      <c r="B39" s="55"/>
      <c r="C39" s="55"/>
      <c r="D39" s="55"/>
      <c r="E39" s="55">
        <f t="shared" si="0"/>
        <v>0</v>
      </c>
      <c r="F39" s="55"/>
      <c r="G39" s="55"/>
      <c r="H39" s="55"/>
      <c r="I39" s="55">
        <f>G39*H39</f>
        <v>0</v>
      </c>
      <c r="J39" s="55"/>
      <c r="K39" s="55"/>
      <c r="L39" s="55">
        <f>J39*K39</f>
        <v>0</v>
      </c>
    </row>
    <row r="40" spans="2:12" x14ac:dyDescent="0.25">
      <c r="B40" s="55"/>
      <c r="C40" s="55"/>
      <c r="D40" s="55"/>
      <c r="E40" s="55">
        <f t="shared" si="0"/>
        <v>0</v>
      </c>
      <c r="F40" s="55"/>
      <c r="G40" s="55"/>
      <c r="H40" s="55"/>
      <c r="I40" s="55">
        <f>G40*H40</f>
        <v>0</v>
      </c>
      <c r="J40" s="55"/>
      <c r="K40" s="55"/>
      <c r="L40" s="55">
        <f>J40*K40</f>
        <v>0</v>
      </c>
    </row>
    <row r="41" spans="2:12" x14ac:dyDescent="0.25">
      <c r="B41" s="55"/>
      <c r="C41" s="55"/>
      <c r="D41" s="55"/>
      <c r="E41" s="55">
        <f t="shared" si="0"/>
        <v>0</v>
      </c>
      <c r="F41" s="55"/>
      <c r="G41" s="55"/>
      <c r="H41" s="55"/>
      <c r="I41" s="55">
        <f>G41*H41</f>
        <v>0</v>
      </c>
      <c r="J41" s="55"/>
      <c r="K41" s="55"/>
      <c r="L41" s="55">
        <f>J41*K41</f>
        <v>0</v>
      </c>
    </row>
    <row r="42" spans="2:12" x14ac:dyDescent="0.25">
      <c r="B42" s="55" t="s">
        <v>156</v>
      </c>
      <c r="C42" s="55"/>
      <c r="D42" s="55">
        <f>E42*10.764</f>
        <v>0</v>
      </c>
      <c r="E42" s="70">
        <f>SUM(E6:E41)</f>
        <v>0</v>
      </c>
      <c r="F42" s="55"/>
      <c r="G42" s="55"/>
      <c r="H42" s="55">
        <f>I42*10.764</f>
        <v>0</v>
      </c>
      <c r="I42" s="71">
        <f>SUM(I6:I41)</f>
        <v>0</v>
      </c>
      <c r="J42" s="55"/>
      <c r="K42" s="55">
        <f>L42*10.764</f>
        <v>0</v>
      </c>
      <c r="L42" s="72">
        <f>SUM(L6:L41)</f>
        <v>0</v>
      </c>
    </row>
    <row r="44" spans="2:12" x14ac:dyDescent="0.25">
      <c r="D44" s="67">
        <f>D42+H42</f>
        <v>0</v>
      </c>
      <c r="E44" s="6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2025-10-03T05:35:22Z</cp:lastPrinted>
  <dcterms:created xsi:type="dcterms:W3CDTF">2010-11-23T11:42:48Z</dcterms:created>
  <dcterms:modified xsi:type="dcterms:W3CDTF">2025-10-03T05:35:23Z</dcterms:modified>
</cp:coreProperties>
</file>