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30-09-2025\"/>
    </mc:Choice>
  </mc:AlternateContent>
  <bookViews>
    <workbookView xWindow="0" yWindow="0" windowWidth="19200" windowHeight="6640" tabRatio="725"/>
  </bookViews>
  <sheets>
    <sheet name="Report" sheetId="1" r:id="rId1"/>
    <sheet name="Rera Carpet Area" sheetId="6" r:id="rId2"/>
    <sheet name="valuation" sheetId="5" r:id="rId3"/>
    <sheet name="Note" sheetId="4" r:id="rId4"/>
  </sheets>
  <definedNames>
    <definedName name="_xlnm.Print_Area" localSheetId="0">Report!$A$1:$H$475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133" i="1" l="1"/>
  <c r="C135" i="1" s="1"/>
  <c r="C119" i="1"/>
  <c r="C121" i="1" s="1"/>
  <c r="C91" i="1"/>
  <c r="C93" i="1" s="1"/>
  <c r="C134" i="1" l="1"/>
  <c r="C120" i="1"/>
  <c r="C92" i="1"/>
  <c r="D318" i="1"/>
  <c r="I315" i="1"/>
  <c r="K323" i="1"/>
  <c r="C157" i="1"/>
  <c r="D212" i="1"/>
  <c r="D213" i="1"/>
  <c r="D205" i="1"/>
  <c r="D204" i="1"/>
  <c r="D203" i="1"/>
  <c r="D202" i="1"/>
  <c r="D201" i="1"/>
  <c r="D200" i="1"/>
  <c r="D199" i="1"/>
  <c r="D197" i="1"/>
  <c r="D196" i="1"/>
  <c r="D195" i="1"/>
  <c r="D194" i="1"/>
  <c r="D193" i="1"/>
  <c r="D192" i="1"/>
  <c r="D191" i="1"/>
  <c r="J44" i="1" l="1"/>
  <c r="G50" i="1"/>
  <c r="C50" i="1"/>
  <c r="K118" i="1" l="1"/>
  <c r="K89" i="1"/>
  <c r="D328" i="1" l="1"/>
  <c r="F328" i="1" s="1"/>
  <c r="D327" i="1"/>
  <c r="F327" i="1" s="1"/>
  <c r="D326" i="1"/>
  <c r="F326" i="1" s="1"/>
  <c r="D324" i="1"/>
  <c r="F324" i="1" s="1"/>
  <c r="G323" i="1"/>
  <c r="D323" i="1"/>
  <c r="F323" i="1" s="1"/>
  <c r="D317" i="1"/>
  <c r="F317" i="1" s="1"/>
  <c r="D316" i="1"/>
  <c r="F316" i="1" s="1"/>
  <c r="D319" i="1"/>
  <c r="F319" i="1" s="1"/>
  <c r="D321" i="1"/>
  <c r="F321" i="1" s="1"/>
  <c r="D320" i="1"/>
  <c r="D314" i="1"/>
  <c r="F314" i="1" s="1"/>
  <c r="D313" i="1"/>
  <c r="G316" i="1"/>
  <c r="G313" i="1"/>
  <c r="F320" i="1"/>
  <c r="D25" i="5"/>
  <c r="D24" i="5"/>
  <c r="D23" i="5"/>
  <c r="D22" i="5"/>
  <c r="D21" i="5"/>
  <c r="D20" i="5"/>
  <c r="F318" i="1"/>
  <c r="F205" i="1"/>
  <c r="F204" i="1"/>
  <c r="F203" i="1"/>
  <c r="F202" i="1"/>
  <c r="F201" i="1"/>
  <c r="F200" i="1"/>
  <c r="D26" i="5"/>
  <c r="A201" i="1"/>
  <c r="A202" i="1" s="1"/>
  <c r="A203" i="1" s="1"/>
  <c r="A204" i="1" s="1"/>
  <c r="A205" i="1" s="1"/>
  <c r="G199" i="1"/>
  <c r="F199" i="1"/>
  <c r="F197" i="1"/>
  <c r="F196" i="1"/>
  <c r="F195" i="1"/>
  <c r="F194" i="1"/>
  <c r="F193" i="1"/>
  <c r="F192" i="1"/>
  <c r="F191" i="1"/>
  <c r="A193" i="1"/>
  <c r="A194" i="1" s="1"/>
  <c r="A195" i="1" s="1"/>
  <c r="A196" i="1" s="1"/>
  <c r="A197" i="1" s="1"/>
  <c r="G191" i="1"/>
  <c r="C70" i="1"/>
  <c r="J81" i="1"/>
  <c r="J80" i="1"/>
  <c r="J79" i="1"/>
  <c r="J78" i="1"/>
  <c r="C165" i="1" l="1"/>
  <c r="E165" i="1"/>
  <c r="G157" i="1"/>
  <c r="E157" i="1"/>
  <c r="F313" i="1"/>
  <c r="G165" i="1" s="1"/>
  <c r="D265" i="1"/>
  <c r="D264" i="1"/>
  <c r="D263" i="1"/>
  <c r="D262" i="1"/>
  <c r="D260" i="1"/>
  <c r="D259" i="1"/>
  <c r="D258" i="1"/>
  <c r="D257" i="1"/>
  <c r="D256" i="1"/>
  <c r="D254" i="1"/>
  <c r="D253" i="1"/>
  <c r="D252" i="1"/>
  <c r="D251" i="1"/>
  <c r="D250" i="1"/>
  <c r="D247" i="1"/>
  <c r="D248" i="1"/>
  <c r="D249" i="1"/>
  <c r="D246" i="1"/>
  <c r="D245" i="1"/>
  <c r="D270" i="1"/>
  <c r="D187" i="1"/>
  <c r="F187" i="1" s="1"/>
  <c r="D186" i="1"/>
  <c r="F186" i="1" s="1"/>
  <c r="D185" i="1"/>
  <c r="D184" i="1"/>
  <c r="D183" i="1"/>
  <c r="D182" i="1"/>
  <c r="D180" i="1"/>
  <c r="D179" i="1"/>
  <c r="D178" i="1"/>
  <c r="D177" i="1"/>
  <c r="D176" i="1"/>
  <c r="D175" i="1"/>
  <c r="C156" i="1" l="1"/>
  <c r="C158" i="1"/>
  <c r="E156" i="1"/>
  <c r="E158" i="1" s="1"/>
  <c r="D309" i="1"/>
  <c r="F309" i="1" s="1"/>
  <c r="D308" i="1"/>
  <c r="F308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I298" i="1"/>
  <c r="G298" i="1"/>
  <c r="D298" i="1"/>
  <c r="F298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B31" i="5"/>
  <c r="B30" i="5"/>
  <c r="B29" i="5"/>
  <c r="B28" i="5"/>
  <c r="B27" i="5"/>
  <c r="B26" i="5"/>
  <c r="B25" i="5"/>
  <c r="B24" i="5"/>
  <c r="B23" i="5"/>
  <c r="B22" i="5"/>
  <c r="B21" i="5"/>
  <c r="B20" i="5"/>
  <c r="I285" i="1"/>
  <c r="G285" i="1"/>
  <c r="C126" i="1"/>
  <c r="J137" i="1"/>
  <c r="J136" i="1"/>
  <c r="J135" i="1"/>
  <c r="J134" i="1"/>
  <c r="C164" i="1" l="1"/>
  <c r="G164" i="1"/>
  <c r="E164" i="1"/>
  <c r="C112" i="1" l="1"/>
  <c r="J123" i="1"/>
  <c r="J122" i="1"/>
  <c r="J121" i="1"/>
  <c r="J120" i="1"/>
  <c r="I252" i="1" l="1"/>
  <c r="C98" i="1" l="1"/>
  <c r="J109" i="1"/>
  <c r="J108" i="1"/>
  <c r="J107" i="1"/>
  <c r="J106" i="1"/>
  <c r="C84" i="1"/>
  <c r="D280" i="1"/>
  <c r="F280" i="1" s="1"/>
  <c r="D279" i="1"/>
  <c r="F279" i="1" s="1"/>
  <c r="D278" i="1"/>
  <c r="F278" i="1" s="1"/>
  <c r="D277" i="1"/>
  <c r="F277" i="1" s="1"/>
  <c r="D274" i="1"/>
  <c r="F274" i="1" s="1"/>
  <c r="D273" i="1"/>
  <c r="F273" i="1" s="1"/>
  <c r="D272" i="1"/>
  <c r="F272" i="1" s="1"/>
  <c r="D271" i="1"/>
  <c r="F271" i="1" s="1"/>
  <c r="F270" i="1"/>
  <c r="I270" i="1"/>
  <c r="G276" i="1"/>
  <c r="G270" i="1"/>
  <c r="G163" i="1" l="1"/>
  <c r="E163" i="1"/>
  <c r="C163" i="1"/>
  <c r="C14" i="1" l="1"/>
  <c r="F265" i="1" l="1"/>
  <c r="F264" i="1"/>
  <c r="F263" i="1"/>
  <c r="F262" i="1"/>
  <c r="F260" i="1"/>
  <c r="F259" i="1"/>
  <c r="F258" i="1"/>
  <c r="F257" i="1"/>
  <c r="G256" i="1"/>
  <c r="F256" i="1"/>
  <c r="F254" i="1"/>
  <c r="F253" i="1"/>
  <c r="F252" i="1"/>
  <c r="F251" i="1"/>
  <c r="F250" i="1"/>
  <c r="I249" i="1" s="1"/>
  <c r="D241" i="1"/>
  <c r="F241" i="1" s="1"/>
  <c r="D240" i="1"/>
  <c r="F240" i="1" s="1"/>
  <c r="D237" i="1"/>
  <c r="F237" i="1" s="1"/>
  <c r="D236" i="1"/>
  <c r="F236" i="1" s="1"/>
  <c r="D234" i="1"/>
  <c r="F234" i="1" s="1"/>
  <c r="D233" i="1"/>
  <c r="F233" i="1" s="1"/>
  <c r="D231" i="1"/>
  <c r="F231" i="1" s="1"/>
  <c r="D230" i="1"/>
  <c r="F230" i="1" s="1"/>
  <c r="A241" i="1"/>
  <c r="D239" i="1"/>
  <c r="F239" i="1" s="1"/>
  <c r="G236" i="1"/>
  <c r="D232" i="1"/>
  <c r="F232" i="1" s="1"/>
  <c r="A230" i="1"/>
  <c r="A231" i="1" s="1"/>
  <c r="A232" i="1" s="1"/>
  <c r="A233" i="1" s="1"/>
  <c r="A234" i="1" s="1"/>
  <c r="G229" i="1"/>
  <c r="D229" i="1"/>
  <c r="F229" i="1" s="1"/>
  <c r="D226" i="1"/>
  <c r="D225" i="1"/>
  <c r="D223" i="1"/>
  <c r="D222" i="1"/>
  <c r="D227" i="1"/>
  <c r="F227" i="1" s="1"/>
  <c r="A227" i="1"/>
  <c r="D220" i="1"/>
  <c r="F220" i="1" s="1"/>
  <c r="D219" i="1"/>
  <c r="D217" i="1"/>
  <c r="D216" i="1"/>
  <c r="D218" i="1"/>
  <c r="D215" i="1"/>
  <c r="F184" i="1"/>
  <c r="F183" i="1"/>
  <c r="F182" i="1"/>
  <c r="F185" i="1"/>
  <c r="A184" i="1"/>
  <c r="A185" i="1" s="1"/>
  <c r="A186" i="1" s="1"/>
  <c r="A187" i="1" s="1"/>
  <c r="G182" i="1"/>
  <c r="F180" i="1"/>
  <c r="F179" i="1"/>
  <c r="E162" i="1" l="1"/>
  <c r="E161" i="1"/>
  <c r="E166" i="1" s="1"/>
  <c r="C161" i="1"/>
  <c r="C162" i="1"/>
  <c r="C166" i="1" l="1"/>
  <c r="C167" i="1" s="1"/>
  <c r="E167" i="1"/>
  <c r="E29" i="1"/>
  <c r="F213" i="1" l="1"/>
  <c r="F212" i="1"/>
  <c r="A213" i="1"/>
  <c r="G212" i="1"/>
  <c r="F153" i="1" l="1"/>
  <c r="F176" i="1" l="1"/>
  <c r="F177" i="1"/>
  <c r="F178" i="1"/>
  <c r="F175" i="1"/>
  <c r="G156" i="1" l="1"/>
  <c r="G158" i="1" s="1"/>
  <c r="B333" i="1"/>
  <c r="F249" i="1" l="1"/>
  <c r="F248" i="1"/>
  <c r="F247" i="1"/>
  <c r="F246" i="1"/>
  <c r="F245" i="1"/>
  <c r="F226" i="1"/>
  <c r="F225" i="1"/>
  <c r="F223" i="1"/>
  <c r="F222" i="1"/>
  <c r="F219" i="1"/>
  <c r="F218" i="1"/>
  <c r="I218" i="1" s="1"/>
  <c r="F216" i="1"/>
  <c r="F215" i="1"/>
  <c r="F217" i="1"/>
  <c r="G161" i="1" l="1"/>
  <c r="G162" i="1"/>
  <c r="B334" i="1"/>
  <c r="G166" i="1" l="1"/>
  <c r="G16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60" i="1"/>
  <c r="G245" i="1"/>
  <c r="G222" i="1"/>
  <c r="G215" i="1"/>
  <c r="A216" i="1"/>
  <c r="A217" i="1" s="1"/>
  <c r="A218" i="1" s="1"/>
  <c r="A219" i="1" s="1"/>
  <c r="A220" i="1" s="1"/>
  <c r="A177" i="1"/>
  <c r="A178" i="1" s="1"/>
  <c r="A179" i="1" s="1"/>
  <c r="A180" i="1" s="1"/>
  <c r="G175" i="1"/>
  <c r="J95" i="1"/>
  <c r="J94" i="1"/>
  <c r="J93" i="1"/>
  <c r="J92" i="1"/>
  <c r="D55" i="1"/>
  <c r="E42" i="1"/>
  <c r="E43" i="1" s="1"/>
  <c r="E26" i="1"/>
  <c r="E24" i="1"/>
  <c r="E7" i="1"/>
  <c r="E3" i="1"/>
  <c r="H85" i="1"/>
  <c r="D64" i="1" l="1"/>
  <c r="D97" i="1"/>
  <c r="D95" i="1"/>
  <c r="D94" i="1"/>
  <c r="D93" i="1"/>
  <c r="D91" i="1"/>
  <c r="J84" i="1"/>
  <c r="D96" i="1"/>
  <c r="D92" i="1"/>
  <c r="J88" i="1"/>
  <c r="J89" i="1"/>
  <c r="C88" i="1" s="1"/>
  <c r="J87" i="1"/>
  <c r="J90" i="1"/>
  <c r="J91" i="1" l="1"/>
  <c r="D90" i="1"/>
  <c r="J86" i="1"/>
  <c r="D88" i="1"/>
  <c r="H113" i="1"/>
  <c r="H99" i="1"/>
  <c r="H127" i="1"/>
  <c r="J96" i="1" l="1"/>
  <c r="D134" i="1"/>
  <c r="D139" i="1"/>
  <c r="D133" i="1"/>
  <c r="J132" i="1"/>
  <c r="D138" i="1"/>
  <c r="D132" i="1"/>
  <c r="J131" i="1"/>
  <c r="C130" i="1" s="1"/>
  <c r="D136" i="1"/>
  <c r="J130" i="1"/>
  <c r="D135" i="1"/>
  <c r="J129" i="1"/>
  <c r="D137" i="1"/>
  <c r="J126" i="1"/>
  <c r="J128" i="1" s="1"/>
  <c r="J112" i="1"/>
  <c r="J114" i="1" s="1"/>
  <c r="J118" i="1"/>
  <c r="J116" i="1"/>
  <c r="J115" i="1"/>
  <c r="D124" i="1"/>
  <c r="D122" i="1"/>
  <c r="D120" i="1"/>
  <c r="D118" i="1"/>
  <c r="J117" i="1"/>
  <c r="C116" i="1" s="1"/>
  <c r="D125" i="1"/>
  <c r="D123" i="1"/>
  <c r="D121" i="1"/>
  <c r="D119" i="1"/>
  <c r="J103" i="1"/>
  <c r="D109" i="1"/>
  <c r="J101" i="1"/>
  <c r="D111" i="1"/>
  <c r="D105" i="1"/>
  <c r="J102" i="1"/>
  <c r="D107" i="1"/>
  <c r="J104" i="1"/>
  <c r="D110" i="1"/>
  <c r="D106" i="1"/>
  <c r="D108" i="1"/>
  <c r="J105" i="1" l="1"/>
  <c r="J110" i="1" s="1"/>
  <c r="J97" i="1"/>
  <c r="C89" i="1" s="1"/>
  <c r="J85" i="1" s="1"/>
  <c r="J133" i="1"/>
  <c r="J119" i="1"/>
  <c r="J124" i="1" s="1"/>
  <c r="D116" i="1"/>
  <c r="H71" i="1"/>
  <c r="J111" i="1" l="1"/>
  <c r="J138" i="1"/>
  <c r="J139" i="1" s="1"/>
  <c r="G130" i="1"/>
  <c r="E88" i="1"/>
  <c r="G88" i="1"/>
  <c r="D89" i="1"/>
  <c r="I85" i="1" s="1"/>
  <c r="I86" i="1" s="1"/>
  <c r="D102" i="1"/>
  <c r="J125" i="1"/>
  <c r="C117" i="1" s="1"/>
  <c r="G116" i="1" s="1"/>
  <c r="D68" i="1" s="1"/>
  <c r="D69" i="1" s="1"/>
  <c r="D81" i="1"/>
  <c r="D77" i="1"/>
  <c r="J76" i="1"/>
  <c r="J70" i="1"/>
  <c r="J72" i="1" s="1"/>
  <c r="D80" i="1"/>
  <c r="D76" i="1"/>
  <c r="J73" i="1"/>
  <c r="J75" i="1"/>
  <c r="C74" i="1" s="1"/>
  <c r="D83" i="1"/>
  <c r="D79" i="1"/>
  <c r="J74" i="1"/>
  <c r="D82" i="1"/>
  <c r="D78" i="1"/>
  <c r="D130" i="1"/>
  <c r="J98" i="1" l="1"/>
  <c r="J100" i="1" s="1"/>
  <c r="C103" i="1"/>
  <c r="G102" i="1" s="1"/>
  <c r="J77" i="1"/>
  <c r="J82" i="1" s="1"/>
  <c r="J83" i="1" s="1"/>
  <c r="C75" i="1" s="1"/>
  <c r="E74" i="1" s="1"/>
  <c r="D131" i="1"/>
  <c r="I127" i="1" s="1"/>
  <c r="I128" i="1" s="1"/>
  <c r="E130" i="1"/>
  <c r="I84" i="1"/>
  <c r="C86" i="1" s="1"/>
  <c r="D117" i="1"/>
  <c r="I113" i="1" s="1"/>
  <c r="I114" i="1" s="1"/>
  <c r="J113" i="1"/>
  <c r="E116" i="1"/>
  <c r="F69" i="1"/>
  <c r="D74" i="1"/>
  <c r="J127" i="1"/>
  <c r="G74" i="1" l="1"/>
  <c r="J99" i="1"/>
  <c r="D103" i="1"/>
  <c r="E102" i="1"/>
  <c r="D104" i="1"/>
  <c r="D75" i="1"/>
  <c r="I71" i="1" s="1"/>
  <c r="I72" i="1" s="1"/>
  <c r="I126" i="1"/>
  <c r="C128" i="1" s="1"/>
  <c r="I112" i="1"/>
  <c r="C114" i="1" s="1"/>
  <c r="J71" i="1"/>
  <c r="I99" i="1" l="1"/>
  <c r="I100" i="1" s="1"/>
  <c r="I70" i="1"/>
  <c r="C72" i="1" s="1"/>
  <c r="I98" i="1" l="1"/>
  <c r="C100" i="1" s="1"/>
</calcChain>
</file>

<file path=xl/sharedStrings.xml><?xml version="1.0" encoding="utf-8"?>
<sst xmlns="http://schemas.openxmlformats.org/spreadsheetml/2006/main" count="593" uniqueCount="266">
  <si>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</si>
  <si>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</si>
  <si>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</si>
  <si>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</si>
  <si>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</si>
  <si>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</si>
  <si>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</si>
  <si>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</si>
  <si>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</si>
  <si>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</si>
  <si>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</si>
  <si>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</si>
  <si>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</si>
  <si>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</si>
  <si>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</si>
  <si>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</si>
  <si>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</si>
  <si>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</si>
  <si>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</si>
  <si>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</si>
  <si>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</si>
  <si>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</si>
  <si>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</si>
  <si>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</si>
  <si>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</si>
  <si>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</si>
  <si>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</si>
  <si>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</si>
  <si>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</si>
  <si>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</si>
  <si>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</si>
  <si>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</si>
  <si>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</si>
  <si>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</si>
  <si>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</si>
  <si>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</si>
  <si>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</si>
  <si>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</si>
  <si>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</si>
  <si>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</si>
  <si>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</si>
  <si>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</si>
  <si>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</si>
  <si>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</si>
  <si>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</si>
  <si>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</si>
  <si>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</si>
  <si>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</si>
  <si>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</si>
  <si>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</si>
  <si>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</si>
  <si>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</si>
  <si>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</si>
  <si>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</si>
  <si>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</si>
  <si>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</si>
  <si>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</si>
  <si>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</si>
  <si>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</si>
  <si>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</si>
  <si>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</si>
  <si>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</si>
  <si>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</si>
  <si>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</si>
  <si>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</si>
  <si>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</si>
  <si>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</si>
  <si>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</si>
  <si>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</si>
  <si>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</si>
  <si>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</si>
  <si>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</si>
  <si>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</si>
  <si>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</si>
  <si>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</si>
  <si>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</si>
  <si>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</si>
  <si>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</si>
  <si>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</si>
  <si>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</si>
  <si>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</si>
  <si>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</si>
  <si>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</si>
  <si>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</si>
  <si>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</si>
  <si>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</si>
  <si>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</si>
  <si>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</si>
  <si>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</si>
  <si>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</si>
  <si>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</si>
  <si>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</si>
  <si>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</si>
  <si>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</si>
  <si>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</si>
  <si>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</si>
  <si>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</si>
  <si>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</si>
  <si>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</si>
  <si>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</si>
  <si>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</si>
  <si>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</si>
  <si>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</si>
  <si>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</si>
  <si>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</si>
  <si>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</si>
  <si>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</si>
  <si>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</si>
  <si>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</si>
  <si>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</si>
  <si>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</si>
  <si>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</si>
  <si>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</si>
  <si>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</si>
  <si>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</si>
  <si>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</si>
  <si>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</si>
  <si>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</si>
  <si>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</si>
  <si>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</si>
  <si>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</si>
  <si>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</si>
  <si>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</si>
  <si>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</si>
  <si>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</si>
  <si>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</si>
  <si>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</si>
  <si>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</si>
  <si>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</si>
  <si>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</si>
  <si>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</si>
  <si>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</si>
  <si>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</si>
  <si>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</si>
  <si>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</si>
  <si>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</si>
  <si>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</si>
  <si>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</si>
  <si>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</si>
  <si>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</si>
  <si>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</si>
  <si>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</si>
  <si>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</si>
  <si>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</si>
  <si>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</si>
  <si>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</si>
  <si>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</si>
  <si>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</si>
  <si>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</si>
  <si>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</si>
  <si>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</si>
  <si>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</si>
  <si>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</si>
  <si>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</si>
  <si>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</si>
  <si>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</si>
  <si>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</si>
  <si>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</si>
  <si>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</si>
  <si>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</si>
  <si>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</si>
  <si>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</si>
  <si>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</si>
  <si>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</si>
  <si>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</si>
  <si>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</si>
  <si>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</si>
  <si>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</si>
  <si>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</si>
  <si>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Survey No</t>
  </si>
  <si>
    <t>Approved Plans, CC</t>
  </si>
  <si>
    <t>Balkum &amp; Dhokali</t>
  </si>
  <si>
    <t>Kolshet Road</t>
  </si>
  <si>
    <t>Thane</t>
  </si>
  <si>
    <t>Kalpataru Starlight</t>
  </si>
  <si>
    <t>Open Plot</t>
  </si>
  <si>
    <t>Kalpataru Sunrise Wing C</t>
  </si>
  <si>
    <t>Thane Municipal Corporation</t>
  </si>
  <si>
    <t>Ground Floor For Commercial &amp; Entrance</t>
  </si>
  <si>
    <t>Tower 2</t>
  </si>
  <si>
    <t>Shop</t>
  </si>
  <si>
    <t>1st Floor For Commercial &amp; Residential</t>
  </si>
  <si>
    <t>3BHK</t>
  </si>
  <si>
    <t>2nd to 7th &amp; 9th to 12th, 14th to 17th, 19th to 22nd, 24th to 27th, 29th &amp; 30th Floor</t>
  </si>
  <si>
    <t>8th, 13th, 18th, 23rd &amp; 28th Floor (Part Refuge Area)</t>
  </si>
  <si>
    <t>Refuge Area</t>
  </si>
  <si>
    <t>31st, 32nd, 34th to 37th, 39th to 42nd Floor</t>
  </si>
  <si>
    <t>33rd &amp; 38th Floor (Part Refuge Area)</t>
  </si>
  <si>
    <t>Tower 4</t>
  </si>
  <si>
    <t>Ground Floor For Parking</t>
  </si>
  <si>
    <t>2BHK</t>
  </si>
  <si>
    <t>1BHK</t>
  </si>
  <si>
    <t>8th, 13th, 18th, 23rd, 28th, 33rd &amp; 38th Floor (Part Refuge Area)</t>
  </si>
  <si>
    <t>5.6 KM from Thane Railway Station</t>
  </si>
  <si>
    <t>Thane West</t>
  </si>
  <si>
    <t>234/1, 234/2, 235, 39, 40 &amp; 41/1</t>
  </si>
  <si>
    <t>Axis Sanpada</t>
  </si>
  <si>
    <t>M/s. Godrej Properties Limited</t>
  </si>
  <si>
    <t>Ground Floor For Parking &amp; Meter Room</t>
  </si>
  <si>
    <t>8th, 13th, 18th, 23rd, 28th &amp; 33rd Floor (Part Refuge Area)</t>
  </si>
  <si>
    <t>Phase 1</t>
  </si>
  <si>
    <t>Phase 2</t>
  </si>
  <si>
    <t>Tower 3 (Panorama)</t>
  </si>
  <si>
    <t>Tower 3
(Panorama)</t>
  </si>
  <si>
    <t xml:space="preserve">Layout Approval No. 
</t>
  </si>
  <si>
    <t>1st to 7th &amp; 9th to 12th, 14th to 17th, 19th to 22nd, 24th to 27th, 29th to 32nd, 34th to 37th Floor</t>
  </si>
  <si>
    <t>Phase 1 : Tower 2 = Gr + 1st to 42nd Floor</t>
  </si>
  <si>
    <t>Phase 1 : Tower 4 = Gr + 1st to 42nd Floor</t>
  </si>
  <si>
    <t>Latitude, Longitude</t>
  </si>
  <si>
    <t>https://goo.gl/maps/SWJWgdtrybLChNHK9</t>
  </si>
  <si>
    <t>S05/0194/19TMC/TDD/4351/23</t>
  </si>
  <si>
    <t>Basketball Pole, Jogging/Walking Trail, Swimming Pool, Spa, Fruit Orchard &amp; Herbal Organic Garden, Retail Plaza, Kids Play Area, 22 Yard Cricket Pitch, Skating Rink, Chess Court, 2 Badminton Courts, Gym, Squash Court, Multi-Play Court, Yoga Deck</t>
  </si>
  <si>
    <t>Phase 3</t>
  </si>
  <si>
    <t>Tower 5
(Adora)</t>
  </si>
  <si>
    <t>Tower 5 (Adora)</t>
  </si>
  <si>
    <t>1st to 7th &amp; 9th to 12th, 14th to 17th, 19th to 22nd, 24th to 27th,
29th to 32nd, 34th to 37th &amp; 39th to 41st Floor For Residential</t>
  </si>
  <si>
    <t>Grand Total</t>
  </si>
  <si>
    <t>Layout Plan :</t>
  </si>
  <si>
    <t>Authorized Signatory
Name &amp; Seal of the agency</t>
  </si>
  <si>
    <t>Ajay Songare</t>
  </si>
  <si>
    <t>13000 to 13500 by sanket on 29/09/2023. do not change again</t>
  </si>
  <si>
    <t>Godrej Ascend Phase 1, 2, 3 &amp; 4</t>
  </si>
  <si>
    <t>Phase I = Tower 2 &amp; 4
Phase II = Tower 3 (Panorama)
Phase III = Tower 5 (Adora)
Phase IV = Tower 1 (Arise)</t>
  </si>
  <si>
    <t>5 Buildings</t>
  </si>
  <si>
    <t>As per RERA - Phase 1 - 30/04/2028
                        Phase 2 - 31/12/2028
                        Phase 3 - 31/10/2029
                        Phase 4 - 31/12/2029</t>
  </si>
  <si>
    <t>Phase 4</t>
  </si>
  <si>
    <t>Tower 1
(Arise)</t>
  </si>
  <si>
    <t>Tower 1 (Arise)</t>
  </si>
  <si>
    <t>Ground Floor For Commercial, Entrance Lobby, Society Office, Meter Room &amp; Parking</t>
  </si>
  <si>
    <t>1st Floor For Part Commercial</t>
  </si>
  <si>
    <t>1st floor For Part Residential</t>
  </si>
  <si>
    <t>We considered Gross carpet area = Net carpet + Enclose balcony + Deck Area + Utility Area + Balcony.</t>
  </si>
  <si>
    <t>Utility Area + Balcony INCLUDED</t>
  </si>
  <si>
    <t>19.228423,72.983823</t>
  </si>
  <si>
    <t>Phase 1 (Tower 2 &amp; 4) : P51700034608
Phase 2 (Tower 3) : P51700046541
Phase 3 (Tower 5) : P51700049514
Phase 4 (Tower 1) : P51700053668</t>
  </si>
  <si>
    <t>Site Meet Person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</si>
  <si>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</si>
  <si>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1st to 7th &amp; 9th to 12th, 14th to 17th, 19th to 22nd, 24th to 27th, 29th to 32nd, 34th to 37th, 39th to 42nd Floor</t>
  </si>
  <si>
    <t xml:space="preserve">Commencement-CC No
Valid Up to: </t>
  </si>
  <si>
    <t>S05/0194/19TMCB/TDD/0109/[P/C]/
2024AutoDCR</t>
  </si>
  <si>
    <t xml:space="preserve">Tower 1, 2, 4, &amp; 5 = Gr/Stilt + 1st to 42nd Floor
Tower 3 = Gr/Stilt + 1st to 41st Floor
</t>
  </si>
  <si>
    <t>Phase 3 : Tower 5 = Gr/Stilt + 1st to 42nd Floor</t>
  </si>
  <si>
    <t>Phase 2 : Tower 3 = Gr/Stilt + 1st to 42nd Floor</t>
  </si>
  <si>
    <t>We have updated revised approved CC of (Tower 1, 2, 3, 5) (On 06/05/2024).</t>
  </si>
  <si>
    <t>We have updated approved floor plans of Phase 2 (Tower 3) (On 18/10/2022).</t>
  </si>
  <si>
    <t>We have updated approved floor plans of Phase 3 (Tower 5) (On 22/04/2023).</t>
  </si>
  <si>
    <t>We have updated approved floor plans of Phase 4 (Tower 1) (On 27/11/2023).</t>
  </si>
  <si>
    <t>Tower 1 to 5 = Construction work is in process at the time of Visit. Internal visit was not allowed.</t>
  </si>
  <si>
    <t>Security</t>
  </si>
  <si>
    <t>S05/0194/19/TMC/TDD/0109/(P/C)/
2024/AutoDCR</t>
  </si>
  <si>
    <r>
      <t xml:space="preserve">Approved Floor plan No.
</t>
    </r>
    <r>
      <rPr>
        <b/>
        <sz val="12"/>
        <color indexed="8"/>
        <rFont val="Times New Roman"/>
        <family val="1"/>
      </rPr>
      <t>Tower 2, 3, 4 &amp; 5</t>
    </r>
    <r>
      <rPr>
        <sz val="12"/>
        <color indexed="8"/>
        <rFont val="Times New Roman"/>
        <family val="1"/>
      </rPr>
      <t xml:space="preserve">
</t>
    </r>
  </si>
  <si>
    <r>
      <t xml:space="preserve">Approved Floor plan No.
</t>
    </r>
    <r>
      <rPr>
        <b/>
        <sz val="12"/>
        <color indexed="8"/>
        <rFont val="Times New Roman"/>
        <family val="1"/>
      </rPr>
      <t>Tower 1</t>
    </r>
    <r>
      <rPr>
        <sz val="12"/>
        <color indexed="8"/>
        <rFont val="Times New Roman"/>
        <family val="1"/>
      </rPr>
      <t xml:space="preserve">
</t>
    </r>
  </si>
  <si>
    <t>Other Plot</t>
  </si>
  <si>
    <t>40 M Wide Road</t>
  </si>
  <si>
    <t>Other Plot/30 M. Wide Road</t>
  </si>
  <si>
    <t>Tower 1 = Gr + 1st to 46th Floor
Tower 2 &amp; 4 = Gr + 1st to 42nd Floor
Tower 3 = Gr/Stilt + 1st to 37th Floor
Tower 5 = Gr/Stilt + 1st to 41st Floor</t>
  </si>
  <si>
    <t>Phase 4 : Tower 1 = Gr/Stilt + 1st to 46th Floor</t>
  </si>
  <si>
    <t>2nd to 7th, 9th to 12th, 14th to 17th, 19th to 22nd, 
24th to 27th &amp; 29th to 32nd, 34th to 37th, 39th to 42nd &amp; 44th Floor For Residential</t>
  </si>
  <si>
    <t>8th, 13th, 18th, 23rd, 28th, 33rd, 38th &amp; 43rd Floor (Part Refuge Area)</t>
  </si>
  <si>
    <t>45th Floor For Recreational Area</t>
  </si>
  <si>
    <t>46th Floor For Amenity &amp; Part Terrace Area</t>
  </si>
  <si>
    <t>We have updated revised approved plans of Phase 4 (Tower 1) (On 10/02/2025).</t>
  </si>
  <si>
    <t>Flats - 1570, Shops - 26</t>
  </si>
  <si>
    <t>Construction stage of Tower 1 is reduced due to revision in proposed structure of project.</t>
  </si>
  <si>
    <t>Mr. Norbert Mendez 9821422860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</si>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</sst>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dd\/mm\/yyyy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28" fillId="3" borderId="8" xfId="1" applyNumberFormat="1" applyFont="1" applyFill="1" applyBorder="1" applyAlignment="1">
      <alignment vertical="center" wrapText="1"/>
    </xf>
    <xf numFmtId="1" fontId="28" fillId="0" borderId="7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28" fillId="0" borderId="1" xfId="1" applyNumberFormat="1" applyFont="1" applyBorder="1" applyAlignment="1">
      <alignment horizontal="center" vertical="center" wrapText="1"/>
    </xf>
    <xf numFmtId="0" fontId="25" fillId="2" borderId="14" xfId="0" applyFont="1" applyFill="1" applyBorder="1"/>
    <xf numFmtId="0" fontId="25" fillId="0" borderId="8" xfId="0" applyFont="1" applyBorder="1"/>
    <xf numFmtId="0" fontId="26" fillId="0" borderId="8" xfId="0" applyFont="1" applyBorder="1"/>
    <xf numFmtId="2" fontId="7" fillId="0" borderId="0" xfId="1" applyNumberFormat="1" applyFo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5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6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5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4" borderId="16" xfId="1" applyFont="1" applyFill="1" applyBorder="1" applyAlignment="1" applyProtection="1">
      <alignment horizontal="left" vertical="top"/>
      <protection locked="0"/>
    </xf>
    <xf numFmtId="0" fontId="12" fillId="4" borderId="23" xfId="1" applyFont="1" applyFill="1" applyBorder="1" applyAlignment="1" applyProtection="1">
      <alignment horizontal="left" vertical="top"/>
      <protection locked="0"/>
    </xf>
    <xf numFmtId="0" fontId="12" fillId="4" borderId="17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8" fillId="4" borderId="12" xfId="1" applyFont="1" applyFill="1" applyBorder="1" applyAlignment="1" applyProtection="1">
      <alignment horizontal="left" vertical="top" wrapText="1"/>
      <protection locked="0"/>
    </xf>
    <xf numFmtId="0" fontId="8" fillId="4" borderId="13" xfId="1" applyFont="1" applyFill="1" applyBorder="1" applyAlignment="1" applyProtection="1">
      <alignment horizontal="left" vertical="top" wrapText="1"/>
      <protection locked="0"/>
    </xf>
    <xf numFmtId="0" fontId="8" fillId="4" borderId="22" xfId="1" applyFont="1" applyFill="1" applyBorder="1" applyAlignment="1" applyProtection="1">
      <alignment horizontal="left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35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752476</xdr:colOff>
      <xdr:row>454</xdr:row>
      <xdr:rowOff>153266</xdr:rowOff>
    </xdr:from>
    <xdr:to>
      <xdr:col>6</xdr:col>
      <xdr:colOff>137071</xdr:colOff>
      <xdr:row>472</xdr:row>
      <xdr:rowOff>152816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6" y="53531366"/>
          <a:ext cx="38422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752476</xdr:colOff>
      <xdr:row>436</xdr:row>
      <xdr:rowOff>9525</xdr:rowOff>
    </xdr:from>
    <xdr:to>
      <xdr:col>6</xdr:col>
      <xdr:colOff>137071</xdr:colOff>
      <xdr:row>454</xdr:row>
      <xdr:rowOff>9073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6" y="49787175"/>
          <a:ext cx="38422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405847</xdr:colOff>
      <xdr:row>399</xdr:row>
      <xdr:rowOff>66261</xdr:rowOff>
    </xdr:from>
    <xdr:to>
      <xdr:col>7</xdr:col>
      <xdr:colOff>475695</xdr:colOff>
      <xdr:row>429</xdr:row>
      <xdr:rowOff>97738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847" y="81641674"/>
          <a:ext cx="5760000" cy="59949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699523</xdr:colOff>
      <xdr:row>402</xdr:row>
      <xdr:rowOff>88854</xdr:rowOff>
    </xdr:from>
    <xdr:to>
      <xdr:col>12</xdr:col>
      <xdr:colOff>455346</xdr:colOff>
      <xdr:row>415</xdr:row>
      <xdr:rowOff>24681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17936" y="82856963"/>
          <a:ext cx="3085432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455543</xdr:colOff>
      <xdr:row>400</xdr:row>
      <xdr:rowOff>41413</xdr:rowOff>
    </xdr:from>
    <xdr:ext cx="659989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08760">
          <a:off x="2020956" y="82411956"/>
          <a:ext cx="6599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</a:t>
          </a:r>
        </a:p>
      </xdr:txBody>
    </xdr:sp>
    <xdr:clientData/>
  </xdr:oneCellAnchor>
  <xdr:oneCellAnchor>
    <xdr:from>
      <xdr:col>1</xdr:col>
      <xdr:colOff>276638</xdr:colOff>
      <xdr:row>403</xdr:row>
      <xdr:rowOff>144117</xdr:rowOff>
    </xdr:from>
    <xdr:ext cx="659989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9708760">
          <a:off x="1038638" y="83111008"/>
          <a:ext cx="6599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2</a:t>
          </a:r>
        </a:p>
      </xdr:txBody>
    </xdr:sp>
    <xdr:clientData/>
  </xdr:oneCellAnchor>
  <xdr:oneCellAnchor>
    <xdr:from>
      <xdr:col>0</xdr:col>
      <xdr:colOff>470448</xdr:colOff>
      <xdr:row>414</xdr:row>
      <xdr:rowOff>31473</xdr:rowOff>
    </xdr:from>
    <xdr:ext cx="65998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0448" y="85184973"/>
          <a:ext cx="6599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3</a:t>
          </a:r>
        </a:p>
      </xdr:txBody>
    </xdr:sp>
    <xdr:clientData/>
  </xdr:oneCellAnchor>
  <xdr:oneCellAnchor>
    <xdr:from>
      <xdr:col>0</xdr:col>
      <xdr:colOff>424066</xdr:colOff>
      <xdr:row>422</xdr:row>
      <xdr:rowOff>92764</xdr:rowOff>
    </xdr:from>
    <xdr:ext cx="659989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4066" y="86836525"/>
          <a:ext cx="6599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4</a:t>
          </a:r>
        </a:p>
      </xdr:txBody>
    </xdr:sp>
    <xdr:clientData/>
  </xdr:oneCellAnchor>
  <xdr:oneCellAnchor>
    <xdr:from>
      <xdr:col>3</xdr:col>
      <xdr:colOff>137488</xdr:colOff>
      <xdr:row>427</xdr:row>
      <xdr:rowOff>4969</xdr:rowOff>
    </xdr:from>
    <xdr:ext cx="659989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47727" y="87742643"/>
          <a:ext cx="6599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5</a:t>
          </a:r>
        </a:p>
      </xdr:txBody>
    </xdr:sp>
    <xdr:clientData/>
  </xdr:oneCellAnchor>
  <xdr:twoCellAnchor>
    <xdr:from>
      <xdr:col>0</xdr:col>
      <xdr:colOff>158750</xdr:colOff>
      <xdr:row>360</xdr:row>
      <xdr:rowOff>57150</xdr:rowOff>
    </xdr:from>
    <xdr:to>
      <xdr:col>7</xdr:col>
      <xdr:colOff>624433</xdr:colOff>
      <xdr:row>395</xdr:row>
      <xdr:rowOff>27258</xdr:rowOff>
    </xdr:to>
    <xdr:grpSp>
      <xdr:nvGrpSpPr>
        <xdr:cNvPr id="6" name="Group 5"/>
        <xdr:cNvGrpSpPr/>
      </xdr:nvGrpSpPr>
      <xdr:grpSpPr>
        <a:xfrm>
          <a:off x="158750" y="77876400"/>
          <a:ext cx="6447383" cy="6853508"/>
          <a:chOff x="158750" y="77876400"/>
          <a:chExt cx="6447383" cy="6853508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6270" y="819939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905" y="77914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1447" y="77914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7510" y="819939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8750" y="8199390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TextBox 4"/>
          <xdr:cNvSpPr txBox="1"/>
        </xdr:nvSpPr>
        <xdr:spPr>
          <a:xfrm>
            <a:off x="488950" y="79838550"/>
            <a:ext cx="693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1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1191105" y="78085950"/>
            <a:ext cx="693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2</a:t>
            </a: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4267897" y="80435450"/>
            <a:ext cx="693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3</a:t>
            </a:r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4509197" y="77876400"/>
            <a:ext cx="693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Tower 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362309</xdr:colOff>
      <xdr:row>23</xdr:row>
      <xdr:rowOff>51758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8980"/>
        <a:stretch/>
      </xdr:blipFill>
      <xdr:spPr>
        <a:xfrm>
          <a:off x="0" y="0"/>
          <a:ext cx="7677509" cy="44332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20</xdr:col>
      <xdr:colOff>339305</xdr:colOff>
      <xdr:row>19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24800" y="0"/>
          <a:ext cx="4606505" cy="36576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8</xdr:col>
      <xdr:colOff>2875</xdr:colOff>
      <xdr:row>52</xdr:row>
      <xdr:rowOff>117894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4572000"/>
          <a:ext cx="4727275" cy="54518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WJWgdtrybLChNH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5"/>
  <sheetViews>
    <sheetView tabSelected="1" view="pageBreakPreview" zoomScaleNormal="100" zoomScaleSheetLayoutView="100" workbookViewId="0">
      <selection activeCell="E9" sqref="E9:H9"/>
    </sheetView>
  </sheetViews>
  <sheetFormatPr defaultColWidth="9.2695312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2695312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7265625" style="21" customWidth="1"/>
    <col min="14" max="14" width="12.54296875" style="21" customWidth="1"/>
    <col min="15" max="15" width="9.7265625" style="21" customWidth="1"/>
    <col min="16" max="16" width="11.7265625" style="21" customWidth="1"/>
    <col min="17" max="247" width="9.26953125" style="21"/>
    <col min="248" max="248" width="8.7265625" style="21" customWidth="1"/>
    <col min="249" max="249" width="9.7265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7265625" style="21" customWidth="1"/>
    <col min="256" max="256" width="11.26953125" style="21" customWidth="1"/>
    <col min="257" max="257" width="2.7265625" style="21" customWidth="1"/>
    <col min="258" max="258" width="3.54296875" style="21" customWidth="1"/>
    <col min="259" max="503" width="9.26953125" style="21"/>
    <col min="504" max="504" width="8.7265625" style="21" customWidth="1"/>
    <col min="505" max="505" width="9.7265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7265625" style="21" customWidth="1"/>
    <col min="512" max="512" width="11.26953125" style="21" customWidth="1"/>
    <col min="513" max="513" width="2.7265625" style="21" customWidth="1"/>
    <col min="514" max="514" width="3.54296875" style="21" customWidth="1"/>
    <col min="515" max="759" width="9.26953125" style="21"/>
    <col min="760" max="760" width="8.7265625" style="21" customWidth="1"/>
    <col min="761" max="761" width="9.7265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7265625" style="21" customWidth="1"/>
    <col min="768" max="768" width="11.26953125" style="21" customWidth="1"/>
    <col min="769" max="769" width="2.7265625" style="21" customWidth="1"/>
    <col min="770" max="770" width="3.54296875" style="21" customWidth="1"/>
    <col min="771" max="1015" width="9.26953125" style="21"/>
    <col min="1016" max="1016" width="8.7265625" style="21" customWidth="1"/>
    <col min="1017" max="1017" width="9.7265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7265625" style="21" customWidth="1"/>
    <col min="1024" max="1024" width="11.26953125" style="21" customWidth="1"/>
    <col min="1025" max="1025" width="2.7265625" style="21" customWidth="1"/>
    <col min="1026" max="1026" width="3.54296875" style="21" customWidth="1"/>
    <col min="1027" max="1271" width="9.26953125" style="21"/>
    <col min="1272" max="1272" width="8.7265625" style="21" customWidth="1"/>
    <col min="1273" max="1273" width="9.7265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7265625" style="21" customWidth="1"/>
    <col min="1280" max="1280" width="11.26953125" style="21" customWidth="1"/>
    <col min="1281" max="1281" width="2.7265625" style="21" customWidth="1"/>
    <col min="1282" max="1282" width="3.54296875" style="21" customWidth="1"/>
    <col min="1283" max="1527" width="9.26953125" style="21"/>
    <col min="1528" max="1528" width="8.7265625" style="21" customWidth="1"/>
    <col min="1529" max="1529" width="9.7265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7265625" style="21" customWidth="1"/>
    <col min="1536" max="1536" width="11.26953125" style="21" customWidth="1"/>
    <col min="1537" max="1537" width="2.7265625" style="21" customWidth="1"/>
    <col min="1538" max="1538" width="3.54296875" style="21" customWidth="1"/>
    <col min="1539" max="1783" width="9.26953125" style="21"/>
    <col min="1784" max="1784" width="8.7265625" style="21" customWidth="1"/>
    <col min="1785" max="1785" width="9.7265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7265625" style="21" customWidth="1"/>
    <col min="1792" max="1792" width="11.26953125" style="21" customWidth="1"/>
    <col min="1793" max="1793" width="2.7265625" style="21" customWidth="1"/>
    <col min="1794" max="1794" width="3.54296875" style="21" customWidth="1"/>
    <col min="1795" max="2039" width="9.26953125" style="21"/>
    <col min="2040" max="2040" width="8.7265625" style="21" customWidth="1"/>
    <col min="2041" max="2041" width="9.7265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7265625" style="21" customWidth="1"/>
    <col min="2048" max="2048" width="11.26953125" style="21" customWidth="1"/>
    <col min="2049" max="2049" width="2.7265625" style="21" customWidth="1"/>
    <col min="2050" max="2050" width="3.54296875" style="21" customWidth="1"/>
    <col min="2051" max="2295" width="9.26953125" style="21"/>
    <col min="2296" max="2296" width="8.7265625" style="21" customWidth="1"/>
    <col min="2297" max="2297" width="9.7265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7265625" style="21" customWidth="1"/>
    <col min="2304" max="2304" width="11.26953125" style="21" customWidth="1"/>
    <col min="2305" max="2305" width="2.7265625" style="21" customWidth="1"/>
    <col min="2306" max="2306" width="3.54296875" style="21" customWidth="1"/>
    <col min="2307" max="2551" width="9.26953125" style="21"/>
    <col min="2552" max="2552" width="8.7265625" style="21" customWidth="1"/>
    <col min="2553" max="2553" width="9.7265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7265625" style="21" customWidth="1"/>
    <col min="2560" max="2560" width="11.26953125" style="21" customWidth="1"/>
    <col min="2561" max="2561" width="2.7265625" style="21" customWidth="1"/>
    <col min="2562" max="2562" width="3.54296875" style="21" customWidth="1"/>
    <col min="2563" max="2807" width="9.26953125" style="21"/>
    <col min="2808" max="2808" width="8.7265625" style="21" customWidth="1"/>
    <col min="2809" max="2809" width="9.7265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7265625" style="21" customWidth="1"/>
    <col min="2816" max="2816" width="11.26953125" style="21" customWidth="1"/>
    <col min="2817" max="2817" width="2.7265625" style="21" customWidth="1"/>
    <col min="2818" max="2818" width="3.54296875" style="21" customWidth="1"/>
    <col min="2819" max="3063" width="9.26953125" style="21"/>
    <col min="3064" max="3064" width="8.7265625" style="21" customWidth="1"/>
    <col min="3065" max="3065" width="9.7265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7265625" style="21" customWidth="1"/>
    <col min="3072" max="3072" width="11.26953125" style="21" customWidth="1"/>
    <col min="3073" max="3073" width="2.7265625" style="21" customWidth="1"/>
    <col min="3074" max="3074" width="3.54296875" style="21" customWidth="1"/>
    <col min="3075" max="3319" width="9.26953125" style="21"/>
    <col min="3320" max="3320" width="8.7265625" style="21" customWidth="1"/>
    <col min="3321" max="3321" width="9.7265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7265625" style="21" customWidth="1"/>
    <col min="3328" max="3328" width="11.26953125" style="21" customWidth="1"/>
    <col min="3329" max="3329" width="2.7265625" style="21" customWidth="1"/>
    <col min="3330" max="3330" width="3.54296875" style="21" customWidth="1"/>
    <col min="3331" max="3575" width="9.26953125" style="21"/>
    <col min="3576" max="3576" width="8.7265625" style="21" customWidth="1"/>
    <col min="3577" max="3577" width="9.7265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7265625" style="21" customWidth="1"/>
    <col min="3584" max="3584" width="11.26953125" style="21" customWidth="1"/>
    <col min="3585" max="3585" width="2.7265625" style="21" customWidth="1"/>
    <col min="3586" max="3586" width="3.54296875" style="21" customWidth="1"/>
    <col min="3587" max="3831" width="9.26953125" style="21"/>
    <col min="3832" max="3832" width="8.7265625" style="21" customWidth="1"/>
    <col min="3833" max="3833" width="9.7265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7265625" style="21" customWidth="1"/>
    <col min="3840" max="3840" width="11.26953125" style="21" customWidth="1"/>
    <col min="3841" max="3841" width="2.7265625" style="21" customWidth="1"/>
    <col min="3842" max="3842" width="3.54296875" style="21" customWidth="1"/>
    <col min="3843" max="4087" width="9.26953125" style="21"/>
    <col min="4088" max="4088" width="8.7265625" style="21" customWidth="1"/>
    <col min="4089" max="4089" width="9.7265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7265625" style="21" customWidth="1"/>
    <col min="4096" max="4096" width="11.26953125" style="21" customWidth="1"/>
    <col min="4097" max="4097" width="2.7265625" style="21" customWidth="1"/>
    <col min="4098" max="4098" width="3.54296875" style="21" customWidth="1"/>
    <col min="4099" max="4343" width="9.26953125" style="21"/>
    <col min="4344" max="4344" width="8.7265625" style="21" customWidth="1"/>
    <col min="4345" max="4345" width="9.7265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7265625" style="21" customWidth="1"/>
    <col min="4352" max="4352" width="11.26953125" style="21" customWidth="1"/>
    <col min="4353" max="4353" width="2.7265625" style="21" customWidth="1"/>
    <col min="4354" max="4354" width="3.54296875" style="21" customWidth="1"/>
    <col min="4355" max="4599" width="9.26953125" style="21"/>
    <col min="4600" max="4600" width="8.7265625" style="21" customWidth="1"/>
    <col min="4601" max="4601" width="9.7265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7265625" style="21" customWidth="1"/>
    <col min="4608" max="4608" width="11.26953125" style="21" customWidth="1"/>
    <col min="4609" max="4609" width="2.7265625" style="21" customWidth="1"/>
    <col min="4610" max="4610" width="3.54296875" style="21" customWidth="1"/>
    <col min="4611" max="4855" width="9.26953125" style="21"/>
    <col min="4856" max="4856" width="8.7265625" style="21" customWidth="1"/>
    <col min="4857" max="4857" width="9.7265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7265625" style="21" customWidth="1"/>
    <col min="4864" max="4864" width="11.26953125" style="21" customWidth="1"/>
    <col min="4865" max="4865" width="2.7265625" style="21" customWidth="1"/>
    <col min="4866" max="4866" width="3.54296875" style="21" customWidth="1"/>
    <col min="4867" max="5111" width="9.26953125" style="21"/>
    <col min="5112" max="5112" width="8.7265625" style="21" customWidth="1"/>
    <col min="5113" max="5113" width="9.7265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7265625" style="21" customWidth="1"/>
    <col min="5120" max="5120" width="11.26953125" style="21" customWidth="1"/>
    <col min="5121" max="5121" width="2.7265625" style="21" customWidth="1"/>
    <col min="5122" max="5122" width="3.54296875" style="21" customWidth="1"/>
    <col min="5123" max="5367" width="9.26953125" style="21"/>
    <col min="5368" max="5368" width="8.7265625" style="21" customWidth="1"/>
    <col min="5369" max="5369" width="9.7265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7265625" style="21" customWidth="1"/>
    <col min="5376" max="5376" width="11.26953125" style="21" customWidth="1"/>
    <col min="5377" max="5377" width="2.7265625" style="21" customWidth="1"/>
    <col min="5378" max="5378" width="3.54296875" style="21" customWidth="1"/>
    <col min="5379" max="5623" width="9.26953125" style="21"/>
    <col min="5624" max="5624" width="8.7265625" style="21" customWidth="1"/>
    <col min="5625" max="5625" width="9.7265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7265625" style="21" customWidth="1"/>
    <col min="5632" max="5632" width="11.26953125" style="21" customWidth="1"/>
    <col min="5633" max="5633" width="2.7265625" style="21" customWidth="1"/>
    <col min="5634" max="5634" width="3.54296875" style="21" customWidth="1"/>
    <col min="5635" max="5879" width="9.26953125" style="21"/>
    <col min="5880" max="5880" width="8.7265625" style="21" customWidth="1"/>
    <col min="5881" max="5881" width="9.7265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7265625" style="21" customWidth="1"/>
    <col min="5888" max="5888" width="11.26953125" style="21" customWidth="1"/>
    <col min="5889" max="5889" width="2.7265625" style="21" customWidth="1"/>
    <col min="5890" max="5890" width="3.54296875" style="21" customWidth="1"/>
    <col min="5891" max="6135" width="9.26953125" style="21"/>
    <col min="6136" max="6136" width="8.7265625" style="21" customWidth="1"/>
    <col min="6137" max="6137" width="9.7265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7265625" style="21" customWidth="1"/>
    <col min="6144" max="6144" width="11.26953125" style="21" customWidth="1"/>
    <col min="6145" max="6145" width="2.7265625" style="21" customWidth="1"/>
    <col min="6146" max="6146" width="3.54296875" style="21" customWidth="1"/>
    <col min="6147" max="6391" width="9.26953125" style="21"/>
    <col min="6392" max="6392" width="8.7265625" style="21" customWidth="1"/>
    <col min="6393" max="6393" width="9.7265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7265625" style="21" customWidth="1"/>
    <col min="6400" max="6400" width="11.26953125" style="21" customWidth="1"/>
    <col min="6401" max="6401" width="2.7265625" style="21" customWidth="1"/>
    <col min="6402" max="6402" width="3.54296875" style="21" customWidth="1"/>
    <col min="6403" max="6647" width="9.26953125" style="21"/>
    <col min="6648" max="6648" width="8.7265625" style="21" customWidth="1"/>
    <col min="6649" max="6649" width="9.7265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7265625" style="21" customWidth="1"/>
    <col min="6656" max="6656" width="11.26953125" style="21" customWidth="1"/>
    <col min="6657" max="6657" width="2.7265625" style="21" customWidth="1"/>
    <col min="6658" max="6658" width="3.54296875" style="21" customWidth="1"/>
    <col min="6659" max="6903" width="9.26953125" style="21"/>
    <col min="6904" max="6904" width="8.7265625" style="21" customWidth="1"/>
    <col min="6905" max="6905" width="9.7265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7265625" style="21" customWidth="1"/>
    <col min="6912" max="6912" width="11.26953125" style="21" customWidth="1"/>
    <col min="6913" max="6913" width="2.7265625" style="21" customWidth="1"/>
    <col min="6914" max="6914" width="3.54296875" style="21" customWidth="1"/>
    <col min="6915" max="7159" width="9.26953125" style="21"/>
    <col min="7160" max="7160" width="8.7265625" style="21" customWidth="1"/>
    <col min="7161" max="7161" width="9.7265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7265625" style="21" customWidth="1"/>
    <col min="7168" max="7168" width="11.26953125" style="21" customWidth="1"/>
    <col min="7169" max="7169" width="2.7265625" style="21" customWidth="1"/>
    <col min="7170" max="7170" width="3.54296875" style="21" customWidth="1"/>
    <col min="7171" max="7415" width="9.26953125" style="21"/>
    <col min="7416" max="7416" width="8.7265625" style="21" customWidth="1"/>
    <col min="7417" max="7417" width="9.7265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7265625" style="21" customWidth="1"/>
    <col min="7424" max="7424" width="11.26953125" style="21" customWidth="1"/>
    <col min="7425" max="7425" width="2.7265625" style="21" customWidth="1"/>
    <col min="7426" max="7426" width="3.54296875" style="21" customWidth="1"/>
    <col min="7427" max="7671" width="9.26953125" style="21"/>
    <col min="7672" max="7672" width="8.7265625" style="21" customWidth="1"/>
    <col min="7673" max="7673" width="9.7265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7265625" style="21" customWidth="1"/>
    <col min="7680" max="7680" width="11.26953125" style="21" customWidth="1"/>
    <col min="7681" max="7681" width="2.7265625" style="21" customWidth="1"/>
    <col min="7682" max="7682" width="3.54296875" style="21" customWidth="1"/>
    <col min="7683" max="7927" width="9.26953125" style="21"/>
    <col min="7928" max="7928" width="8.7265625" style="21" customWidth="1"/>
    <col min="7929" max="7929" width="9.7265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7265625" style="21" customWidth="1"/>
    <col min="7936" max="7936" width="11.26953125" style="21" customWidth="1"/>
    <col min="7937" max="7937" width="2.7265625" style="21" customWidth="1"/>
    <col min="7938" max="7938" width="3.54296875" style="21" customWidth="1"/>
    <col min="7939" max="8183" width="9.26953125" style="21"/>
    <col min="8184" max="8184" width="8.7265625" style="21" customWidth="1"/>
    <col min="8185" max="8185" width="9.7265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7265625" style="21" customWidth="1"/>
    <col min="8192" max="8192" width="11.26953125" style="21" customWidth="1"/>
    <col min="8193" max="8193" width="2.7265625" style="21" customWidth="1"/>
    <col min="8194" max="8194" width="3.54296875" style="21" customWidth="1"/>
    <col min="8195" max="8439" width="9.26953125" style="21"/>
    <col min="8440" max="8440" width="8.7265625" style="21" customWidth="1"/>
    <col min="8441" max="8441" width="9.7265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7265625" style="21" customWidth="1"/>
    <col min="8448" max="8448" width="11.26953125" style="21" customWidth="1"/>
    <col min="8449" max="8449" width="2.7265625" style="21" customWidth="1"/>
    <col min="8450" max="8450" width="3.54296875" style="21" customWidth="1"/>
    <col min="8451" max="8695" width="9.26953125" style="21"/>
    <col min="8696" max="8696" width="8.7265625" style="21" customWidth="1"/>
    <col min="8697" max="8697" width="9.7265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7265625" style="21" customWidth="1"/>
    <col min="8704" max="8704" width="11.26953125" style="21" customWidth="1"/>
    <col min="8705" max="8705" width="2.7265625" style="21" customWidth="1"/>
    <col min="8706" max="8706" width="3.54296875" style="21" customWidth="1"/>
    <col min="8707" max="8951" width="9.26953125" style="21"/>
    <col min="8952" max="8952" width="8.7265625" style="21" customWidth="1"/>
    <col min="8953" max="8953" width="9.7265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7265625" style="21" customWidth="1"/>
    <col min="8960" max="8960" width="11.26953125" style="21" customWidth="1"/>
    <col min="8961" max="8961" width="2.7265625" style="21" customWidth="1"/>
    <col min="8962" max="8962" width="3.54296875" style="21" customWidth="1"/>
    <col min="8963" max="9207" width="9.26953125" style="21"/>
    <col min="9208" max="9208" width="8.7265625" style="21" customWidth="1"/>
    <col min="9209" max="9209" width="9.7265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7265625" style="21" customWidth="1"/>
    <col min="9216" max="9216" width="11.26953125" style="21" customWidth="1"/>
    <col min="9217" max="9217" width="2.7265625" style="21" customWidth="1"/>
    <col min="9218" max="9218" width="3.54296875" style="21" customWidth="1"/>
    <col min="9219" max="9463" width="9.26953125" style="21"/>
    <col min="9464" max="9464" width="8.7265625" style="21" customWidth="1"/>
    <col min="9465" max="9465" width="9.7265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7265625" style="21" customWidth="1"/>
    <col min="9472" max="9472" width="11.26953125" style="21" customWidth="1"/>
    <col min="9473" max="9473" width="2.7265625" style="21" customWidth="1"/>
    <col min="9474" max="9474" width="3.54296875" style="21" customWidth="1"/>
    <col min="9475" max="9719" width="9.26953125" style="21"/>
    <col min="9720" max="9720" width="8.7265625" style="21" customWidth="1"/>
    <col min="9721" max="9721" width="9.7265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7265625" style="21" customWidth="1"/>
    <col min="9728" max="9728" width="11.26953125" style="21" customWidth="1"/>
    <col min="9729" max="9729" width="2.7265625" style="21" customWidth="1"/>
    <col min="9730" max="9730" width="3.54296875" style="21" customWidth="1"/>
    <col min="9731" max="9975" width="9.26953125" style="21"/>
    <col min="9976" max="9976" width="8.7265625" style="21" customWidth="1"/>
    <col min="9977" max="9977" width="9.7265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7265625" style="21" customWidth="1"/>
    <col min="9984" max="9984" width="11.26953125" style="21" customWidth="1"/>
    <col min="9985" max="9985" width="2.7265625" style="21" customWidth="1"/>
    <col min="9986" max="9986" width="3.54296875" style="21" customWidth="1"/>
    <col min="9987" max="10231" width="9.26953125" style="21"/>
    <col min="10232" max="10232" width="8.7265625" style="21" customWidth="1"/>
    <col min="10233" max="10233" width="9.7265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7265625" style="21" customWidth="1"/>
    <col min="10240" max="10240" width="11.26953125" style="21" customWidth="1"/>
    <col min="10241" max="10241" width="2.7265625" style="21" customWidth="1"/>
    <col min="10242" max="10242" width="3.54296875" style="21" customWidth="1"/>
    <col min="10243" max="10487" width="9.26953125" style="21"/>
    <col min="10488" max="10488" width="8.7265625" style="21" customWidth="1"/>
    <col min="10489" max="10489" width="9.7265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7265625" style="21" customWidth="1"/>
    <col min="10496" max="10496" width="11.26953125" style="21" customWidth="1"/>
    <col min="10497" max="10497" width="2.7265625" style="21" customWidth="1"/>
    <col min="10498" max="10498" width="3.54296875" style="21" customWidth="1"/>
    <col min="10499" max="10743" width="9.26953125" style="21"/>
    <col min="10744" max="10744" width="8.7265625" style="21" customWidth="1"/>
    <col min="10745" max="10745" width="9.7265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7265625" style="21" customWidth="1"/>
    <col min="10752" max="10752" width="11.26953125" style="21" customWidth="1"/>
    <col min="10753" max="10753" width="2.7265625" style="21" customWidth="1"/>
    <col min="10754" max="10754" width="3.54296875" style="21" customWidth="1"/>
    <col min="10755" max="10999" width="9.26953125" style="21"/>
    <col min="11000" max="11000" width="8.7265625" style="21" customWidth="1"/>
    <col min="11001" max="11001" width="9.7265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7265625" style="21" customWidth="1"/>
    <col min="11008" max="11008" width="11.26953125" style="21" customWidth="1"/>
    <col min="11009" max="11009" width="2.7265625" style="21" customWidth="1"/>
    <col min="11010" max="11010" width="3.54296875" style="21" customWidth="1"/>
    <col min="11011" max="11255" width="9.26953125" style="21"/>
    <col min="11256" max="11256" width="8.7265625" style="21" customWidth="1"/>
    <col min="11257" max="11257" width="9.7265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7265625" style="21" customWidth="1"/>
    <col min="11264" max="11264" width="11.26953125" style="21" customWidth="1"/>
    <col min="11265" max="11265" width="2.7265625" style="21" customWidth="1"/>
    <col min="11266" max="11266" width="3.54296875" style="21" customWidth="1"/>
    <col min="11267" max="11511" width="9.26953125" style="21"/>
    <col min="11512" max="11512" width="8.7265625" style="21" customWidth="1"/>
    <col min="11513" max="11513" width="9.7265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7265625" style="21" customWidth="1"/>
    <col min="11520" max="11520" width="11.26953125" style="21" customWidth="1"/>
    <col min="11521" max="11521" width="2.7265625" style="21" customWidth="1"/>
    <col min="11522" max="11522" width="3.54296875" style="21" customWidth="1"/>
    <col min="11523" max="11767" width="9.26953125" style="21"/>
    <col min="11768" max="11768" width="8.7265625" style="21" customWidth="1"/>
    <col min="11769" max="11769" width="9.7265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7265625" style="21" customWidth="1"/>
    <col min="11776" max="11776" width="11.26953125" style="21" customWidth="1"/>
    <col min="11777" max="11777" width="2.7265625" style="21" customWidth="1"/>
    <col min="11778" max="11778" width="3.54296875" style="21" customWidth="1"/>
    <col min="11779" max="12023" width="9.26953125" style="21"/>
    <col min="12024" max="12024" width="8.7265625" style="21" customWidth="1"/>
    <col min="12025" max="12025" width="9.7265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7265625" style="21" customWidth="1"/>
    <col min="12032" max="12032" width="11.26953125" style="21" customWidth="1"/>
    <col min="12033" max="12033" width="2.7265625" style="21" customWidth="1"/>
    <col min="12034" max="12034" width="3.54296875" style="21" customWidth="1"/>
    <col min="12035" max="12279" width="9.26953125" style="21"/>
    <col min="12280" max="12280" width="8.7265625" style="21" customWidth="1"/>
    <col min="12281" max="12281" width="9.7265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7265625" style="21" customWidth="1"/>
    <col min="12288" max="12288" width="11.26953125" style="21" customWidth="1"/>
    <col min="12289" max="12289" width="2.7265625" style="21" customWidth="1"/>
    <col min="12290" max="12290" width="3.54296875" style="21" customWidth="1"/>
    <col min="12291" max="12535" width="9.26953125" style="21"/>
    <col min="12536" max="12536" width="8.7265625" style="21" customWidth="1"/>
    <col min="12537" max="12537" width="9.7265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7265625" style="21" customWidth="1"/>
    <col min="12544" max="12544" width="11.26953125" style="21" customWidth="1"/>
    <col min="12545" max="12545" width="2.7265625" style="21" customWidth="1"/>
    <col min="12546" max="12546" width="3.54296875" style="21" customWidth="1"/>
    <col min="12547" max="12791" width="9.26953125" style="21"/>
    <col min="12792" max="12792" width="8.7265625" style="21" customWidth="1"/>
    <col min="12793" max="12793" width="9.7265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7265625" style="21" customWidth="1"/>
    <col min="12800" max="12800" width="11.26953125" style="21" customWidth="1"/>
    <col min="12801" max="12801" width="2.7265625" style="21" customWidth="1"/>
    <col min="12802" max="12802" width="3.54296875" style="21" customWidth="1"/>
    <col min="12803" max="13047" width="9.26953125" style="21"/>
    <col min="13048" max="13048" width="8.7265625" style="21" customWidth="1"/>
    <col min="13049" max="13049" width="9.7265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7265625" style="21" customWidth="1"/>
    <col min="13056" max="13056" width="11.26953125" style="21" customWidth="1"/>
    <col min="13057" max="13057" width="2.7265625" style="21" customWidth="1"/>
    <col min="13058" max="13058" width="3.54296875" style="21" customWidth="1"/>
    <col min="13059" max="13303" width="9.26953125" style="21"/>
    <col min="13304" max="13304" width="8.7265625" style="21" customWidth="1"/>
    <col min="13305" max="13305" width="9.7265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7265625" style="21" customWidth="1"/>
    <col min="13312" max="13312" width="11.26953125" style="21" customWidth="1"/>
    <col min="13313" max="13313" width="2.7265625" style="21" customWidth="1"/>
    <col min="13314" max="13314" width="3.54296875" style="21" customWidth="1"/>
    <col min="13315" max="13559" width="9.26953125" style="21"/>
    <col min="13560" max="13560" width="8.7265625" style="21" customWidth="1"/>
    <col min="13561" max="13561" width="9.7265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7265625" style="21" customWidth="1"/>
    <col min="13568" max="13568" width="11.26953125" style="21" customWidth="1"/>
    <col min="13569" max="13569" width="2.7265625" style="21" customWidth="1"/>
    <col min="13570" max="13570" width="3.54296875" style="21" customWidth="1"/>
    <col min="13571" max="13815" width="9.26953125" style="21"/>
    <col min="13816" max="13816" width="8.7265625" style="21" customWidth="1"/>
    <col min="13817" max="13817" width="9.7265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7265625" style="21" customWidth="1"/>
    <col min="13824" max="13824" width="11.26953125" style="21" customWidth="1"/>
    <col min="13825" max="13825" width="2.7265625" style="21" customWidth="1"/>
    <col min="13826" max="13826" width="3.54296875" style="21" customWidth="1"/>
    <col min="13827" max="14071" width="9.26953125" style="21"/>
    <col min="14072" max="14072" width="8.7265625" style="21" customWidth="1"/>
    <col min="14073" max="14073" width="9.7265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7265625" style="21" customWidth="1"/>
    <col min="14080" max="14080" width="11.26953125" style="21" customWidth="1"/>
    <col min="14081" max="14081" width="2.7265625" style="21" customWidth="1"/>
    <col min="14082" max="14082" width="3.54296875" style="21" customWidth="1"/>
    <col min="14083" max="14327" width="9.26953125" style="21"/>
    <col min="14328" max="14328" width="8.7265625" style="21" customWidth="1"/>
    <col min="14329" max="14329" width="9.7265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7265625" style="21" customWidth="1"/>
    <col min="14336" max="14336" width="11.26953125" style="21" customWidth="1"/>
    <col min="14337" max="14337" width="2.7265625" style="21" customWidth="1"/>
    <col min="14338" max="14338" width="3.54296875" style="21" customWidth="1"/>
    <col min="14339" max="14583" width="9.26953125" style="21"/>
    <col min="14584" max="14584" width="8.7265625" style="21" customWidth="1"/>
    <col min="14585" max="14585" width="9.7265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7265625" style="21" customWidth="1"/>
    <col min="14592" max="14592" width="11.26953125" style="21" customWidth="1"/>
    <col min="14593" max="14593" width="2.7265625" style="21" customWidth="1"/>
    <col min="14594" max="14594" width="3.54296875" style="21" customWidth="1"/>
    <col min="14595" max="14839" width="9.26953125" style="21"/>
    <col min="14840" max="14840" width="8.7265625" style="21" customWidth="1"/>
    <col min="14841" max="14841" width="9.7265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7265625" style="21" customWidth="1"/>
    <col min="14848" max="14848" width="11.26953125" style="21" customWidth="1"/>
    <col min="14849" max="14849" width="2.7265625" style="21" customWidth="1"/>
    <col min="14850" max="14850" width="3.54296875" style="21" customWidth="1"/>
    <col min="14851" max="15095" width="9.26953125" style="21"/>
    <col min="15096" max="15096" width="8.7265625" style="21" customWidth="1"/>
    <col min="15097" max="15097" width="9.7265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7265625" style="21" customWidth="1"/>
    <col min="15104" max="15104" width="11.26953125" style="21" customWidth="1"/>
    <col min="15105" max="15105" width="2.7265625" style="21" customWidth="1"/>
    <col min="15106" max="15106" width="3.54296875" style="21" customWidth="1"/>
    <col min="15107" max="15351" width="9.26953125" style="21"/>
    <col min="15352" max="15352" width="8.7265625" style="21" customWidth="1"/>
    <col min="15353" max="15353" width="9.7265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7265625" style="21" customWidth="1"/>
    <col min="15360" max="15360" width="11.26953125" style="21" customWidth="1"/>
    <col min="15361" max="15361" width="2.7265625" style="21" customWidth="1"/>
    <col min="15362" max="15362" width="3.54296875" style="21" customWidth="1"/>
    <col min="15363" max="15607" width="9.26953125" style="21"/>
    <col min="15608" max="15608" width="8.7265625" style="21" customWidth="1"/>
    <col min="15609" max="15609" width="9.7265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7265625" style="21" customWidth="1"/>
    <col min="15616" max="15616" width="11.26953125" style="21" customWidth="1"/>
    <col min="15617" max="15617" width="2.7265625" style="21" customWidth="1"/>
    <col min="15618" max="15618" width="3.54296875" style="21" customWidth="1"/>
    <col min="15619" max="15863" width="9.26953125" style="21"/>
    <col min="15864" max="15864" width="8.7265625" style="21" customWidth="1"/>
    <col min="15865" max="15865" width="9.7265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7265625" style="21" customWidth="1"/>
    <col min="15872" max="15872" width="11.26953125" style="21" customWidth="1"/>
    <col min="15873" max="15873" width="2.7265625" style="21" customWidth="1"/>
    <col min="15874" max="15874" width="3.54296875" style="21" customWidth="1"/>
    <col min="15875" max="16119" width="9.26953125" style="21"/>
    <col min="16120" max="16120" width="8.7265625" style="21" customWidth="1"/>
    <col min="16121" max="16121" width="9.7265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7265625" style="21" customWidth="1"/>
    <col min="16128" max="16128" width="11.26953125" style="21" customWidth="1"/>
    <col min="16129" max="16129" width="2.7265625" style="21" customWidth="1"/>
    <col min="16130" max="16130" width="3.54296875" style="21" customWidth="1"/>
    <col min="16131" max="16384" width="9.26953125" style="21"/>
  </cols>
  <sheetData>
    <row r="1" spans="1:8" ht="46.5" customHeight="1" x14ac:dyDescent="0.35">
      <c r="A1" s="189" t="s">
        <v>236</v>
      </c>
      <c r="B1" s="189"/>
      <c r="C1" s="189"/>
      <c r="D1" s="189"/>
      <c r="E1" s="189"/>
      <c r="F1" s="189"/>
      <c r="G1" s="189"/>
      <c r="H1" s="189"/>
    </row>
    <row r="2" spans="1:8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35">
      <c r="A3" s="160" t="s">
        <v>1</v>
      </c>
      <c r="B3" s="160"/>
      <c r="C3" s="160"/>
      <c r="D3" s="160"/>
      <c r="E3" s="160" t="str">
        <f ca="1">TEXT(TODAY(),"DD/MM/YYYY")</f>
        <v>30/09/2025</v>
      </c>
      <c r="F3" s="160"/>
      <c r="G3" s="160"/>
      <c r="H3" s="160"/>
    </row>
    <row r="4" spans="1:8" ht="15" customHeight="1" x14ac:dyDescent="0.35">
      <c r="A4" s="160" t="s">
        <v>2</v>
      </c>
      <c r="B4" s="160"/>
      <c r="C4" s="160"/>
      <c r="D4" s="160"/>
      <c r="E4" s="160" t="s">
        <v>196</v>
      </c>
      <c r="F4" s="160"/>
      <c r="G4" s="160"/>
      <c r="H4" s="160"/>
    </row>
    <row r="5" spans="1:8" x14ac:dyDescent="0.35">
      <c r="A5" s="160" t="s">
        <v>3</v>
      </c>
      <c r="B5" s="160"/>
      <c r="C5" s="160"/>
      <c r="D5" s="160"/>
      <c r="E5" s="72">
        <v>45930</v>
      </c>
      <c r="F5" s="72"/>
      <c r="G5" s="72"/>
      <c r="H5" s="72"/>
    </row>
    <row r="6" spans="1:8" ht="16.5" customHeight="1" x14ac:dyDescent="0.35">
      <c r="A6" s="160" t="s">
        <v>4</v>
      </c>
      <c r="B6" s="160"/>
      <c r="C6" s="160"/>
      <c r="D6" s="160"/>
      <c r="E6" s="160" t="s">
        <v>197</v>
      </c>
      <c r="F6" s="160"/>
      <c r="G6" s="160"/>
      <c r="H6" s="160"/>
    </row>
    <row r="7" spans="1:8" ht="15" customHeight="1" x14ac:dyDescent="0.35">
      <c r="A7" s="160" t="s">
        <v>5</v>
      </c>
      <c r="B7" s="160"/>
      <c r="C7" s="160"/>
      <c r="D7" s="160"/>
      <c r="E7" s="160" t="str">
        <f>E6</f>
        <v>M/s. Godrej Properties Limited</v>
      </c>
      <c r="F7" s="160"/>
      <c r="G7" s="160"/>
      <c r="H7" s="160"/>
    </row>
    <row r="8" spans="1:8" x14ac:dyDescent="0.35">
      <c r="A8" s="160" t="s">
        <v>6</v>
      </c>
      <c r="B8" s="160"/>
      <c r="C8" s="160"/>
      <c r="D8" s="160"/>
      <c r="E8" s="80" t="s">
        <v>221</v>
      </c>
      <c r="F8" s="80"/>
      <c r="G8" s="80"/>
      <c r="H8" s="80"/>
    </row>
    <row r="9" spans="1:8" x14ac:dyDescent="0.35">
      <c r="A9" s="160" t="s">
        <v>124</v>
      </c>
      <c r="B9" s="160"/>
      <c r="C9" s="160"/>
      <c r="D9" s="160"/>
      <c r="E9" s="160" t="s">
        <v>264</v>
      </c>
      <c r="F9" s="160"/>
      <c r="G9" s="160"/>
      <c r="H9" s="160"/>
    </row>
    <row r="10" spans="1:8" x14ac:dyDescent="0.35">
      <c r="A10" s="160" t="s">
        <v>235</v>
      </c>
      <c r="B10" s="160"/>
      <c r="C10" s="160"/>
      <c r="D10" s="160"/>
      <c r="E10" s="160" t="s">
        <v>248</v>
      </c>
      <c r="F10" s="160"/>
      <c r="G10" s="160"/>
      <c r="H10" s="160"/>
    </row>
    <row r="11" spans="1:8" ht="65.25" customHeight="1" x14ac:dyDescent="0.35">
      <c r="A11" s="160" t="s">
        <v>7</v>
      </c>
      <c r="B11" s="160"/>
      <c r="C11" s="160"/>
      <c r="D11" s="160"/>
      <c r="E11" s="122" t="s">
        <v>222</v>
      </c>
      <c r="F11" s="160"/>
      <c r="G11" s="160"/>
      <c r="H11" s="160"/>
    </row>
    <row r="12" spans="1:8" x14ac:dyDescent="0.35">
      <c r="A12" s="98" t="s">
        <v>8</v>
      </c>
      <c r="B12" s="98"/>
      <c r="C12" s="98"/>
      <c r="D12" s="98"/>
      <c r="E12" s="122" t="s">
        <v>170</v>
      </c>
      <c r="F12" s="122"/>
      <c r="G12" s="122"/>
      <c r="H12" s="122"/>
    </row>
    <row r="13" spans="1:8" ht="63.75" customHeight="1" x14ac:dyDescent="0.35">
      <c r="A13" s="98" t="s">
        <v>9</v>
      </c>
      <c r="B13" s="98"/>
      <c r="C13" s="98"/>
      <c r="D13" s="98"/>
      <c r="E13" s="122" t="s">
        <v>234</v>
      </c>
      <c r="F13" s="160"/>
      <c r="G13" s="160"/>
      <c r="H13" s="160"/>
    </row>
    <row r="14" spans="1:8" ht="49.5" customHeight="1" x14ac:dyDescent="0.35">
      <c r="A14" s="123" t="s">
        <v>10</v>
      </c>
      <c r="B14" s="123"/>
      <c r="C14" s="12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Godrej Ascend Phase 1, 2, 3 &amp; 4, Survey No.234/1, 234/2, 235, 39, 40 &amp; 41/1, near Kalpataru Starlight, Kolshet Road, , Balkum &amp; Dhokali, Thane West, Thane, Thane - 400607.</v>
      </c>
      <c r="D14" s="123"/>
      <c r="E14" s="123"/>
      <c r="F14" s="123"/>
      <c r="G14" s="123"/>
      <c r="H14" s="123"/>
    </row>
    <row r="15" spans="1:8" x14ac:dyDescent="0.35">
      <c r="A15" s="122" t="s">
        <v>169</v>
      </c>
      <c r="B15" s="122"/>
      <c r="C15" s="122" t="s">
        <v>195</v>
      </c>
      <c r="D15" s="122"/>
      <c r="E15" s="122"/>
      <c r="F15" s="122"/>
      <c r="G15" s="122"/>
      <c r="H15" s="122"/>
    </row>
    <row r="16" spans="1:8" ht="15.75" hidden="1" customHeight="1" x14ac:dyDescent="0.35">
      <c r="A16" s="122" t="s">
        <v>168</v>
      </c>
      <c r="B16" s="122"/>
      <c r="C16" s="122" t="s">
        <v>30</v>
      </c>
      <c r="D16" s="122"/>
      <c r="E16" s="122"/>
      <c r="F16" s="122"/>
      <c r="G16" s="122"/>
      <c r="H16" s="122"/>
    </row>
    <row r="17" spans="1:8" ht="15.75" customHeight="1" x14ac:dyDescent="0.35">
      <c r="A17" s="123" t="s">
        <v>11</v>
      </c>
      <c r="B17" s="123"/>
      <c r="C17" s="160" t="s">
        <v>172</v>
      </c>
      <c r="D17" s="160"/>
      <c r="E17" s="123" t="s">
        <v>73</v>
      </c>
      <c r="F17" s="123"/>
      <c r="G17" s="122" t="s">
        <v>171</v>
      </c>
      <c r="H17" s="122"/>
    </row>
    <row r="18" spans="1:8" x14ac:dyDescent="0.35">
      <c r="A18" s="98" t="s">
        <v>13</v>
      </c>
      <c r="B18" s="98"/>
      <c r="C18" s="122" t="s">
        <v>194</v>
      </c>
      <c r="D18" s="122"/>
      <c r="E18" s="123" t="s">
        <v>12</v>
      </c>
      <c r="F18" s="123"/>
      <c r="G18" s="188" t="s">
        <v>173</v>
      </c>
      <c r="H18" s="188"/>
    </row>
    <row r="19" spans="1:8" x14ac:dyDescent="0.35">
      <c r="A19" s="98" t="s">
        <v>74</v>
      </c>
      <c r="B19" s="98"/>
      <c r="C19" s="122" t="s">
        <v>173</v>
      </c>
      <c r="D19" s="122"/>
      <c r="E19" s="123" t="s">
        <v>14</v>
      </c>
      <c r="F19" s="123"/>
      <c r="G19" s="122">
        <v>400607</v>
      </c>
      <c r="H19" s="122"/>
    </row>
    <row r="20" spans="1:8" ht="32.25" customHeight="1" x14ac:dyDescent="0.35">
      <c r="A20" s="98" t="s">
        <v>125</v>
      </c>
      <c r="B20" s="98"/>
      <c r="C20" s="122" t="s">
        <v>174</v>
      </c>
      <c r="D20" s="122"/>
      <c r="E20" s="123" t="s">
        <v>15</v>
      </c>
      <c r="F20" s="123"/>
      <c r="G20" s="122" t="s">
        <v>193</v>
      </c>
      <c r="H20" s="122"/>
    </row>
    <row r="21" spans="1:8" ht="15" customHeight="1" x14ac:dyDescent="0.35">
      <c r="A21" s="123" t="s">
        <v>77</v>
      </c>
      <c r="B21" s="123"/>
      <c r="C21" s="123"/>
      <c r="D21" s="123"/>
      <c r="E21" s="160" t="s">
        <v>16</v>
      </c>
      <c r="F21" s="160"/>
      <c r="G21" s="160"/>
      <c r="H21" s="160"/>
    </row>
    <row r="22" spans="1:8" ht="18.75" customHeight="1" x14ac:dyDescent="0.35">
      <c r="A22" s="123"/>
      <c r="B22" s="123"/>
      <c r="C22" s="123"/>
      <c r="D22" s="123"/>
      <c r="E22" s="160"/>
      <c r="F22" s="160"/>
      <c r="G22" s="160"/>
      <c r="H22" s="160"/>
    </row>
    <row r="23" spans="1:8" ht="15" customHeight="1" x14ac:dyDescent="0.35">
      <c r="A23" s="123" t="s">
        <v>17</v>
      </c>
      <c r="B23" s="123"/>
      <c r="C23" s="123"/>
      <c r="D23" s="123"/>
      <c r="E23" s="122" t="s">
        <v>18</v>
      </c>
      <c r="F23" s="122"/>
      <c r="G23" s="122"/>
      <c r="H23" s="122"/>
    </row>
    <row r="24" spans="1:8" ht="15" customHeight="1" x14ac:dyDescent="0.35">
      <c r="A24" s="98" t="s">
        <v>19</v>
      </c>
      <c r="B24" s="98"/>
      <c r="C24" s="98"/>
      <c r="D24" s="98"/>
      <c r="E24" s="122" t="str">
        <f>IF(AND(G18="Mumbai"),"Upper Class","Middle Class")</f>
        <v>Middle Class</v>
      </c>
      <c r="F24" s="122"/>
      <c r="G24" s="122"/>
      <c r="H24" s="122"/>
    </row>
    <row r="25" spans="1:8" x14ac:dyDescent="0.35">
      <c r="A25" s="98" t="s">
        <v>20</v>
      </c>
      <c r="B25" s="98"/>
      <c r="C25" s="98"/>
      <c r="D25" s="98"/>
      <c r="E25" s="122" t="s">
        <v>21</v>
      </c>
      <c r="F25" s="122"/>
      <c r="G25" s="122"/>
      <c r="H25" s="122"/>
    </row>
    <row r="26" spans="1:8" ht="15.75" customHeight="1" x14ac:dyDescent="0.35">
      <c r="A26" s="98" t="s">
        <v>22</v>
      </c>
      <c r="B26" s="98"/>
      <c r="C26" s="98"/>
      <c r="D26" s="98"/>
      <c r="E26" s="122" t="str">
        <f>IF(AND(G18="Mumbai"),"Developed","Developing")</f>
        <v>Developing</v>
      </c>
      <c r="F26" s="122"/>
      <c r="G26" s="122"/>
      <c r="H26" s="122"/>
    </row>
    <row r="27" spans="1:8" x14ac:dyDescent="0.35">
      <c r="A27" s="98" t="s">
        <v>23</v>
      </c>
      <c r="B27" s="98"/>
      <c r="C27" s="98"/>
      <c r="D27" s="98"/>
      <c r="E27" s="122" t="s">
        <v>24</v>
      </c>
      <c r="F27" s="122"/>
      <c r="G27" s="122"/>
      <c r="H27" s="122"/>
    </row>
    <row r="28" spans="1:8" ht="15.75" customHeight="1" x14ac:dyDescent="0.35">
      <c r="A28" s="98" t="s">
        <v>81</v>
      </c>
      <c r="B28" s="98"/>
      <c r="C28" s="98"/>
      <c r="D28" s="98"/>
      <c r="E28" s="122" t="s">
        <v>82</v>
      </c>
      <c r="F28" s="122"/>
      <c r="G28" s="122"/>
      <c r="H28" s="122"/>
    </row>
    <row r="29" spans="1:8" ht="15" customHeight="1" x14ac:dyDescent="0.35">
      <c r="A29" s="98" t="s">
        <v>33</v>
      </c>
      <c r="B29" s="98"/>
      <c r="C29" s="98"/>
      <c r="D29" s="98"/>
      <c r="E29" s="12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22"/>
      <c r="G29" s="122"/>
      <c r="H29" s="122"/>
    </row>
    <row r="30" spans="1:8" ht="15.75" customHeight="1" x14ac:dyDescent="0.35">
      <c r="A30" s="98" t="s">
        <v>93</v>
      </c>
      <c r="B30" s="98"/>
      <c r="C30" s="98"/>
      <c r="D30" s="98"/>
      <c r="E30" s="122" t="s">
        <v>34</v>
      </c>
      <c r="F30" s="122"/>
      <c r="G30" s="122"/>
      <c r="H30" s="122"/>
    </row>
    <row r="31" spans="1:8" s="22" customFormat="1" x14ac:dyDescent="0.35">
      <c r="A31" s="187" t="s">
        <v>94</v>
      </c>
      <c r="B31" s="187"/>
      <c r="C31" s="186" t="s">
        <v>29</v>
      </c>
      <c r="D31" s="186"/>
      <c r="E31" s="186"/>
      <c r="F31" s="186" t="s">
        <v>31</v>
      </c>
      <c r="G31" s="186"/>
      <c r="H31" s="186"/>
    </row>
    <row r="32" spans="1:8" s="22" customFormat="1" x14ac:dyDescent="0.35">
      <c r="A32" s="154" t="s">
        <v>25</v>
      </c>
      <c r="B32" s="154" t="s">
        <v>30</v>
      </c>
      <c r="C32" s="155" t="s">
        <v>254</v>
      </c>
      <c r="D32" s="155"/>
      <c r="E32" s="155"/>
      <c r="F32" s="155" t="s">
        <v>176</v>
      </c>
      <c r="G32" s="155"/>
      <c r="H32" s="155"/>
    </row>
    <row r="33" spans="1:10" x14ac:dyDescent="0.35">
      <c r="A33" s="154" t="s">
        <v>26</v>
      </c>
      <c r="B33" s="154" t="s">
        <v>30</v>
      </c>
      <c r="C33" s="155" t="s">
        <v>252</v>
      </c>
      <c r="D33" s="155"/>
      <c r="E33" s="155"/>
      <c r="F33" s="155" t="s">
        <v>174</v>
      </c>
      <c r="G33" s="155"/>
      <c r="H33" s="155"/>
    </row>
    <row r="34" spans="1:10" s="22" customFormat="1" x14ac:dyDescent="0.35">
      <c r="A34" s="154" t="s">
        <v>28</v>
      </c>
      <c r="B34" s="154" t="s">
        <v>30</v>
      </c>
      <c r="C34" s="155" t="s">
        <v>253</v>
      </c>
      <c r="D34" s="155"/>
      <c r="E34" s="155"/>
      <c r="F34" s="155" t="s">
        <v>172</v>
      </c>
      <c r="G34" s="155"/>
      <c r="H34" s="155"/>
    </row>
    <row r="35" spans="1:10" x14ac:dyDescent="0.35">
      <c r="A35" s="154" t="s">
        <v>27</v>
      </c>
      <c r="B35" s="154" t="s">
        <v>30</v>
      </c>
      <c r="C35" s="155" t="s">
        <v>252</v>
      </c>
      <c r="D35" s="155"/>
      <c r="E35" s="155"/>
      <c r="F35" s="155" t="s">
        <v>175</v>
      </c>
      <c r="G35" s="155"/>
      <c r="H35" s="155"/>
    </row>
    <row r="36" spans="1:10" x14ac:dyDescent="0.35">
      <c r="A36" s="98" t="s">
        <v>32</v>
      </c>
      <c r="B36" s="98"/>
      <c r="C36" s="98"/>
      <c r="D36" s="98"/>
      <c r="E36" s="98"/>
      <c r="F36" s="98"/>
      <c r="G36" s="98"/>
      <c r="H36" s="98"/>
    </row>
    <row r="37" spans="1:10" ht="15.75" customHeight="1" x14ac:dyDescent="0.35">
      <c r="A37" s="98" t="s">
        <v>208</v>
      </c>
      <c r="B37" s="98"/>
      <c r="C37" s="169" t="s">
        <v>233</v>
      </c>
      <c r="D37" s="170"/>
      <c r="E37" s="170"/>
      <c r="F37" s="170"/>
      <c r="G37" s="170"/>
      <c r="H37" s="171"/>
    </row>
    <row r="38" spans="1:10" x14ac:dyDescent="0.35">
      <c r="A38" s="98" t="s">
        <v>167</v>
      </c>
      <c r="B38" s="98"/>
      <c r="C38" s="168" t="s">
        <v>209</v>
      </c>
      <c r="D38" s="122"/>
      <c r="E38" s="122"/>
      <c r="F38" s="122"/>
      <c r="G38" s="122"/>
      <c r="H38" s="122"/>
    </row>
    <row r="39" spans="1:10" x14ac:dyDescent="0.35">
      <c r="A39" s="167" t="s">
        <v>35</v>
      </c>
      <c r="B39" s="167"/>
      <c r="C39" s="167"/>
      <c r="D39" s="167"/>
      <c r="E39" s="167"/>
      <c r="F39" s="167"/>
      <c r="G39" s="167"/>
      <c r="H39" s="167"/>
    </row>
    <row r="40" spans="1:10" x14ac:dyDescent="0.35">
      <c r="A40" s="98" t="s">
        <v>36</v>
      </c>
      <c r="B40" s="98"/>
      <c r="C40" s="98"/>
      <c r="D40" s="98"/>
      <c r="E40" s="156">
        <v>24332</v>
      </c>
      <c r="F40" s="156"/>
      <c r="G40" s="156"/>
      <c r="H40" s="156"/>
    </row>
    <row r="41" spans="1:10" x14ac:dyDescent="0.35">
      <c r="A41" s="98" t="s">
        <v>37</v>
      </c>
      <c r="B41" s="98"/>
      <c r="C41" s="98"/>
      <c r="D41" s="98"/>
      <c r="E41" s="158">
        <v>1.1000000000000001</v>
      </c>
      <c r="F41" s="158"/>
      <c r="G41" s="158"/>
      <c r="H41" s="158"/>
    </row>
    <row r="42" spans="1:10" x14ac:dyDescent="0.35">
      <c r="A42" s="98" t="s">
        <v>38</v>
      </c>
      <c r="B42" s="98"/>
      <c r="C42" s="98"/>
      <c r="D42" s="98"/>
      <c r="E42" s="158">
        <f>E44/E40-E41</f>
        <v>4.7755749630116711</v>
      </c>
      <c r="F42" s="158"/>
      <c r="G42" s="158"/>
      <c r="H42" s="158"/>
    </row>
    <row r="43" spans="1:10" x14ac:dyDescent="0.35">
      <c r="A43" s="98" t="s">
        <v>39</v>
      </c>
      <c r="B43" s="98"/>
      <c r="C43" s="98"/>
      <c r="D43" s="98"/>
      <c r="E43" s="158">
        <f>E41+E42</f>
        <v>5.8755749630116707</v>
      </c>
      <c r="F43" s="158"/>
      <c r="G43" s="158"/>
      <c r="H43" s="158"/>
    </row>
    <row r="44" spans="1:10" x14ac:dyDescent="0.35">
      <c r="A44" s="98" t="s">
        <v>92</v>
      </c>
      <c r="B44" s="98"/>
      <c r="C44" s="98"/>
      <c r="D44" s="98"/>
      <c r="E44" s="159">
        <v>142964.49</v>
      </c>
      <c r="F44" s="159"/>
      <c r="G44" s="159"/>
      <c r="H44" s="159"/>
      <c r="I44" s="21">
        <v>131812.87</v>
      </c>
      <c r="J44" s="66">
        <f>E44-I44</f>
        <v>11151.619999999995</v>
      </c>
    </row>
    <row r="45" spans="1:10" x14ac:dyDescent="0.35">
      <c r="A45" s="160" t="s">
        <v>40</v>
      </c>
      <c r="B45" s="160"/>
      <c r="C45" s="160"/>
      <c r="D45" s="160"/>
      <c r="E45" s="160" t="s">
        <v>223</v>
      </c>
      <c r="F45" s="160"/>
      <c r="G45" s="160"/>
      <c r="H45" s="160"/>
    </row>
    <row r="46" spans="1:10" x14ac:dyDescent="0.35">
      <c r="A46" s="167" t="s">
        <v>41</v>
      </c>
      <c r="B46" s="167"/>
      <c r="C46" s="167"/>
      <c r="D46" s="167"/>
      <c r="E46" s="167"/>
      <c r="F46" s="167"/>
      <c r="G46" s="167"/>
      <c r="H46" s="167"/>
    </row>
    <row r="47" spans="1:10" ht="33.75" customHeight="1" x14ac:dyDescent="0.35">
      <c r="A47" s="69" t="s">
        <v>155</v>
      </c>
      <c r="B47" s="70"/>
      <c r="C47" s="161" t="s">
        <v>177</v>
      </c>
      <c r="D47" s="162"/>
      <c r="E47" s="162"/>
      <c r="F47" s="162"/>
      <c r="G47" s="162"/>
      <c r="H47" s="163"/>
    </row>
    <row r="48" spans="1:10" ht="32.5" customHeight="1" x14ac:dyDescent="0.35">
      <c r="A48" s="69" t="s">
        <v>204</v>
      </c>
      <c r="B48" s="70"/>
      <c r="C48" s="69" t="s">
        <v>249</v>
      </c>
      <c r="D48" s="71"/>
      <c r="E48" s="70"/>
      <c r="F48" s="18" t="s">
        <v>42</v>
      </c>
      <c r="G48" s="72">
        <v>45377</v>
      </c>
      <c r="H48" s="72"/>
    </row>
    <row r="49" spans="1:14" ht="34.15" customHeight="1" x14ac:dyDescent="0.35">
      <c r="A49" s="69" t="s">
        <v>250</v>
      </c>
      <c r="B49" s="70"/>
      <c r="C49" s="69" t="s">
        <v>210</v>
      </c>
      <c r="D49" s="71"/>
      <c r="E49" s="70"/>
      <c r="F49" s="18" t="s">
        <v>42</v>
      </c>
      <c r="G49" s="72">
        <v>45016</v>
      </c>
      <c r="H49" s="72"/>
    </row>
    <row r="50" spans="1:14" ht="34.15" customHeight="1" x14ac:dyDescent="0.35">
      <c r="A50" s="69" t="s">
        <v>251</v>
      </c>
      <c r="B50" s="70"/>
      <c r="C50" s="69" t="str">
        <f>C48</f>
        <v>S05/0194/19/TMC/TDD/0109/(P/C)/
2024/AutoDCR</v>
      </c>
      <c r="D50" s="71"/>
      <c r="E50" s="70"/>
      <c r="F50" s="18" t="s">
        <v>42</v>
      </c>
      <c r="G50" s="72">
        <f>G48</f>
        <v>45377</v>
      </c>
      <c r="H50" s="72"/>
    </row>
    <row r="51" spans="1:14" s="23" customFormat="1" ht="33" customHeight="1" x14ac:dyDescent="0.35">
      <c r="A51" s="176" t="s">
        <v>238</v>
      </c>
      <c r="B51" s="178"/>
      <c r="C51" s="69" t="s">
        <v>239</v>
      </c>
      <c r="D51" s="71"/>
      <c r="E51" s="70"/>
      <c r="F51" s="18" t="s">
        <v>42</v>
      </c>
      <c r="G51" s="72">
        <v>45377</v>
      </c>
      <c r="H51" s="72"/>
    </row>
    <row r="52" spans="1:14" s="23" customFormat="1" ht="34.5" customHeight="1" x14ac:dyDescent="0.35">
      <c r="A52" s="184"/>
      <c r="B52" s="185"/>
      <c r="C52" s="69" t="s">
        <v>240</v>
      </c>
      <c r="D52" s="71"/>
      <c r="E52" s="71"/>
      <c r="F52" s="71"/>
      <c r="G52" s="71"/>
      <c r="H52" s="70"/>
    </row>
    <row r="53" spans="1:14" x14ac:dyDescent="0.35">
      <c r="A53" s="182" t="s">
        <v>43</v>
      </c>
      <c r="B53" s="183"/>
      <c r="C53" s="182" t="s">
        <v>106</v>
      </c>
      <c r="D53" s="195"/>
      <c r="E53" s="183"/>
      <c r="F53" s="46" t="s">
        <v>42</v>
      </c>
      <c r="G53" s="180" t="s">
        <v>30</v>
      </c>
      <c r="H53" s="181"/>
    </row>
    <row r="54" spans="1:14" x14ac:dyDescent="0.35">
      <c r="A54" s="179" t="s">
        <v>45</v>
      </c>
      <c r="B54" s="179"/>
      <c r="C54" s="179"/>
      <c r="D54" s="179"/>
      <c r="E54" s="179"/>
      <c r="F54" s="179"/>
      <c r="G54" s="179"/>
      <c r="H54" s="179"/>
    </row>
    <row r="55" spans="1:14" x14ac:dyDescent="0.35">
      <c r="A55" s="123" t="s">
        <v>91</v>
      </c>
      <c r="B55" s="123"/>
      <c r="C55" s="123"/>
      <c r="D55" s="98">
        <f>E44</f>
        <v>142964.49</v>
      </c>
      <c r="E55" s="98"/>
      <c r="F55" s="98"/>
      <c r="G55" s="98"/>
      <c r="H55" s="98"/>
    </row>
    <row r="56" spans="1:14" x14ac:dyDescent="0.35">
      <c r="A56" s="122" t="s">
        <v>46</v>
      </c>
      <c r="B56" s="160"/>
      <c r="C56" s="160"/>
      <c r="D56" s="160" t="s">
        <v>262</v>
      </c>
      <c r="E56" s="160"/>
      <c r="F56" s="160"/>
      <c r="G56" s="160"/>
      <c r="H56" s="160"/>
      <c r="I56" s="24"/>
    </row>
    <row r="57" spans="1:14" ht="63.75" customHeight="1" x14ac:dyDescent="0.35">
      <c r="A57" s="176" t="s">
        <v>47</v>
      </c>
      <c r="B57" s="177"/>
      <c r="C57" s="178"/>
      <c r="D57" s="125" t="s">
        <v>255</v>
      </c>
      <c r="E57" s="175"/>
      <c r="F57" s="175"/>
      <c r="G57" s="175"/>
      <c r="H57" s="175"/>
    </row>
    <row r="58" spans="1:14" ht="15.75" customHeight="1" x14ac:dyDescent="0.35">
      <c r="A58" s="176" t="s">
        <v>89</v>
      </c>
      <c r="B58" s="177"/>
      <c r="C58" s="178"/>
      <c r="D58" s="172" t="s">
        <v>206</v>
      </c>
      <c r="E58" s="173"/>
      <c r="F58" s="173"/>
      <c r="G58" s="173"/>
      <c r="H58" s="174"/>
    </row>
    <row r="59" spans="1:14" ht="15.75" customHeight="1" x14ac:dyDescent="0.35">
      <c r="A59" s="206"/>
      <c r="B59" s="207"/>
      <c r="C59" s="208"/>
      <c r="D59" s="172" t="s">
        <v>207</v>
      </c>
      <c r="E59" s="173"/>
      <c r="F59" s="173"/>
      <c r="G59" s="173"/>
      <c r="H59" s="174"/>
    </row>
    <row r="60" spans="1:14" ht="15.75" customHeight="1" x14ac:dyDescent="0.35">
      <c r="A60" s="206"/>
      <c r="B60" s="207"/>
      <c r="C60" s="208"/>
      <c r="D60" s="172" t="s">
        <v>242</v>
      </c>
      <c r="E60" s="173"/>
      <c r="F60" s="173"/>
      <c r="G60" s="173"/>
      <c r="H60" s="174"/>
    </row>
    <row r="61" spans="1:14" ht="15.75" customHeight="1" x14ac:dyDescent="0.35">
      <c r="A61" s="206"/>
      <c r="B61" s="207"/>
      <c r="C61" s="208"/>
      <c r="D61" s="172" t="s">
        <v>241</v>
      </c>
      <c r="E61" s="173"/>
      <c r="F61" s="173"/>
      <c r="G61" s="173"/>
      <c r="H61" s="174"/>
    </row>
    <row r="62" spans="1:14" ht="15.75" customHeight="1" x14ac:dyDescent="0.35">
      <c r="A62" s="184"/>
      <c r="B62" s="209"/>
      <c r="C62" s="185"/>
      <c r="D62" s="164" t="s">
        <v>256</v>
      </c>
      <c r="E62" s="165"/>
      <c r="F62" s="165"/>
      <c r="G62" s="165"/>
      <c r="H62" s="166"/>
    </row>
    <row r="63" spans="1:14" ht="63" customHeight="1" x14ac:dyDescent="0.35">
      <c r="A63" s="98" t="s">
        <v>44</v>
      </c>
      <c r="B63" s="98"/>
      <c r="C63" s="98"/>
      <c r="D63" s="123" t="s">
        <v>224</v>
      </c>
      <c r="E63" s="123"/>
      <c r="F63" s="123"/>
      <c r="G63" s="123"/>
      <c r="H63" s="123"/>
      <c r="J63" s="25"/>
      <c r="K63" s="24"/>
      <c r="N63" s="24"/>
    </row>
    <row r="64" spans="1:14" ht="15.75" customHeight="1" x14ac:dyDescent="0.35">
      <c r="A64" s="98" t="s">
        <v>87</v>
      </c>
      <c r="B64" s="98"/>
      <c r="C64" s="98"/>
      <c r="D64" s="205" t="str">
        <f>(IF(G53="NA","60 Years After Completion",IF(G53&lt;&gt;"NA",""&amp;60-ROUNDDOWN((E3-G53)/360,0)&amp;" Years"," ")))</f>
        <v>60 Years After Completion</v>
      </c>
      <c r="E64" s="205"/>
      <c r="F64" s="205"/>
      <c r="G64" s="205"/>
      <c r="H64" s="205"/>
      <c r="N64" s="24"/>
    </row>
    <row r="65" spans="1:14" ht="15.75" customHeight="1" x14ac:dyDescent="0.35">
      <c r="A65" s="98" t="s">
        <v>88</v>
      </c>
      <c r="B65" s="98"/>
      <c r="C65" s="98"/>
      <c r="D65" s="123" t="s">
        <v>24</v>
      </c>
      <c r="E65" s="123"/>
      <c r="F65" s="123"/>
      <c r="G65" s="123"/>
      <c r="H65" s="123"/>
      <c r="J65" s="26"/>
      <c r="K65" s="26"/>
    </row>
    <row r="66" spans="1:14" ht="63" customHeight="1" x14ac:dyDescent="0.35">
      <c r="A66" s="98" t="s">
        <v>75</v>
      </c>
      <c r="B66" s="98"/>
      <c r="C66" s="98"/>
      <c r="D66" s="122" t="s">
        <v>211</v>
      </c>
      <c r="E66" s="123"/>
      <c r="F66" s="123"/>
      <c r="G66" s="123"/>
      <c r="H66" s="123"/>
    </row>
    <row r="67" spans="1:14" x14ac:dyDescent="0.35">
      <c r="A67" s="123" t="s">
        <v>152</v>
      </c>
      <c r="B67" s="123"/>
      <c r="C67" s="123"/>
      <c r="D67" s="123" t="s">
        <v>30</v>
      </c>
      <c r="E67" s="123"/>
      <c r="F67" s="123"/>
      <c r="G67" s="123"/>
      <c r="H67" s="123"/>
      <c r="I67" s="27"/>
      <c r="J67" s="27"/>
      <c r="K67" s="27"/>
      <c r="L67" s="27"/>
      <c r="M67" s="27"/>
      <c r="N67" s="27"/>
    </row>
    <row r="68" spans="1:14" ht="15.75" customHeight="1" x14ac:dyDescent="0.35">
      <c r="A68" s="157" t="s">
        <v>86</v>
      </c>
      <c r="B68" s="157"/>
      <c r="C68" s="157"/>
      <c r="D68" s="125" t="str">
        <f ca="1">(IF(G116&gt;95%,"Nothing",IF(G116&gt;0%,"Cement, Aggregate, Steel, etc",IF(G88=0%,"Work not yet Started"))))</f>
        <v>Cement, Aggregate, Steel, etc</v>
      </c>
      <c r="E68" s="125"/>
      <c r="F68" s="125"/>
      <c r="G68" s="125"/>
      <c r="H68" s="125"/>
      <c r="J68" s="26"/>
    </row>
    <row r="69" spans="1:14" ht="33.75" customHeight="1" thickBot="1" x14ac:dyDescent="0.4">
      <c r="A69" s="124" t="s">
        <v>119</v>
      </c>
      <c r="B69" s="124"/>
      <c r="C69" s="124"/>
      <c r="D69" s="125" t="str">
        <f ca="1">(IF(D68="Nothing","Yes",IF(D68="Cement, Aggregate, Steel, etc","Under Construction",IF(D68="Work not yet Started","Work not yet Started"))))</f>
        <v>Under Construction</v>
      </c>
      <c r="E69" s="125"/>
      <c r="F69" s="125" t="str">
        <f ca="1">(IF(D68="Nothing","Yes",IF(D68="Cement, Aggregate, Steel, etc","Under Construction",IF(D68="Work not yet Started","Work not yet Started"))))</f>
        <v>Under Construction</v>
      </c>
      <c r="G69" s="125"/>
      <c r="H69" s="125"/>
    </row>
    <row r="70" spans="1:14" ht="15.75" customHeight="1" x14ac:dyDescent="0.35">
      <c r="A70" s="85" t="s">
        <v>144</v>
      </c>
      <c r="B70" s="86"/>
      <c r="C70" s="210" t="str">
        <f>D62</f>
        <v>Phase 4 : Tower 1 = Gr/Stilt + 1st to 46th Floor</v>
      </c>
      <c r="D70" s="211"/>
      <c r="E70" s="211"/>
      <c r="F70" s="211"/>
      <c r="G70" s="211"/>
      <c r="H70" s="212"/>
      <c r="I70" s="48" t="str">
        <f ca="1">IF(D83=100%,"All work Completed. Possession granted to the Building.",IF(D82=100%,"All work Completed, Waiting for OC",I71&amp;""&amp;I72&amp;""&amp;J71&amp;""&amp;J70&amp;" "&amp;J72))</f>
        <v>Excavation, Plinth Completed, RCC upto 5 Slab, Brickwork upto 4 Floor Completed</v>
      </c>
      <c r="J70" s="49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RCC upto 5 Slab, Brickwork upto 4 Floor</v>
      </c>
    </row>
    <row r="71" spans="1:14" s="23" customFormat="1" x14ac:dyDescent="0.35">
      <c r="A71" s="16" t="s">
        <v>146</v>
      </c>
      <c r="B71" s="52">
        <v>0</v>
      </c>
      <c r="C71" s="52" t="s">
        <v>72</v>
      </c>
      <c r="D71" s="52">
        <v>1</v>
      </c>
      <c r="E71" s="52" t="s">
        <v>71</v>
      </c>
      <c r="F71" s="52">
        <v>0</v>
      </c>
      <c r="G71" s="52" t="s">
        <v>80</v>
      </c>
      <c r="H71" s="17">
        <f ca="1">--TRIM(RIGHT(SUBSTITUTE(LEFT(C70,_xlfn.AGGREGATE(16,6,FIND({0,1,2,3,4,5,6,7,8,9},C70,ROW(INDIRECT("1:"&amp;LEN(C70)))),1))," ",REPT(" ",LEN(C70))),LEN(C70)))</f>
        <v>46</v>
      </c>
      <c r="I71" s="53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</v>
      </c>
      <c r="J71" s="54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31" customHeight="1" x14ac:dyDescent="0.35">
      <c r="A72" s="90" t="s">
        <v>90</v>
      </c>
      <c r="B72" s="80"/>
      <c r="C72" s="81" t="str">
        <f ca="1">(IF($G$53="NA",I70,"All work Completed. OC Received."))</f>
        <v>Excavation, Plinth Completed, RCC upto 5 Slab, Brickwork upto 4 Floor Completed</v>
      </c>
      <c r="D72" s="81"/>
      <c r="E72" s="81"/>
      <c r="F72" s="81"/>
      <c r="G72" s="81"/>
      <c r="H72" s="91"/>
      <c r="I72" s="50" t="str">
        <f ca="1">IF(I71&lt;&gt;""," Completed","")</f>
        <v xml:space="preserve"> Completed</v>
      </c>
      <c r="J72" s="51" t="str">
        <f ca="1">IF(J70&lt;&gt;"","Completed","")</f>
        <v>Completed</v>
      </c>
    </row>
    <row r="73" spans="1:14" ht="15.75" customHeight="1" x14ac:dyDescent="0.35">
      <c r="A73" s="84" t="s">
        <v>48</v>
      </c>
      <c r="B73" s="82"/>
      <c r="C73" s="44" t="s">
        <v>143</v>
      </c>
      <c r="D73" s="44" t="s">
        <v>83</v>
      </c>
      <c r="E73" s="82" t="s">
        <v>85</v>
      </c>
      <c r="F73" s="82"/>
      <c r="G73" s="82" t="s">
        <v>84</v>
      </c>
      <c r="H73" s="134"/>
      <c r="I73" s="14" t="s">
        <v>145</v>
      </c>
      <c r="J73" s="28">
        <f ca="1">H71*25%</f>
        <v>11.5</v>
      </c>
    </row>
    <row r="74" spans="1:14" x14ac:dyDescent="0.35">
      <c r="A74" s="84" t="s">
        <v>132</v>
      </c>
      <c r="B74" s="82"/>
      <c r="C74" s="61">
        <f ca="1">J75</f>
        <v>46</v>
      </c>
      <c r="D74" s="19">
        <f ca="1">((100/H71)*C74)/100</f>
        <v>1</v>
      </c>
      <c r="E74" s="126">
        <f ca="1">(((C75/H71*10)+(40/(D71+F71+H71)*C76)+(7.5/(H71)*C77)+(7.5/(H71)*C78)+(10/H71*C79)+(10/H71*C80)+(5/H71*C81)+(5/H71*C82)+(5/H71*C83))/100)</f>
        <v>0.14907493061979649</v>
      </c>
      <c r="F74" s="136"/>
      <c r="G74" s="126">
        <f ca="1">((((C74/H71)*20)+((C75/H71)*25)+(30/(H71+F71+D71)*C76)+(5/H71*C77)+(5/H71*C78)+(5/H71*C79)+(5/H71*C80)+(0/H71*C81)+(0/H71*C82)+(5/H71*C83))/100)</f>
        <v>0.48626271970397772</v>
      </c>
      <c r="H74" s="127"/>
      <c r="I74" s="14" t="s">
        <v>101</v>
      </c>
      <c r="J74" s="29">
        <f ca="1">H71*50%</f>
        <v>23</v>
      </c>
    </row>
    <row r="75" spans="1:14" x14ac:dyDescent="0.35">
      <c r="A75" s="84" t="s">
        <v>49</v>
      </c>
      <c r="B75" s="82"/>
      <c r="C75" s="61">
        <f ca="1">J83</f>
        <v>46</v>
      </c>
      <c r="D75" s="19">
        <f ca="1">((100/H71)*C75)/100</f>
        <v>1</v>
      </c>
      <c r="E75" s="128"/>
      <c r="F75" s="137"/>
      <c r="G75" s="128"/>
      <c r="H75" s="129"/>
      <c r="I75" s="14" t="s">
        <v>102</v>
      </c>
      <c r="J75" s="29">
        <f ca="1">H71</f>
        <v>46</v>
      </c>
    </row>
    <row r="76" spans="1:14" ht="15.75" customHeight="1" x14ac:dyDescent="0.35">
      <c r="A76" s="84" t="s">
        <v>133</v>
      </c>
      <c r="B76" s="82"/>
      <c r="C76" s="44">
        <v>5</v>
      </c>
      <c r="D76" s="19">
        <f ca="1">((100/(D71+F71+H71))*C76)/100</f>
        <v>0.10638297872340426</v>
      </c>
      <c r="E76" s="128"/>
      <c r="F76" s="137"/>
      <c r="G76" s="128"/>
      <c r="H76" s="129"/>
      <c r="I76" s="14" t="s">
        <v>103</v>
      </c>
      <c r="J76" s="30">
        <f ca="1">(IF(B71&gt;1,(H71/(B71+2)),H71/4))</f>
        <v>11.5</v>
      </c>
    </row>
    <row r="77" spans="1:14" ht="15.75" customHeight="1" x14ac:dyDescent="0.35">
      <c r="A77" s="84" t="s">
        <v>140</v>
      </c>
      <c r="B77" s="82" t="s">
        <v>134</v>
      </c>
      <c r="C77" s="44">
        <f>C76-1</f>
        <v>4</v>
      </c>
      <c r="D77" s="19">
        <f ca="1">((100/H71)*C77)/100</f>
        <v>8.6956521739130432E-2</v>
      </c>
      <c r="E77" s="128"/>
      <c r="F77" s="137"/>
      <c r="G77" s="128"/>
      <c r="H77" s="129"/>
      <c r="I77" s="14" t="s">
        <v>104</v>
      </c>
      <c r="J77" s="30">
        <f ca="1">(IF(B71&gt;1,(H71/(B71+2)+J76),H71/4+J76))</f>
        <v>23</v>
      </c>
    </row>
    <row r="78" spans="1:14" ht="15.75" customHeight="1" x14ac:dyDescent="0.35">
      <c r="A78" s="84" t="s">
        <v>141</v>
      </c>
      <c r="B78" s="82" t="s">
        <v>134</v>
      </c>
      <c r="C78" s="44">
        <v>0</v>
      </c>
      <c r="D78" s="19">
        <f ca="1">((100/H71)*C78)/100</f>
        <v>0</v>
      </c>
      <c r="E78" s="128"/>
      <c r="F78" s="137"/>
      <c r="G78" s="128"/>
      <c r="H78" s="129"/>
      <c r="I78" s="14" t="s">
        <v>150</v>
      </c>
      <c r="J78" s="30">
        <f>(IF(B71&gt;1,(H71/(B71+2)+J77),0))</f>
        <v>0</v>
      </c>
    </row>
    <row r="79" spans="1:14" ht="15" customHeight="1" x14ac:dyDescent="0.35">
      <c r="A79" s="84" t="s">
        <v>139</v>
      </c>
      <c r="B79" s="82" t="s">
        <v>136</v>
      </c>
      <c r="C79" s="44">
        <v>0</v>
      </c>
      <c r="D79" s="19">
        <f ca="1">((100/(H71))*C79)/100</f>
        <v>0</v>
      </c>
      <c r="E79" s="128"/>
      <c r="F79" s="137"/>
      <c r="G79" s="128"/>
      <c r="H79" s="129"/>
      <c r="I79" s="14" t="s">
        <v>147</v>
      </c>
      <c r="J79" s="30">
        <f>(IF(B71&gt;2,(H71/(B71+2)+J78),0))</f>
        <v>0</v>
      </c>
    </row>
    <row r="80" spans="1:14" ht="15.75" customHeight="1" x14ac:dyDescent="0.35">
      <c r="A80" s="84" t="s">
        <v>135</v>
      </c>
      <c r="B80" s="82" t="s">
        <v>135</v>
      </c>
      <c r="C80" s="44">
        <v>0</v>
      </c>
      <c r="D80" s="19">
        <f ca="1">((100/H71)*C80)/100</f>
        <v>0</v>
      </c>
      <c r="E80" s="128"/>
      <c r="F80" s="137"/>
      <c r="G80" s="128"/>
      <c r="H80" s="129"/>
      <c r="I80" s="14" t="s">
        <v>148</v>
      </c>
      <c r="J80" s="31">
        <f>(IF(B71&gt;3,(H71/(B71+2)+J79),0))</f>
        <v>0</v>
      </c>
    </row>
    <row r="81" spans="1:11" ht="15.75" customHeight="1" x14ac:dyDescent="0.35">
      <c r="A81" s="84" t="s">
        <v>142</v>
      </c>
      <c r="B81" s="82"/>
      <c r="C81" s="44">
        <v>0</v>
      </c>
      <c r="D81" s="19">
        <f ca="1">((100/H71)*C81)/100</f>
        <v>0</v>
      </c>
      <c r="E81" s="128"/>
      <c r="F81" s="137"/>
      <c r="G81" s="128"/>
      <c r="H81" s="129"/>
      <c r="I81" s="14" t="s">
        <v>149</v>
      </c>
      <c r="J81" s="30">
        <f>(IF(B71&gt;4,(H71/(B71+2)+J80),0))</f>
        <v>0</v>
      </c>
    </row>
    <row r="82" spans="1:11" ht="15.75" customHeight="1" x14ac:dyDescent="0.35">
      <c r="A82" s="84" t="s">
        <v>137</v>
      </c>
      <c r="B82" s="82" t="s">
        <v>137</v>
      </c>
      <c r="C82" s="44">
        <v>0</v>
      </c>
      <c r="D82" s="19">
        <f ca="1">((100/(H71))*C82)/100</f>
        <v>0</v>
      </c>
      <c r="E82" s="128"/>
      <c r="F82" s="137"/>
      <c r="G82" s="128"/>
      <c r="H82" s="129"/>
      <c r="I82" s="14" t="s">
        <v>151</v>
      </c>
      <c r="J82" s="30">
        <f ca="1">(IF(B71=1,(H71/(B71+3)+J77),IF(B71=0,(H71/4+J77),IF(B71&gt;1,0))))</f>
        <v>34.5</v>
      </c>
    </row>
    <row r="83" spans="1:11" ht="16" thickBot="1" x14ac:dyDescent="0.4">
      <c r="A83" s="132" t="s">
        <v>138</v>
      </c>
      <c r="B83" s="133"/>
      <c r="C83" s="45">
        <v>0</v>
      </c>
      <c r="D83" s="20">
        <f ca="1">((100/(H71))*C83)/100</f>
        <v>0</v>
      </c>
      <c r="E83" s="130"/>
      <c r="F83" s="138"/>
      <c r="G83" s="130"/>
      <c r="H83" s="131"/>
      <c r="I83" s="15" t="s">
        <v>105</v>
      </c>
      <c r="J83" s="32">
        <f ca="1">(IF(B71&gt;1.5,(H71/(B71+2)+J77+MAX(0,J78-J77)+MAX(0,J79-J78)+MAX(0,J80-J79)+MAX(0,J81-J80)+MAX(0,J82-J81)),IF(B71=1,(H71/(B71+3)+J82),IF(B71=0,H71/4+J82))))</f>
        <v>46</v>
      </c>
    </row>
    <row r="84" spans="1:11" ht="15.75" customHeight="1" x14ac:dyDescent="0.35">
      <c r="A84" s="85" t="s">
        <v>144</v>
      </c>
      <c r="B84" s="86"/>
      <c r="C84" s="87" t="str">
        <f>D58</f>
        <v>Phase 1 : Tower 2 = Gr + 1st to 42nd Floor</v>
      </c>
      <c r="D84" s="88"/>
      <c r="E84" s="88"/>
      <c r="F84" s="88"/>
      <c r="G84" s="88"/>
      <c r="H84" s="89"/>
      <c r="I84" s="48" t="str">
        <f ca="1">IF(D97=100%,"All work Completed. Possession granted to the Building.",IF(D96=100%,"All work Completed, Waiting for OC",I85&amp;""&amp;I86&amp;""&amp;J85&amp;""&amp;J84&amp;" "&amp;J86))</f>
        <v>Excavation, Plinth Completed, RCC upto 15 Slab, Brickwork upto 14 Floor, Internal Plaster upto 10.5 Floor, External Plaster upto 9.1 Floor Completed</v>
      </c>
      <c r="J84" s="49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RCC upto 15 Slab, Brickwork upto 14 Floor, Internal Plaster upto 10.5 Floor, External Plaster upto 9.1 Floor</v>
      </c>
    </row>
    <row r="85" spans="1:11" s="23" customFormat="1" x14ac:dyDescent="0.35">
      <c r="A85" s="16" t="s">
        <v>146</v>
      </c>
      <c r="B85" s="52">
        <v>0</v>
      </c>
      <c r="C85" s="52" t="s">
        <v>72</v>
      </c>
      <c r="D85" s="52">
        <v>1</v>
      </c>
      <c r="E85" s="52" t="s">
        <v>71</v>
      </c>
      <c r="F85" s="52">
        <v>0</v>
      </c>
      <c r="G85" s="52" t="s">
        <v>80</v>
      </c>
      <c r="H85" s="17">
        <f ca="1">--TRIM(RIGHT(SUBSTITUTE(LEFT(C84,_xlfn.AGGREGATE(16,6,FIND({0,1,2,3,4,5,6,7,8,9},C84,ROW(INDIRECT("1:"&amp;LEN(C84)))),1))," ",REPT(" ",LEN(C84))),LEN(C84)))</f>
        <v>42</v>
      </c>
      <c r="I85" s="53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</v>
      </c>
      <c r="J85" s="54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1" ht="37.15" customHeight="1" x14ac:dyDescent="0.35">
      <c r="A86" s="90" t="s">
        <v>90</v>
      </c>
      <c r="B86" s="80"/>
      <c r="C86" s="81" t="str">
        <f ca="1">(IF($G$53="NA",I84,"All work Completed. OC Received."))</f>
        <v>Excavation, Plinth Completed, RCC upto 15 Slab, Brickwork upto 14 Floor, Internal Plaster upto 10.5 Floor, External Plaster upto 9.1 Floor Completed</v>
      </c>
      <c r="D86" s="81"/>
      <c r="E86" s="81"/>
      <c r="F86" s="81"/>
      <c r="G86" s="81"/>
      <c r="H86" s="91"/>
      <c r="I86" s="50" t="str">
        <f ca="1">IF(I85&lt;&gt;""," Completed","")</f>
        <v xml:space="preserve"> Completed</v>
      </c>
      <c r="J86" s="51" t="str">
        <f ca="1">IF(J84&lt;&gt;"","Completed","")</f>
        <v>Completed</v>
      </c>
    </row>
    <row r="87" spans="1:11" ht="15.75" customHeight="1" x14ac:dyDescent="0.35">
      <c r="A87" s="84" t="s">
        <v>48</v>
      </c>
      <c r="B87" s="82"/>
      <c r="C87" s="44" t="s">
        <v>143</v>
      </c>
      <c r="D87" s="44" t="s">
        <v>83</v>
      </c>
      <c r="E87" s="82" t="s">
        <v>85</v>
      </c>
      <c r="F87" s="82"/>
      <c r="G87" s="82" t="s">
        <v>84</v>
      </c>
      <c r="H87" s="134"/>
      <c r="I87" s="14" t="s">
        <v>145</v>
      </c>
      <c r="J87" s="28">
        <f ca="1">H85*25%</f>
        <v>10.5</v>
      </c>
    </row>
    <row r="88" spans="1:11" x14ac:dyDescent="0.35">
      <c r="A88" s="82" t="s">
        <v>132</v>
      </c>
      <c r="B88" s="82"/>
      <c r="C88" s="44">
        <f ca="1">J89</f>
        <v>42</v>
      </c>
      <c r="D88" s="19">
        <f ca="1">((100/H85)*C88)/100</f>
        <v>1</v>
      </c>
      <c r="E88" s="83">
        <f ca="1">(((C89/H85*10)+(40/(D85+F85+H85)*C90)+(7.5/(H85)*C91)+(7.5/(H85)*C92)+(10/H85*C93)+(10/H85*C94)+(5/H85*C95)+(5/H85*C96)+(5/H85*C97))/100)</f>
        <v>0.30495155038759691</v>
      </c>
      <c r="F88" s="83"/>
      <c r="G88" s="83">
        <f ca="1">((((C88/H85)*20)+((C89/H85)*25)+(30/(H85+F85+D85)*C90)+(5/H85*C91)+(5/H85*C92)+(5/H85*C93)+(5/H85*C94)+(0/H85*C95)+(0/H85*C96)+(5/H85*C97))/100)</f>
        <v>0.59465116279069763</v>
      </c>
      <c r="H88" s="83"/>
      <c r="I88" s="14" t="s">
        <v>101</v>
      </c>
      <c r="J88" s="29">
        <f ca="1">H85*50%</f>
        <v>21</v>
      </c>
    </row>
    <row r="89" spans="1:11" x14ac:dyDescent="0.35">
      <c r="A89" s="82" t="s">
        <v>49</v>
      </c>
      <c r="B89" s="82"/>
      <c r="C89" s="61">
        <f ca="1">J97</f>
        <v>42</v>
      </c>
      <c r="D89" s="19">
        <f ca="1">((100/H85)*C89)/100</f>
        <v>1</v>
      </c>
      <c r="E89" s="83"/>
      <c r="F89" s="83"/>
      <c r="G89" s="83"/>
      <c r="H89" s="83"/>
      <c r="I89" s="14" t="s">
        <v>102</v>
      </c>
      <c r="J89" s="29">
        <f ca="1">H85</f>
        <v>42</v>
      </c>
      <c r="K89" s="21">
        <f>43*0.02</f>
        <v>0.86</v>
      </c>
    </row>
    <row r="90" spans="1:11" ht="15.75" customHeight="1" x14ac:dyDescent="0.35">
      <c r="A90" s="82" t="s">
        <v>133</v>
      </c>
      <c r="B90" s="82"/>
      <c r="C90" s="44">
        <v>15</v>
      </c>
      <c r="D90" s="19">
        <f ca="1">((100/(D85+F85+H85))*C90)/100</f>
        <v>0.34883720930232565</v>
      </c>
      <c r="E90" s="83"/>
      <c r="F90" s="83"/>
      <c r="G90" s="83"/>
      <c r="H90" s="83"/>
      <c r="I90" s="14" t="s">
        <v>103</v>
      </c>
      <c r="J90" s="30">
        <f ca="1">(IF(B85&gt;1,(H85/(B85+2)),H85/4))</f>
        <v>10.5</v>
      </c>
    </row>
    <row r="91" spans="1:11" ht="15.75" customHeight="1" x14ac:dyDescent="0.35">
      <c r="A91" s="82" t="s">
        <v>140</v>
      </c>
      <c r="B91" s="82" t="s">
        <v>134</v>
      </c>
      <c r="C91" s="44">
        <f>C90-D85</f>
        <v>14</v>
      </c>
      <c r="D91" s="19">
        <f ca="1">((100/H85)*C91)/100</f>
        <v>0.33333333333333337</v>
      </c>
      <c r="E91" s="83"/>
      <c r="F91" s="83"/>
      <c r="G91" s="83"/>
      <c r="H91" s="83"/>
      <c r="I91" s="14" t="s">
        <v>104</v>
      </c>
      <c r="J91" s="30">
        <f ca="1">(IF(B85&gt;1,(H85/(B85+2)+J90),H85/4+J90))</f>
        <v>21</v>
      </c>
    </row>
    <row r="92" spans="1:11" ht="15.75" customHeight="1" x14ac:dyDescent="0.35">
      <c r="A92" s="82" t="s">
        <v>141</v>
      </c>
      <c r="B92" s="82" t="s">
        <v>134</v>
      </c>
      <c r="C92" s="61">
        <f>C91*0.75</f>
        <v>10.5</v>
      </c>
      <c r="D92" s="19">
        <f ca="1">((100/H85)*C92)/100</f>
        <v>0.25</v>
      </c>
      <c r="E92" s="83"/>
      <c r="F92" s="83"/>
      <c r="G92" s="83"/>
      <c r="H92" s="83"/>
      <c r="I92" s="14" t="s">
        <v>150</v>
      </c>
      <c r="J92" s="30">
        <f>(IF(B85&gt;1,(H85/(B85+2)+J91),0))</f>
        <v>0</v>
      </c>
    </row>
    <row r="93" spans="1:11" ht="15" customHeight="1" x14ac:dyDescent="0.35">
      <c r="A93" s="82" t="s">
        <v>139</v>
      </c>
      <c r="B93" s="82" t="s">
        <v>136</v>
      </c>
      <c r="C93" s="61">
        <f>C91*0.65</f>
        <v>9.1</v>
      </c>
      <c r="D93" s="19">
        <f ca="1">((100/(H85))*C93)/100</f>
        <v>0.21666666666666665</v>
      </c>
      <c r="E93" s="83"/>
      <c r="F93" s="83"/>
      <c r="G93" s="83"/>
      <c r="H93" s="83"/>
      <c r="I93" s="14" t="s">
        <v>147</v>
      </c>
      <c r="J93" s="30">
        <f>(IF(B85&gt;2,(H85/(B85+2)+J92),0))</f>
        <v>0</v>
      </c>
    </row>
    <row r="94" spans="1:11" ht="15.75" customHeight="1" x14ac:dyDescent="0.35">
      <c r="A94" s="82" t="s">
        <v>135</v>
      </c>
      <c r="B94" s="82" t="s">
        <v>135</v>
      </c>
      <c r="C94" s="61">
        <v>0</v>
      </c>
      <c r="D94" s="19">
        <f ca="1">((100/H85)*C94)/100</f>
        <v>0</v>
      </c>
      <c r="E94" s="83"/>
      <c r="F94" s="83"/>
      <c r="G94" s="83"/>
      <c r="H94" s="83"/>
      <c r="I94" s="14" t="s">
        <v>148</v>
      </c>
      <c r="J94" s="31">
        <f>(IF(B85&gt;3,(H85/(B85+2)+J93),0))</f>
        <v>0</v>
      </c>
    </row>
    <row r="95" spans="1:11" ht="15.75" customHeight="1" x14ac:dyDescent="0.35">
      <c r="A95" s="82" t="s">
        <v>142</v>
      </c>
      <c r="B95" s="82"/>
      <c r="C95" s="44">
        <v>0</v>
      </c>
      <c r="D95" s="19">
        <f ca="1">((100/H85)*C95)/100</f>
        <v>0</v>
      </c>
      <c r="E95" s="83"/>
      <c r="F95" s="83"/>
      <c r="G95" s="83"/>
      <c r="H95" s="83"/>
      <c r="I95" s="14" t="s">
        <v>149</v>
      </c>
      <c r="J95" s="30">
        <f>(IF(B85&gt;4,(H85/(B85+2)+J94),0))</f>
        <v>0</v>
      </c>
    </row>
    <row r="96" spans="1:11" ht="15.75" customHeight="1" x14ac:dyDescent="0.35">
      <c r="A96" s="82" t="s">
        <v>137</v>
      </c>
      <c r="B96" s="82" t="s">
        <v>137</v>
      </c>
      <c r="C96" s="44">
        <v>0</v>
      </c>
      <c r="D96" s="19">
        <f ca="1">((100/(H85))*C96)/100</f>
        <v>0</v>
      </c>
      <c r="E96" s="83"/>
      <c r="F96" s="83"/>
      <c r="G96" s="83"/>
      <c r="H96" s="83"/>
      <c r="I96" s="14" t="s">
        <v>151</v>
      </c>
      <c r="J96" s="30">
        <f ca="1">(IF(B85=1,(H85/(B85+3)+J91),IF(B85=0,(H85/4+J91),IF(B85&gt;1,0))))</f>
        <v>31.5</v>
      </c>
    </row>
    <row r="97" spans="1:10" ht="16" thickBot="1" x14ac:dyDescent="0.4">
      <c r="A97" s="82" t="s">
        <v>138</v>
      </c>
      <c r="B97" s="82"/>
      <c r="C97" s="44">
        <v>0</v>
      </c>
      <c r="D97" s="19">
        <f ca="1">((100/(H85))*C97)/100</f>
        <v>0</v>
      </c>
      <c r="E97" s="83"/>
      <c r="F97" s="83"/>
      <c r="G97" s="83"/>
      <c r="H97" s="83"/>
      <c r="I97" s="15" t="s">
        <v>105</v>
      </c>
      <c r="J97" s="32">
        <f ca="1">(IF(B85&gt;1.5,(H85/(B85+2)+J91+MAX(0,J92-J91)+MAX(0,J93-J92)+MAX(0,J94-J93)+MAX(0,J95-J94)+MAX(0,J96-J95)),IF(B85=1,(H85/(B85+3)+J96),IF(B85=0,H85/4+J96))))</f>
        <v>42</v>
      </c>
    </row>
    <row r="98" spans="1:10" ht="15.75" customHeight="1" x14ac:dyDescent="0.35">
      <c r="A98" s="79" t="s">
        <v>144</v>
      </c>
      <c r="B98" s="79"/>
      <c r="C98" s="79" t="str">
        <f>D60</f>
        <v>Phase 2 : Tower 3 = Gr/Stilt + 1st to 42nd Floor</v>
      </c>
      <c r="D98" s="79"/>
      <c r="E98" s="79"/>
      <c r="F98" s="79"/>
      <c r="G98" s="79"/>
      <c r="H98" s="79"/>
      <c r="I98" s="63" t="str">
        <f ca="1">IF(D111=100%,"All work Completed. Possession granted to the Building.",IF(D110=100%,"All work Completed, Waiting for OC",I99&amp;""&amp;I100&amp;""&amp;J99&amp;""&amp;J98&amp;" "&amp;J100))</f>
        <v>Excavation, Plinth Completed, RCC upto 6 Slab Completed</v>
      </c>
      <c r="J98" s="49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RCC upto 6 Slab</v>
      </c>
    </row>
    <row r="99" spans="1:10" s="23" customFormat="1" x14ac:dyDescent="0.35">
      <c r="A99" s="52" t="s">
        <v>146</v>
      </c>
      <c r="B99" s="52">
        <v>0</v>
      </c>
      <c r="C99" s="52" t="s">
        <v>72</v>
      </c>
      <c r="D99" s="52">
        <v>1</v>
      </c>
      <c r="E99" s="52" t="s">
        <v>71</v>
      </c>
      <c r="F99" s="52">
        <v>0</v>
      </c>
      <c r="G99" s="52" t="s">
        <v>80</v>
      </c>
      <c r="H99" s="52">
        <f ca="1">--TRIM(RIGHT(SUBSTITUTE(LEFT(C98,_xlfn.AGGREGATE(16,6,FIND({0,1,2,3,4,5,6,7,8,9},C98,ROW(INDIRECT("1:"&amp;LEN(C98)))),1))," ",REPT(" ",LEN(C98))),LEN(C98)))</f>
        <v>42</v>
      </c>
      <c r="I99" s="64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</v>
      </c>
      <c r="J99" s="54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x14ac:dyDescent="0.35">
      <c r="A100" s="80" t="s">
        <v>90</v>
      </c>
      <c r="B100" s="80"/>
      <c r="C100" s="81" t="str">
        <f ca="1">(IF($G$53="NA",I98,"All work Completed. OC Received."))</f>
        <v>Excavation, Plinth Completed, RCC upto 6 Slab Completed</v>
      </c>
      <c r="D100" s="81"/>
      <c r="E100" s="81"/>
      <c r="F100" s="81"/>
      <c r="G100" s="81"/>
      <c r="H100" s="81"/>
      <c r="I100" s="65" t="str">
        <f ca="1">IF(I99&lt;&gt;""," Completed","")</f>
        <v xml:space="preserve"> Completed</v>
      </c>
      <c r="J100" s="51" t="str">
        <f ca="1">IF(J98&lt;&gt;"","Completed","")</f>
        <v>Completed</v>
      </c>
    </row>
    <row r="101" spans="1:10" ht="15.75" customHeight="1" x14ac:dyDescent="0.35">
      <c r="A101" s="82" t="s">
        <v>48</v>
      </c>
      <c r="B101" s="82"/>
      <c r="C101" s="44" t="s">
        <v>143</v>
      </c>
      <c r="D101" s="44" t="s">
        <v>83</v>
      </c>
      <c r="E101" s="82" t="s">
        <v>85</v>
      </c>
      <c r="F101" s="82"/>
      <c r="G101" s="82" t="s">
        <v>84</v>
      </c>
      <c r="H101" s="82"/>
      <c r="I101" s="14" t="s">
        <v>145</v>
      </c>
      <c r="J101" s="28">
        <f ca="1">H99*25%</f>
        <v>10.5</v>
      </c>
    </row>
    <row r="102" spans="1:10" x14ac:dyDescent="0.35">
      <c r="A102" s="84" t="s">
        <v>132</v>
      </c>
      <c r="B102" s="82"/>
      <c r="C102" s="61">
        <v>42</v>
      </c>
      <c r="D102" s="19">
        <f ca="1">((100/H99)*C102)/100</f>
        <v>1</v>
      </c>
      <c r="E102" s="126">
        <f ca="1">(((C103/H99*10)+(40/(D99+F99+H99)*C104)+(7.5/(H99)*C105)+(7.5/(H99)*C106)+(10/H99*C107)+(10/H99*C108)+(5/H99*C109)+(5/H99*C110)+(5/H99*C111))/100)</f>
        <v>0.1558139534883721</v>
      </c>
      <c r="F102" s="136"/>
      <c r="G102" s="126">
        <f ca="1">((((C102/H99)*20)+((C103/H99)*25)+(30/(H99+F99+D99)*C104)+(5/H99*C105)+(5/H99*C106)+(5/H99*C107)+(5/H99*C108)+(0/H99*C109)+(0/H99*C110)+(5/H99*C111))/100)</f>
        <v>0.49186046511627907</v>
      </c>
      <c r="H102" s="127"/>
      <c r="I102" s="14" t="s">
        <v>101</v>
      </c>
      <c r="J102" s="29">
        <f ca="1">H99*50%</f>
        <v>21</v>
      </c>
    </row>
    <row r="103" spans="1:10" x14ac:dyDescent="0.35">
      <c r="A103" s="84" t="s">
        <v>49</v>
      </c>
      <c r="B103" s="82"/>
      <c r="C103" s="61">
        <f ca="1">J111</f>
        <v>42</v>
      </c>
      <c r="D103" s="19">
        <f ca="1">((100/H99)*C103)/100</f>
        <v>1</v>
      </c>
      <c r="E103" s="128"/>
      <c r="F103" s="137"/>
      <c r="G103" s="128"/>
      <c r="H103" s="129"/>
      <c r="I103" s="14" t="s">
        <v>102</v>
      </c>
      <c r="J103" s="29">
        <f ca="1">H99</f>
        <v>42</v>
      </c>
    </row>
    <row r="104" spans="1:10" ht="15.75" customHeight="1" x14ac:dyDescent="0.35">
      <c r="A104" s="84" t="s">
        <v>133</v>
      </c>
      <c r="B104" s="82"/>
      <c r="C104" s="61">
        <v>6</v>
      </c>
      <c r="D104" s="19">
        <f ca="1">((100/(D99+F99+H99))*C104)/100</f>
        <v>0.13953488372093023</v>
      </c>
      <c r="E104" s="128"/>
      <c r="F104" s="137"/>
      <c r="G104" s="128"/>
      <c r="H104" s="129"/>
      <c r="I104" s="14" t="s">
        <v>103</v>
      </c>
      <c r="J104" s="30">
        <f ca="1">(IF(B99&gt;1,(H99/(B99+2)),H99/4))</f>
        <v>10.5</v>
      </c>
    </row>
    <row r="105" spans="1:10" ht="15.75" customHeight="1" x14ac:dyDescent="0.35">
      <c r="A105" s="84" t="s">
        <v>140</v>
      </c>
      <c r="B105" s="82" t="s">
        <v>134</v>
      </c>
      <c r="C105" s="44">
        <v>0</v>
      </c>
      <c r="D105" s="19">
        <f ca="1">((100/H99)*C105)/100</f>
        <v>0</v>
      </c>
      <c r="E105" s="128"/>
      <c r="F105" s="137"/>
      <c r="G105" s="128"/>
      <c r="H105" s="129"/>
      <c r="I105" s="14" t="s">
        <v>104</v>
      </c>
      <c r="J105" s="30">
        <f ca="1">(IF(B99&gt;1,(H99/(B99+2)+J104),H99/4+J104))</f>
        <v>21</v>
      </c>
    </row>
    <row r="106" spans="1:10" ht="15.75" customHeight="1" x14ac:dyDescent="0.35">
      <c r="A106" s="84" t="s">
        <v>141</v>
      </c>
      <c r="B106" s="82" t="s">
        <v>134</v>
      </c>
      <c r="C106" s="44">
        <v>0</v>
      </c>
      <c r="D106" s="19">
        <f ca="1">((100/H99)*C106)/100</f>
        <v>0</v>
      </c>
      <c r="E106" s="128"/>
      <c r="F106" s="137"/>
      <c r="G106" s="128"/>
      <c r="H106" s="129"/>
      <c r="I106" s="14" t="s">
        <v>150</v>
      </c>
      <c r="J106" s="30">
        <f>(IF(B99&gt;1,(H99/(B99+2)+J105),0))</f>
        <v>0</v>
      </c>
    </row>
    <row r="107" spans="1:10" ht="15" customHeight="1" x14ac:dyDescent="0.35">
      <c r="A107" s="84" t="s">
        <v>139</v>
      </c>
      <c r="B107" s="82" t="s">
        <v>136</v>
      </c>
      <c r="C107" s="44">
        <v>0</v>
      </c>
      <c r="D107" s="19">
        <f ca="1">((100/(H99))*C107)/100</f>
        <v>0</v>
      </c>
      <c r="E107" s="128"/>
      <c r="F107" s="137"/>
      <c r="G107" s="128"/>
      <c r="H107" s="129"/>
      <c r="I107" s="14" t="s">
        <v>147</v>
      </c>
      <c r="J107" s="30">
        <f>(IF(B99&gt;2,(H99/(B99+2)+J106),0))</f>
        <v>0</v>
      </c>
    </row>
    <row r="108" spans="1:10" ht="15.75" customHeight="1" x14ac:dyDescent="0.35">
      <c r="A108" s="84" t="s">
        <v>135</v>
      </c>
      <c r="B108" s="82" t="s">
        <v>135</v>
      </c>
      <c r="C108" s="44">
        <v>0</v>
      </c>
      <c r="D108" s="19">
        <f ca="1">((100/H99)*C108)/100</f>
        <v>0</v>
      </c>
      <c r="E108" s="128"/>
      <c r="F108" s="137"/>
      <c r="G108" s="128"/>
      <c r="H108" s="129"/>
      <c r="I108" s="14" t="s">
        <v>148</v>
      </c>
      <c r="J108" s="31">
        <f>(IF(B99&gt;3,(H99/(B99+2)+J107),0))</f>
        <v>0</v>
      </c>
    </row>
    <row r="109" spans="1:10" ht="15.75" customHeight="1" x14ac:dyDescent="0.35">
      <c r="A109" s="84" t="s">
        <v>142</v>
      </c>
      <c r="B109" s="82"/>
      <c r="C109" s="44">
        <v>0</v>
      </c>
      <c r="D109" s="19">
        <f ca="1">((100/H99)*C109)/100</f>
        <v>0</v>
      </c>
      <c r="E109" s="128"/>
      <c r="F109" s="137"/>
      <c r="G109" s="128"/>
      <c r="H109" s="129"/>
      <c r="I109" s="14" t="s">
        <v>149</v>
      </c>
      <c r="J109" s="30">
        <f>(IF(B99&gt;4,(H99/(B99+2)+J108),0))</f>
        <v>0</v>
      </c>
    </row>
    <row r="110" spans="1:10" ht="15.75" customHeight="1" x14ac:dyDescent="0.35">
      <c r="A110" s="84" t="s">
        <v>137</v>
      </c>
      <c r="B110" s="82" t="s">
        <v>137</v>
      </c>
      <c r="C110" s="44">
        <v>0</v>
      </c>
      <c r="D110" s="19">
        <f ca="1">((100/(H99))*C110)/100</f>
        <v>0</v>
      </c>
      <c r="E110" s="128"/>
      <c r="F110" s="137"/>
      <c r="G110" s="128"/>
      <c r="H110" s="129"/>
      <c r="I110" s="14" t="s">
        <v>151</v>
      </c>
      <c r="J110" s="30">
        <f ca="1">(IF(B99=1,(H99/(B99+3)+J105),IF(B99=0,(H99/4+J105),IF(B99&gt;1,0))))</f>
        <v>31.5</v>
      </c>
    </row>
    <row r="111" spans="1:10" ht="16" thickBot="1" x14ac:dyDescent="0.4">
      <c r="A111" s="132" t="s">
        <v>138</v>
      </c>
      <c r="B111" s="133"/>
      <c r="C111" s="45">
        <v>0</v>
      </c>
      <c r="D111" s="20">
        <f ca="1">((100/(H99))*C111)/100</f>
        <v>0</v>
      </c>
      <c r="E111" s="130"/>
      <c r="F111" s="138"/>
      <c r="G111" s="130"/>
      <c r="H111" s="131"/>
      <c r="I111" s="15" t="s">
        <v>105</v>
      </c>
      <c r="J111" s="32">
        <f ca="1">(IF(B99&gt;1.5,(H99/(B99+2)+J105+MAX(0,J106-J105)+MAX(0,J107-J106)+MAX(0,J108-J107)+MAX(0,J109-J108)+MAX(0,J110-J109)),IF(B99=1,(H99/(B99+3)+J110),IF(B99=0,H99/4+J110))))</f>
        <v>42</v>
      </c>
    </row>
    <row r="112" spans="1:10" ht="15.75" customHeight="1" x14ac:dyDescent="0.35">
      <c r="A112" s="85" t="s">
        <v>144</v>
      </c>
      <c r="B112" s="86"/>
      <c r="C112" s="87" t="str">
        <f>D59</f>
        <v>Phase 1 : Tower 4 = Gr + 1st to 42nd Floor</v>
      </c>
      <c r="D112" s="88"/>
      <c r="E112" s="88"/>
      <c r="F112" s="88"/>
      <c r="G112" s="88"/>
      <c r="H112" s="89"/>
      <c r="I112" s="48" t="str">
        <f ca="1">IF(D125=100%,"All work Completed. Possession granted to the Building.",IF(D124=100%,"All work Completed, Waiting for OC",I113&amp;""&amp;I114&amp;""&amp;J113&amp;""&amp;J112&amp;" "&amp;J114))</f>
        <v>Excavation, Plinth Completed, RCC upto 27 Slab, Brickwork upto 26 Floor, Internal Plaster upto 22.1 Floor, External Plaster upto 20.8 Floor Completed</v>
      </c>
      <c r="J112" s="49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RCC upto 27 Slab, Brickwork upto 26 Floor, Internal Plaster upto 22.1 Floor, External Plaster upto 20.8 Floor</v>
      </c>
    </row>
    <row r="113" spans="1:11" s="23" customFormat="1" x14ac:dyDescent="0.35">
      <c r="A113" s="16" t="s">
        <v>146</v>
      </c>
      <c r="B113" s="52">
        <v>0</v>
      </c>
      <c r="C113" s="52" t="s">
        <v>72</v>
      </c>
      <c r="D113" s="52">
        <v>1</v>
      </c>
      <c r="E113" s="52" t="s">
        <v>71</v>
      </c>
      <c r="F113" s="52">
        <v>0</v>
      </c>
      <c r="G113" s="52" t="s">
        <v>80</v>
      </c>
      <c r="H113" s="17">
        <f ca="1">--TRIM(RIGHT(SUBSTITUTE(LEFT(C112,_xlfn.AGGREGATE(16,6,FIND({0,1,2,3,4,5,6,7,8,9},C112,ROW(INDIRECT("1:"&amp;LEN(C112)))),1))," ",REPT(" ",LEN(C112))),LEN(C112)))</f>
        <v>42</v>
      </c>
      <c r="I113" s="53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</v>
      </c>
      <c r="J113" s="54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1" ht="33" customHeight="1" x14ac:dyDescent="0.35">
      <c r="A114" s="90" t="s">
        <v>90</v>
      </c>
      <c r="B114" s="80"/>
      <c r="C114" s="81" t="str">
        <f ca="1">(IF($G$53="NA",I112,"All work Completed. OC Received."))</f>
        <v>Excavation, Plinth Completed, RCC upto 27 Slab, Brickwork upto 26 Floor, Internal Plaster upto 22.1 Floor, External Plaster upto 20.8 Floor Completed</v>
      </c>
      <c r="D114" s="81"/>
      <c r="E114" s="81"/>
      <c r="F114" s="81"/>
      <c r="G114" s="81"/>
      <c r="H114" s="91"/>
      <c r="I114" s="50" t="str">
        <f ca="1">IF(I113&lt;&gt;""," Completed","")</f>
        <v xml:space="preserve"> Completed</v>
      </c>
      <c r="J114" s="51" t="str">
        <f ca="1">IF(J112&lt;&gt;"","Completed","")</f>
        <v>Completed</v>
      </c>
    </row>
    <row r="115" spans="1:11" ht="15.75" customHeight="1" x14ac:dyDescent="0.35">
      <c r="A115" s="84" t="s">
        <v>48</v>
      </c>
      <c r="B115" s="82"/>
      <c r="C115" s="44" t="s">
        <v>143</v>
      </c>
      <c r="D115" s="44" t="s">
        <v>83</v>
      </c>
      <c r="E115" s="82" t="s">
        <v>85</v>
      </c>
      <c r="F115" s="82"/>
      <c r="G115" s="82" t="s">
        <v>84</v>
      </c>
      <c r="H115" s="134"/>
      <c r="I115" s="14" t="s">
        <v>145</v>
      </c>
      <c r="J115" s="28">
        <f ca="1">H113*25%</f>
        <v>10.5</v>
      </c>
    </row>
    <row r="116" spans="1:11" x14ac:dyDescent="0.35">
      <c r="A116" s="84" t="s">
        <v>132</v>
      </c>
      <c r="B116" s="82"/>
      <c r="C116" s="44">
        <f ca="1">J117</f>
        <v>42</v>
      </c>
      <c r="D116" s="19">
        <f ca="1">((100/H113)*C116)/100</f>
        <v>1</v>
      </c>
      <c r="E116" s="126">
        <f ca="1">(((C117/H113*10)+(40/(D113+F113+H113)*C118)+(7.5/(H113)*C119)+(7.5/(H113)*C120)+(10/H113*C121)+(10/H113*C122)+(5/H113*C123)+(5/H113*C124)+(5/H113*C125))/100)</f>
        <v>0.48657945736434116</v>
      </c>
      <c r="F116" s="136"/>
      <c r="G116" s="126">
        <f ca="1">((((C116/H113)*20)+((C117/H113)*25)+(30/(H113+F113+D113)*C118)+(5/H113*C119)+(5/H113*C120)+(5/H113*C121)+(5/H113*C122)+(0/H113*C123)+(0/H113*C124)+(5/H113*C125))/100)</f>
        <v>0.72039590254706543</v>
      </c>
      <c r="H116" s="127"/>
      <c r="I116" s="14" t="s">
        <v>101</v>
      </c>
      <c r="J116" s="29">
        <f ca="1">H113*50%</f>
        <v>21</v>
      </c>
    </row>
    <row r="117" spans="1:11" x14ac:dyDescent="0.35">
      <c r="A117" s="84" t="s">
        <v>49</v>
      </c>
      <c r="B117" s="82"/>
      <c r="C117" s="61">
        <f ca="1">J125</f>
        <v>42</v>
      </c>
      <c r="D117" s="19">
        <f ca="1">((100/H113)*C117)/100</f>
        <v>1</v>
      </c>
      <c r="E117" s="128"/>
      <c r="F117" s="137"/>
      <c r="G117" s="128"/>
      <c r="H117" s="129"/>
      <c r="I117" s="14" t="s">
        <v>102</v>
      </c>
      <c r="J117" s="29">
        <f ca="1">H113</f>
        <v>42</v>
      </c>
    </row>
    <row r="118" spans="1:11" ht="15.75" customHeight="1" x14ac:dyDescent="0.35">
      <c r="A118" s="84" t="s">
        <v>133</v>
      </c>
      <c r="B118" s="82"/>
      <c r="C118" s="44">
        <v>27</v>
      </c>
      <c r="D118" s="19">
        <f ca="1">((100/(D113+F113+H113))*C118)/100</f>
        <v>0.62790697674418605</v>
      </c>
      <c r="E118" s="128"/>
      <c r="F118" s="137"/>
      <c r="G118" s="128"/>
      <c r="H118" s="129"/>
      <c r="I118" s="14" t="s">
        <v>103</v>
      </c>
      <c r="J118" s="30">
        <f ca="1">(IF(B113&gt;1,(H113/(B113+2)),H113/4))</f>
        <v>10.5</v>
      </c>
      <c r="K118" s="21">
        <f>43*0.07</f>
        <v>3.0100000000000002</v>
      </c>
    </row>
    <row r="119" spans="1:11" ht="15.75" customHeight="1" x14ac:dyDescent="0.35">
      <c r="A119" s="84" t="s">
        <v>140</v>
      </c>
      <c r="B119" s="82" t="s">
        <v>134</v>
      </c>
      <c r="C119" s="44">
        <f>C118-D113</f>
        <v>26</v>
      </c>
      <c r="D119" s="19">
        <f ca="1">((100/H113)*C119)/100</f>
        <v>0.61904761904761907</v>
      </c>
      <c r="E119" s="128"/>
      <c r="F119" s="137"/>
      <c r="G119" s="128"/>
      <c r="H119" s="129"/>
      <c r="I119" s="14" t="s">
        <v>104</v>
      </c>
      <c r="J119" s="30">
        <f ca="1">(IF(B113&gt;1,(H113/(B113+2)+J118),H113/4+J118))</f>
        <v>21</v>
      </c>
    </row>
    <row r="120" spans="1:11" ht="15.75" customHeight="1" x14ac:dyDescent="0.35">
      <c r="A120" s="84" t="s">
        <v>141</v>
      </c>
      <c r="B120" s="82" t="s">
        <v>134</v>
      </c>
      <c r="C120" s="61">
        <f>C119*0.85</f>
        <v>22.099999999999998</v>
      </c>
      <c r="D120" s="19">
        <f ca="1">((100/H113)*C120)/100</f>
        <v>0.5261904761904761</v>
      </c>
      <c r="E120" s="128"/>
      <c r="F120" s="137"/>
      <c r="G120" s="128"/>
      <c r="H120" s="129"/>
      <c r="I120" s="14" t="s">
        <v>150</v>
      </c>
      <c r="J120" s="30">
        <f>(IF(B113&gt;1,(H113/(B113+2)+J119),0))</f>
        <v>0</v>
      </c>
    </row>
    <row r="121" spans="1:11" ht="15" customHeight="1" x14ac:dyDescent="0.35">
      <c r="A121" s="84" t="s">
        <v>139</v>
      </c>
      <c r="B121" s="82" t="s">
        <v>136</v>
      </c>
      <c r="C121" s="61">
        <f>C119*0.8</f>
        <v>20.8</v>
      </c>
      <c r="D121" s="19">
        <f ca="1">((100/(H113))*C121)/100</f>
        <v>0.49523809523809526</v>
      </c>
      <c r="E121" s="128"/>
      <c r="F121" s="137"/>
      <c r="G121" s="128"/>
      <c r="H121" s="129"/>
      <c r="I121" s="14" t="s">
        <v>147</v>
      </c>
      <c r="J121" s="30">
        <f>(IF(B113&gt;2,(H113/(B113+2)+J120),0))</f>
        <v>0</v>
      </c>
    </row>
    <row r="122" spans="1:11" ht="15.75" customHeight="1" x14ac:dyDescent="0.35">
      <c r="A122" s="84" t="s">
        <v>135</v>
      </c>
      <c r="B122" s="82" t="s">
        <v>135</v>
      </c>
      <c r="C122" s="44">
        <v>0</v>
      </c>
      <c r="D122" s="19">
        <f ca="1">((100/H113)*C122)/100</f>
        <v>0</v>
      </c>
      <c r="E122" s="128"/>
      <c r="F122" s="137"/>
      <c r="G122" s="128"/>
      <c r="H122" s="129"/>
      <c r="I122" s="14" t="s">
        <v>148</v>
      </c>
      <c r="J122" s="31">
        <f>(IF(B113&gt;3,(H113/(B113+2)+J121),0))</f>
        <v>0</v>
      </c>
    </row>
    <row r="123" spans="1:11" ht="15.75" customHeight="1" x14ac:dyDescent="0.35">
      <c r="A123" s="84" t="s">
        <v>142</v>
      </c>
      <c r="B123" s="82"/>
      <c r="C123" s="44">
        <v>0</v>
      </c>
      <c r="D123" s="19">
        <f ca="1">((100/H113)*C123)/100</f>
        <v>0</v>
      </c>
      <c r="E123" s="128"/>
      <c r="F123" s="137"/>
      <c r="G123" s="128"/>
      <c r="H123" s="129"/>
      <c r="I123" s="14" t="s">
        <v>149</v>
      </c>
      <c r="J123" s="30">
        <f>(IF(B113&gt;4,(H113/(B113+2)+J122),0))</f>
        <v>0</v>
      </c>
    </row>
    <row r="124" spans="1:11" ht="15.75" customHeight="1" x14ac:dyDescent="0.35">
      <c r="A124" s="84" t="s">
        <v>137</v>
      </c>
      <c r="B124" s="82" t="s">
        <v>137</v>
      </c>
      <c r="C124" s="44">
        <v>0</v>
      </c>
      <c r="D124" s="19">
        <f ca="1">((100/(H113))*C124)/100</f>
        <v>0</v>
      </c>
      <c r="E124" s="128"/>
      <c r="F124" s="137"/>
      <c r="G124" s="128"/>
      <c r="H124" s="129"/>
      <c r="I124" s="14" t="s">
        <v>151</v>
      </c>
      <c r="J124" s="30">
        <f ca="1">(IF(B113=1,(H113/(B113+3)+J119),IF(B113=0,(H113/4+J119),IF(B113&gt;1,0))))</f>
        <v>31.5</v>
      </c>
    </row>
    <row r="125" spans="1:11" ht="16" thickBot="1" x14ac:dyDescent="0.4">
      <c r="A125" s="221" t="s">
        <v>138</v>
      </c>
      <c r="B125" s="222"/>
      <c r="C125" s="223">
        <v>0</v>
      </c>
      <c r="D125" s="224">
        <f ca="1">((100/(H113))*C125)/100</f>
        <v>0</v>
      </c>
      <c r="E125" s="128"/>
      <c r="F125" s="137"/>
      <c r="G125" s="128"/>
      <c r="H125" s="129"/>
      <c r="I125" s="15" t="s">
        <v>105</v>
      </c>
      <c r="J125" s="32">
        <f ca="1">(IF(B113&gt;1.5,(H113/(B113+2)+J119+MAX(0,J120-J119)+MAX(0,J121-J120)+MAX(0,J122-J121)+MAX(0,J123-J122)+MAX(0,J124-J123)),IF(B113=1,(H113/(B113+3)+J124),IF(B113=0,H113/4+J124))))</f>
        <v>42</v>
      </c>
    </row>
    <row r="126" spans="1:11" ht="15.75" customHeight="1" x14ac:dyDescent="0.35">
      <c r="A126" s="79" t="s">
        <v>144</v>
      </c>
      <c r="B126" s="79"/>
      <c r="C126" s="79" t="str">
        <f>D61</f>
        <v>Phase 3 : Tower 5 = Gr/Stilt + 1st to 42nd Floor</v>
      </c>
      <c r="D126" s="79"/>
      <c r="E126" s="79"/>
      <c r="F126" s="79"/>
      <c r="G126" s="79"/>
      <c r="H126" s="79"/>
      <c r="I126" s="63" t="str">
        <f ca="1">IF(D139=100%,"All work Completed. Possession granted to the Building.",IF(D138=100%,"All work Completed, Waiting for OC",I127&amp;""&amp;I128&amp;""&amp;J127&amp;""&amp;J126&amp;" "&amp;J128))</f>
        <v>Excavation, Plinth Completed, RCC upto 11 Slab, Brickwork upto 10 Floor, Internal Plaster upto 7.5 Floor, External Plaster upto 6.5 Floor Completed</v>
      </c>
      <c r="J126" s="49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>, RCC upto 11 Slab, Brickwork upto 10 Floor, Internal Plaster upto 7.5 Floor, External Plaster upto 6.5 Floor</v>
      </c>
    </row>
    <row r="127" spans="1:11" s="23" customFormat="1" x14ac:dyDescent="0.35">
      <c r="A127" s="68" t="s">
        <v>146</v>
      </c>
      <c r="B127" s="68">
        <v>0</v>
      </c>
      <c r="C127" s="68" t="s">
        <v>72</v>
      </c>
      <c r="D127" s="68">
        <v>1</v>
      </c>
      <c r="E127" s="68" t="s">
        <v>71</v>
      </c>
      <c r="F127" s="68">
        <v>0</v>
      </c>
      <c r="G127" s="68" t="s">
        <v>80</v>
      </c>
      <c r="H127" s="68">
        <f ca="1">--TRIM(RIGHT(SUBSTITUTE(LEFT(C126,_xlfn.AGGREGATE(16,6,FIND({0,1,2,3,4,5,6,7,8,9},C126,ROW(INDIRECT("1:"&amp;LEN(C126)))),1))," ",REPT(" ",LEN(C126))),LEN(C126)))</f>
        <v>42</v>
      </c>
      <c r="I127" s="64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</v>
      </c>
      <c r="J127" s="54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</row>
    <row r="128" spans="1:11" ht="32.5" customHeight="1" x14ac:dyDescent="0.35">
      <c r="A128" s="80" t="s">
        <v>90</v>
      </c>
      <c r="B128" s="80"/>
      <c r="C128" s="81" t="str">
        <f ca="1">(IF($G$53="NA",I126,"All work Completed. OC Received."))</f>
        <v>Excavation, Plinth Completed, RCC upto 11 Slab, Brickwork upto 10 Floor, Internal Plaster upto 7.5 Floor, External Plaster upto 6.5 Floor Completed</v>
      </c>
      <c r="D128" s="81"/>
      <c r="E128" s="81"/>
      <c r="F128" s="81"/>
      <c r="G128" s="81"/>
      <c r="H128" s="81"/>
      <c r="I128" s="65" t="str">
        <f ca="1">IF(I127&lt;&gt;""," Completed","")</f>
        <v xml:space="preserve"> Completed</v>
      </c>
      <c r="J128" s="51" t="str">
        <f ca="1">IF(J126&lt;&gt;"","Completed","")</f>
        <v>Completed</v>
      </c>
    </row>
    <row r="129" spans="1:10" ht="15.75" customHeight="1" x14ac:dyDescent="0.35">
      <c r="A129" s="82" t="s">
        <v>48</v>
      </c>
      <c r="B129" s="82"/>
      <c r="C129" s="67" t="s">
        <v>143</v>
      </c>
      <c r="D129" s="67" t="s">
        <v>83</v>
      </c>
      <c r="E129" s="82" t="s">
        <v>85</v>
      </c>
      <c r="F129" s="82"/>
      <c r="G129" s="82" t="s">
        <v>84</v>
      </c>
      <c r="H129" s="82"/>
      <c r="I129" s="14" t="s">
        <v>145</v>
      </c>
      <c r="J129" s="28">
        <f ca="1">H127*25%</f>
        <v>10.5</v>
      </c>
    </row>
    <row r="130" spans="1:10" x14ac:dyDescent="0.35">
      <c r="A130" s="82" t="s">
        <v>132</v>
      </c>
      <c r="B130" s="82"/>
      <c r="C130" s="61">
        <f ca="1">J131</f>
        <v>42</v>
      </c>
      <c r="D130" s="19">
        <f ca="1">((100/H127)*C130)/100</f>
        <v>1</v>
      </c>
      <c r="E130" s="83">
        <f ca="1">(((C131/H127*10)+(40/(D127+F127+H127)*C132)+(7.5/(H127)*C133)+(7.5/(H127)*C134)+(10/H127*C135)+(10/H127*C136)+(5/H127*C137)+(5/H127*C138)+(5/H127*C139))/100)</f>
        <v>0.24905177187153932</v>
      </c>
      <c r="F130" s="83"/>
      <c r="G130" s="83">
        <f ca="1">((((C130/H127)*20)+((C131/H127)*25)+(30/(H127+F127+D127)*C132)+(5/H127*C133)+(5/H127*C134)+(5/H127*C135)+(5/H127*C136)+(0/H127*C137)+(0/H127*C138)+(5/H127*C139))/100)</f>
        <v>0.55531561461794032</v>
      </c>
      <c r="H130" s="83"/>
      <c r="I130" s="14" t="s">
        <v>101</v>
      </c>
      <c r="J130" s="29">
        <f ca="1">H127*50%</f>
        <v>21</v>
      </c>
    </row>
    <row r="131" spans="1:10" x14ac:dyDescent="0.35">
      <c r="A131" s="82" t="s">
        <v>49</v>
      </c>
      <c r="B131" s="82"/>
      <c r="C131" s="61">
        <v>42</v>
      </c>
      <c r="D131" s="19">
        <f ca="1">((100/H127)*C131)/100</f>
        <v>1</v>
      </c>
      <c r="E131" s="83"/>
      <c r="F131" s="83"/>
      <c r="G131" s="83"/>
      <c r="H131" s="83"/>
      <c r="I131" s="14" t="s">
        <v>102</v>
      </c>
      <c r="J131" s="29">
        <f ca="1">H127</f>
        <v>42</v>
      </c>
    </row>
    <row r="132" spans="1:10" ht="15.75" customHeight="1" x14ac:dyDescent="0.35">
      <c r="A132" s="82" t="s">
        <v>133</v>
      </c>
      <c r="B132" s="82"/>
      <c r="C132" s="67">
        <v>11</v>
      </c>
      <c r="D132" s="19">
        <f ca="1">((100/(D127+F127+H127))*C132)/100</f>
        <v>0.2558139534883721</v>
      </c>
      <c r="E132" s="83"/>
      <c r="F132" s="83"/>
      <c r="G132" s="83"/>
      <c r="H132" s="83"/>
      <c r="I132" s="14" t="s">
        <v>103</v>
      </c>
      <c r="J132" s="30">
        <f ca="1">(IF(B127&gt;1,(H127/(B127+2)),H127/4))</f>
        <v>10.5</v>
      </c>
    </row>
    <row r="133" spans="1:10" ht="15.75" customHeight="1" x14ac:dyDescent="0.35">
      <c r="A133" s="82" t="s">
        <v>140</v>
      </c>
      <c r="B133" s="82" t="s">
        <v>134</v>
      </c>
      <c r="C133" s="61">
        <f>C132-D127</f>
        <v>10</v>
      </c>
      <c r="D133" s="19">
        <f ca="1">((100/H127)*C133)/100</f>
        <v>0.23809523809523811</v>
      </c>
      <c r="E133" s="83"/>
      <c r="F133" s="83"/>
      <c r="G133" s="83"/>
      <c r="H133" s="83"/>
      <c r="I133" s="14" t="s">
        <v>104</v>
      </c>
      <c r="J133" s="30">
        <f ca="1">(IF(B127&gt;1,(H127/(B127+2)+J132),H127/4+J132))</f>
        <v>21</v>
      </c>
    </row>
    <row r="134" spans="1:10" ht="15.75" customHeight="1" x14ac:dyDescent="0.35">
      <c r="A134" s="82" t="s">
        <v>141</v>
      </c>
      <c r="B134" s="82" t="s">
        <v>134</v>
      </c>
      <c r="C134" s="61">
        <f>C133*0.75</f>
        <v>7.5</v>
      </c>
      <c r="D134" s="19">
        <f ca="1">((100/H127)*C134)/100</f>
        <v>0.17857142857142858</v>
      </c>
      <c r="E134" s="83"/>
      <c r="F134" s="83"/>
      <c r="G134" s="83"/>
      <c r="H134" s="83"/>
      <c r="I134" s="14" t="s">
        <v>150</v>
      </c>
      <c r="J134" s="30">
        <f>(IF(B127&gt;1,(H127/(B127+2)+J133),0))</f>
        <v>0</v>
      </c>
    </row>
    <row r="135" spans="1:10" ht="15" customHeight="1" x14ac:dyDescent="0.35">
      <c r="A135" s="82" t="s">
        <v>139</v>
      </c>
      <c r="B135" s="82" t="s">
        <v>136</v>
      </c>
      <c r="C135" s="61">
        <f>C133*0.65</f>
        <v>6.5</v>
      </c>
      <c r="D135" s="19">
        <f ca="1">((100/(H127))*C135)/100</f>
        <v>0.15476190476190477</v>
      </c>
      <c r="E135" s="83"/>
      <c r="F135" s="83"/>
      <c r="G135" s="83"/>
      <c r="H135" s="83"/>
      <c r="I135" s="14" t="s">
        <v>147</v>
      </c>
      <c r="J135" s="30">
        <f>(IF(B127&gt;2,(H127/(B127+2)+J134),0))</f>
        <v>0</v>
      </c>
    </row>
    <row r="136" spans="1:10" ht="15.75" customHeight="1" x14ac:dyDescent="0.35">
      <c r="A136" s="82" t="s">
        <v>135</v>
      </c>
      <c r="B136" s="82" t="s">
        <v>135</v>
      </c>
      <c r="C136" s="67">
        <v>0</v>
      </c>
      <c r="D136" s="19">
        <f ca="1">((100/H127)*C136)/100</f>
        <v>0</v>
      </c>
      <c r="E136" s="83"/>
      <c r="F136" s="83"/>
      <c r="G136" s="83"/>
      <c r="H136" s="83"/>
      <c r="I136" s="14" t="s">
        <v>148</v>
      </c>
      <c r="J136" s="31">
        <f>(IF(B127&gt;3,(H127/(B127+2)+J135),0))</f>
        <v>0</v>
      </c>
    </row>
    <row r="137" spans="1:10" ht="15.75" customHeight="1" x14ac:dyDescent="0.35">
      <c r="A137" s="82" t="s">
        <v>142</v>
      </c>
      <c r="B137" s="82"/>
      <c r="C137" s="67">
        <v>0</v>
      </c>
      <c r="D137" s="19">
        <f ca="1">((100/H127)*C137)/100</f>
        <v>0</v>
      </c>
      <c r="E137" s="83"/>
      <c r="F137" s="83"/>
      <c r="G137" s="83"/>
      <c r="H137" s="83"/>
      <c r="I137" s="14" t="s">
        <v>149</v>
      </c>
      <c r="J137" s="30">
        <f>(IF(B127&gt;4,(H127/(B127+2)+J136),0))</f>
        <v>0</v>
      </c>
    </row>
    <row r="138" spans="1:10" ht="15.75" customHeight="1" x14ac:dyDescent="0.35">
      <c r="A138" s="82" t="s">
        <v>137</v>
      </c>
      <c r="B138" s="82" t="s">
        <v>137</v>
      </c>
      <c r="C138" s="67">
        <v>0</v>
      </c>
      <c r="D138" s="19">
        <f ca="1">((100/(H127))*C138)/100</f>
        <v>0</v>
      </c>
      <c r="E138" s="83"/>
      <c r="F138" s="83"/>
      <c r="G138" s="83"/>
      <c r="H138" s="83"/>
      <c r="I138" s="14" t="s">
        <v>151</v>
      </c>
      <c r="J138" s="30">
        <f ca="1">(IF(B127=1,(H127/(B127+3)+J133),IF(B127=0,(H127/4+J133),IF(B127&gt;1,0))))</f>
        <v>31.5</v>
      </c>
    </row>
    <row r="139" spans="1:10" ht="16" thickBot="1" x14ac:dyDescent="0.4">
      <c r="A139" s="82" t="s">
        <v>138</v>
      </c>
      <c r="B139" s="82"/>
      <c r="C139" s="67">
        <v>0</v>
      </c>
      <c r="D139" s="19">
        <f ca="1">((100/(H127))*C139)/100</f>
        <v>0</v>
      </c>
      <c r="E139" s="83"/>
      <c r="F139" s="83"/>
      <c r="G139" s="83"/>
      <c r="H139" s="83"/>
      <c r="I139" s="15" t="s">
        <v>105</v>
      </c>
      <c r="J139" s="32">
        <f ca="1">(IF(B127&gt;1.5,(H127/(B127+2)+J133+MAX(0,J134-J133)+MAX(0,J135-J134)+MAX(0,J136-J135)+MAX(0,J137-J136)+MAX(0,J138-J137)),IF(B127=1,(H127/(B127+3)+J138),IF(B127=0,H127/4+J138))))</f>
        <v>42</v>
      </c>
    </row>
    <row r="140" spans="1:10" x14ac:dyDescent="0.35">
      <c r="A140" s="167" t="s">
        <v>160</v>
      </c>
      <c r="B140" s="167"/>
      <c r="C140" s="167"/>
      <c r="D140" s="167"/>
      <c r="E140" s="167"/>
      <c r="F140" s="112" t="s">
        <v>165</v>
      </c>
      <c r="G140" s="112"/>
      <c r="H140" s="112"/>
    </row>
    <row r="141" spans="1:10" x14ac:dyDescent="0.35">
      <c r="A141" s="98" t="s">
        <v>163</v>
      </c>
      <c r="B141" s="98"/>
      <c r="C141" s="98"/>
      <c r="D141" s="98"/>
      <c r="E141" s="98"/>
      <c r="F141" s="201">
        <v>13500</v>
      </c>
      <c r="G141" s="201"/>
      <c r="H141" s="201"/>
      <c r="I141" s="21" t="s">
        <v>220</v>
      </c>
    </row>
    <row r="142" spans="1:10" x14ac:dyDescent="0.35">
      <c r="A142" s="98" t="s">
        <v>162</v>
      </c>
      <c r="B142" s="98"/>
      <c r="C142" s="98"/>
      <c r="D142" s="98"/>
      <c r="E142" s="98"/>
      <c r="F142" s="96">
        <v>22000</v>
      </c>
      <c r="G142" s="96"/>
      <c r="H142" s="96"/>
    </row>
    <row r="143" spans="1:10" hidden="1" x14ac:dyDescent="0.35">
      <c r="A143" s="98" t="s">
        <v>164</v>
      </c>
      <c r="B143" s="98"/>
      <c r="C143" s="98"/>
      <c r="D143" s="98"/>
      <c r="E143" s="98"/>
      <c r="F143" s="96"/>
      <c r="G143" s="96"/>
      <c r="H143" s="96"/>
    </row>
    <row r="144" spans="1:10" s="33" customFormat="1" hidden="1" x14ac:dyDescent="0.3">
      <c r="A144" s="98" t="s">
        <v>161</v>
      </c>
      <c r="B144" s="98"/>
      <c r="C144" s="98"/>
      <c r="D144" s="98"/>
      <c r="E144" s="98"/>
      <c r="F144" s="96"/>
      <c r="G144" s="96"/>
      <c r="H144" s="96"/>
    </row>
    <row r="145" spans="1:8" s="33" customFormat="1" hidden="1" x14ac:dyDescent="0.3">
      <c r="A145" s="98" t="s">
        <v>95</v>
      </c>
      <c r="B145" s="98"/>
      <c r="C145" s="98"/>
      <c r="D145" s="98"/>
      <c r="E145" s="98"/>
      <c r="F145" s="96"/>
      <c r="G145" s="96"/>
      <c r="H145" s="96"/>
    </row>
    <row r="146" spans="1:8" s="33" customFormat="1" hidden="1" x14ac:dyDescent="0.3">
      <c r="A146" s="98" t="s">
        <v>96</v>
      </c>
      <c r="B146" s="98"/>
      <c r="C146" s="98"/>
      <c r="D146" s="98"/>
      <c r="E146" s="98"/>
      <c r="F146" s="96"/>
      <c r="G146" s="96"/>
      <c r="H146" s="96"/>
    </row>
    <row r="147" spans="1:8" s="33" customFormat="1" hidden="1" x14ac:dyDescent="0.3">
      <c r="A147" s="98" t="s">
        <v>166</v>
      </c>
      <c r="B147" s="98"/>
      <c r="C147" s="98"/>
      <c r="D147" s="98"/>
      <c r="E147" s="98"/>
      <c r="F147" s="96"/>
      <c r="G147" s="96"/>
      <c r="H147" s="96"/>
    </row>
    <row r="148" spans="1:8" s="33" customFormat="1" hidden="1" x14ac:dyDescent="0.3">
      <c r="A148" s="98" t="s">
        <v>97</v>
      </c>
      <c r="B148" s="98"/>
      <c r="C148" s="98"/>
      <c r="D148" s="98"/>
      <c r="E148" s="98"/>
      <c r="F148" s="96"/>
      <c r="G148" s="96"/>
      <c r="H148" s="96"/>
    </row>
    <row r="149" spans="1:8" s="33" customFormat="1" hidden="1" x14ac:dyDescent="0.3">
      <c r="A149" s="98" t="s">
        <v>98</v>
      </c>
      <c r="B149" s="98"/>
      <c r="C149" s="98"/>
      <c r="D149" s="98"/>
      <c r="E149" s="98"/>
      <c r="F149" s="96"/>
      <c r="G149" s="96"/>
      <c r="H149" s="96"/>
    </row>
    <row r="150" spans="1:8" s="33" customFormat="1" hidden="1" x14ac:dyDescent="0.3">
      <c r="A150" s="98" t="s">
        <v>99</v>
      </c>
      <c r="B150" s="98"/>
      <c r="C150" s="98"/>
      <c r="D150" s="98"/>
      <c r="E150" s="98"/>
      <c r="F150" s="96"/>
      <c r="G150" s="96"/>
      <c r="H150" s="96"/>
    </row>
    <row r="151" spans="1:8" s="33" customFormat="1" hidden="1" x14ac:dyDescent="0.3">
      <c r="A151" s="98" t="s">
        <v>100</v>
      </c>
      <c r="B151" s="98"/>
      <c r="C151" s="98"/>
      <c r="D151" s="98"/>
      <c r="E151" s="98"/>
      <c r="F151" s="96"/>
      <c r="G151" s="96"/>
      <c r="H151" s="96"/>
    </row>
    <row r="152" spans="1:8" x14ac:dyDescent="0.35">
      <c r="A152" s="98" t="s">
        <v>50</v>
      </c>
      <c r="B152" s="98"/>
      <c r="C152" s="98"/>
      <c r="D152" s="98"/>
      <c r="E152" s="98"/>
      <c r="F152" s="96">
        <v>800000</v>
      </c>
      <c r="G152" s="96"/>
      <c r="H152" s="96"/>
    </row>
    <row r="153" spans="1:8" s="34" customFormat="1" x14ac:dyDescent="0.35">
      <c r="A153" s="167" t="s">
        <v>51</v>
      </c>
      <c r="B153" s="167"/>
      <c r="C153" s="167"/>
      <c r="D153" s="167"/>
      <c r="E153" s="167"/>
      <c r="F153" s="96">
        <f>F141*0.8</f>
        <v>10800</v>
      </c>
      <c r="G153" s="96"/>
      <c r="H153" s="96"/>
    </row>
    <row r="154" spans="1:8" s="35" customFormat="1" ht="15.75" customHeight="1" x14ac:dyDescent="0.35">
      <c r="A154" s="192" t="s">
        <v>76</v>
      </c>
      <c r="B154" s="192"/>
      <c r="C154" s="192"/>
      <c r="D154" s="192"/>
      <c r="E154" s="192"/>
      <c r="F154" s="192"/>
      <c r="G154" s="192"/>
      <c r="H154" s="192"/>
    </row>
    <row r="155" spans="1:8" s="35" customFormat="1" ht="15.75" customHeight="1" x14ac:dyDescent="0.35">
      <c r="A155" s="97" t="s">
        <v>52</v>
      </c>
      <c r="B155" s="97"/>
      <c r="C155" s="95" t="s">
        <v>79</v>
      </c>
      <c r="D155" s="95"/>
      <c r="E155" s="104" t="s">
        <v>53</v>
      </c>
      <c r="F155" s="104"/>
      <c r="G155" s="97" t="s">
        <v>54</v>
      </c>
      <c r="H155" s="97"/>
    </row>
    <row r="156" spans="1:8" s="35" customFormat="1" x14ac:dyDescent="0.35">
      <c r="A156" s="47" t="s">
        <v>200</v>
      </c>
      <c r="B156" s="47" t="s">
        <v>179</v>
      </c>
      <c r="C156" s="150">
        <f>COUNT(D175:D180)+COUNT(D182:D187)</f>
        <v>12</v>
      </c>
      <c r="D156" s="151"/>
      <c r="E156" s="152">
        <f>SUM(D175:D180)+SUM(D182:D187)</f>
        <v>8353.5098399999988</v>
      </c>
      <c r="F156" s="153"/>
      <c r="G156" s="152">
        <f>SUM(F175:F180)+SUM(F182:F187)</f>
        <v>13365.615744000001</v>
      </c>
      <c r="H156" s="153"/>
    </row>
    <row r="157" spans="1:8" s="35" customFormat="1" ht="31" x14ac:dyDescent="0.35">
      <c r="A157" s="47" t="s">
        <v>225</v>
      </c>
      <c r="B157" s="47" t="s">
        <v>226</v>
      </c>
      <c r="C157" s="150">
        <f>COUNT(D191:D197)+COUNT(D199:D205)</f>
        <v>14</v>
      </c>
      <c r="D157" s="151"/>
      <c r="E157" s="152">
        <f>SUM(D191:D197)+SUM(D199:D205)</f>
        <v>9981.7801199999994</v>
      </c>
      <c r="F157" s="153"/>
      <c r="G157" s="152">
        <f>SUM(F191:F197)+SUM(F199:F205)</f>
        <v>15970.848192000001</v>
      </c>
      <c r="H157" s="153"/>
    </row>
    <row r="158" spans="1:8" s="35" customFormat="1" x14ac:dyDescent="0.35">
      <c r="A158" s="192" t="s">
        <v>154</v>
      </c>
      <c r="B158" s="192"/>
      <c r="C158" s="218">
        <f>SUM(C156:C157)</f>
        <v>26</v>
      </c>
      <c r="D158" s="95"/>
      <c r="E158" s="219">
        <f>SUM(E156:E157)</f>
        <v>18335.289959999998</v>
      </c>
      <c r="F158" s="104"/>
      <c r="G158" s="97">
        <f>SUM(G156:G157)</f>
        <v>29336.463936</v>
      </c>
      <c r="H158" s="97"/>
    </row>
    <row r="159" spans="1:8" s="35" customFormat="1" x14ac:dyDescent="0.35">
      <c r="A159" s="192" t="s">
        <v>70</v>
      </c>
      <c r="B159" s="192"/>
      <c r="C159" s="192"/>
      <c r="D159" s="192"/>
      <c r="E159" s="192"/>
      <c r="F159" s="192"/>
      <c r="G159" s="192"/>
      <c r="H159" s="192"/>
    </row>
    <row r="160" spans="1:8" s="35" customFormat="1" ht="15.75" customHeight="1" x14ac:dyDescent="0.35">
      <c r="A160" s="97" t="s">
        <v>52</v>
      </c>
      <c r="B160" s="97"/>
      <c r="C160" s="95" t="s">
        <v>79</v>
      </c>
      <c r="D160" s="95"/>
      <c r="E160" s="104" t="s">
        <v>53</v>
      </c>
      <c r="F160" s="104"/>
      <c r="G160" s="97" t="s">
        <v>54</v>
      </c>
      <c r="H160" s="97"/>
    </row>
    <row r="161" spans="1:14" s="35" customFormat="1" x14ac:dyDescent="0.35">
      <c r="A161" s="213" t="s">
        <v>200</v>
      </c>
      <c r="B161" s="47" t="s">
        <v>179</v>
      </c>
      <c r="C161" s="151">
        <f>COUNT(D212:D213)+COUNT(D215:D220)*24+COUNT(D222:D223)*5+COUNT(D225:D227)*5+COUNT(D229:D234)*10+COUNT(D236:D237)*2+COUNT(D239:D241)*2</f>
        <v>241</v>
      </c>
      <c r="D161" s="151"/>
      <c r="E161" s="152">
        <f>SUM(D212:D213)+SUM(D215:D220)*24+SUM(D222:D223)*5+SUM(D225:D227)*5+SUM(D229:D234)*10+SUM(D236:D237)*2+SUM(D239:D241)*2</f>
        <v>189796.78165500003</v>
      </c>
      <c r="F161" s="152"/>
      <c r="G161" s="152">
        <f>SUM(F212:F213)+SUM(F215:F220)*24+SUM(F222:F223)*5+SUM(F225:F227)*5+SUM(F229:F234)*10+SUM(F236:F237)*2+SUM(F239:F241)*2</f>
        <v>303674.85064800002</v>
      </c>
      <c r="H161" s="152"/>
    </row>
    <row r="162" spans="1:14" s="35" customFormat="1" x14ac:dyDescent="0.35">
      <c r="A162" s="214"/>
      <c r="B162" s="47" t="s">
        <v>188</v>
      </c>
      <c r="C162" s="151">
        <f>COUNT(D245:D254)*35+COUNT(D256:D260)*7+COUNT(D262:D265)*7</f>
        <v>413</v>
      </c>
      <c r="D162" s="151"/>
      <c r="E162" s="152">
        <f>SUM(D245:D254)*35+SUM(D256:D260)*7+SUM(D262:D265)*7</f>
        <v>203931.62244000004</v>
      </c>
      <c r="F162" s="152"/>
      <c r="G162" s="152">
        <f>SUM(F245:F254)*35+SUM(F256:F260)*7+SUM(F262:F265)*7</f>
        <v>326290.59590399999</v>
      </c>
      <c r="H162" s="152"/>
    </row>
    <row r="163" spans="1:14" s="35" customFormat="1" ht="31" x14ac:dyDescent="0.35">
      <c r="A163" s="56" t="s">
        <v>201</v>
      </c>
      <c r="B163" s="47" t="s">
        <v>203</v>
      </c>
      <c r="C163" s="151">
        <f>COUNT(D270:D274)*31+COUNT(D277:D280)*6</f>
        <v>179</v>
      </c>
      <c r="D163" s="151"/>
      <c r="E163" s="103">
        <f>SUM(D270:D274)*31+SUM(D277:D280)*6</f>
        <v>140923.25675999999</v>
      </c>
      <c r="F163" s="103"/>
      <c r="G163" s="103">
        <f>SUM(F270:F274)*31+SUM(F277:F280)*6</f>
        <v>225477.21081600001</v>
      </c>
      <c r="H163" s="103"/>
    </row>
    <row r="164" spans="1:14" s="35" customFormat="1" ht="31" x14ac:dyDescent="0.35">
      <c r="A164" s="56" t="s">
        <v>212</v>
      </c>
      <c r="B164" s="47" t="s">
        <v>213</v>
      </c>
      <c r="C164" s="151">
        <f>COUNT(D285:D296)*34+COUNT(D298:D306,D308:D309)*7</f>
        <v>485</v>
      </c>
      <c r="D164" s="151"/>
      <c r="E164" s="103">
        <f>SUM(D285:D296)*34+SUM(D298:D306,D308:D309)*7</f>
        <v>218956.54780349997</v>
      </c>
      <c r="F164" s="103"/>
      <c r="G164" s="103">
        <f>SUM(F285:F296)*34+SUM(F298:F306,F308:F309)*7</f>
        <v>350330.47648559994</v>
      </c>
      <c r="H164" s="103"/>
    </row>
    <row r="165" spans="1:14" s="35" customFormat="1" ht="31" x14ac:dyDescent="0.35">
      <c r="A165" s="56" t="s">
        <v>225</v>
      </c>
      <c r="B165" s="47" t="s">
        <v>226</v>
      </c>
      <c r="C165" s="150">
        <f>COUNT(D313:D314)+COUNT(D316:D321)*35+COUNT(D323:D324,D326:D328)*8</f>
        <v>252</v>
      </c>
      <c r="D165" s="151"/>
      <c r="E165" s="150">
        <f>SUM(D313:D314)+SUM(D316:D321)*35+SUM(D323:D324,D326:D328)*8</f>
        <v>202391.40167999998</v>
      </c>
      <c r="F165" s="151"/>
      <c r="G165" s="150">
        <f>SUM(F313:F314)+SUM(F316:F321)*35+SUM(F323:F324,F326:F328)*8</f>
        <v>323826.24268799997</v>
      </c>
      <c r="H165" s="151"/>
    </row>
    <row r="166" spans="1:14" s="35" customFormat="1" ht="16" thickBot="1" x14ac:dyDescent="0.4">
      <c r="A166" s="142" t="s">
        <v>154</v>
      </c>
      <c r="B166" s="142"/>
      <c r="C166" s="135">
        <f>SUM(C161:C165)</f>
        <v>1570</v>
      </c>
      <c r="D166" s="135"/>
      <c r="E166" s="143">
        <f>SUM(E161:E165)</f>
        <v>955999.6103385</v>
      </c>
      <c r="F166" s="144"/>
      <c r="G166" s="216">
        <f>SUM(G161:G165)</f>
        <v>1529599.3765415999</v>
      </c>
      <c r="H166" s="216"/>
    </row>
    <row r="167" spans="1:14" s="35" customFormat="1" ht="16" thickBot="1" x14ac:dyDescent="0.4">
      <c r="A167" s="99" t="s">
        <v>216</v>
      </c>
      <c r="B167" s="100"/>
      <c r="C167" s="101">
        <f>C158+C166</f>
        <v>1596</v>
      </c>
      <c r="D167" s="102"/>
      <c r="E167" s="101">
        <f>E158+E166</f>
        <v>974334.90029849997</v>
      </c>
      <c r="F167" s="102"/>
      <c r="G167" s="101">
        <f>G158+G166</f>
        <v>1558935.8404775998</v>
      </c>
      <c r="H167" s="217"/>
    </row>
    <row r="168" spans="1:14" s="34" customFormat="1" x14ac:dyDescent="0.35">
      <c r="A168" s="215" t="s">
        <v>55</v>
      </c>
      <c r="B168" s="215"/>
      <c r="C168" s="215"/>
      <c r="D168" s="215"/>
      <c r="E168" s="215"/>
      <c r="F168" s="215"/>
      <c r="G168" s="215"/>
      <c r="H168" s="215"/>
    </row>
    <row r="169" spans="1:14" x14ac:dyDescent="0.35">
      <c r="A169" s="112" t="s">
        <v>56</v>
      </c>
      <c r="B169" s="112"/>
      <c r="C169" s="112"/>
      <c r="D169" s="112"/>
      <c r="E169" s="112"/>
      <c r="F169" s="112"/>
      <c r="G169" s="112"/>
      <c r="H169" s="112"/>
    </row>
    <row r="170" spans="1:14" ht="47.25" customHeight="1" x14ac:dyDescent="0.35">
      <c r="A170" s="113" t="s">
        <v>121</v>
      </c>
      <c r="B170" s="113" t="s">
        <v>120</v>
      </c>
      <c r="C170" s="113" t="s">
        <v>57</v>
      </c>
      <c r="D170" s="113" t="s">
        <v>58</v>
      </c>
      <c r="E170" s="148" t="s">
        <v>159</v>
      </c>
      <c r="F170" s="43" t="s">
        <v>153</v>
      </c>
      <c r="G170" s="197" t="s">
        <v>60</v>
      </c>
      <c r="H170" s="198"/>
    </row>
    <row r="171" spans="1:14" s="37" customFormat="1" x14ac:dyDescent="0.35">
      <c r="A171" s="114"/>
      <c r="B171" s="114"/>
      <c r="C171" s="114"/>
      <c r="D171" s="114"/>
      <c r="E171" s="149"/>
      <c r="F171" s="13">
        <v>0.6</v>
      </c>
      <c r="G171" s="199"/>
      <c r="H171" s="200"/>
    </row>
    <row r="172" spans="1:14" s="37" customFormat="1" x14ac:dyDescent="0.35">
      <c r="A172" s="73" t="s">
        <v>200</v>
      </c>
      <c r="B172" s="74"/>
      <c r="C172" s="74"/>
      <c r="D172" s="74"/>
      <c r="E172" s="74"/>
      <c r="F172" s="74"/>
      <c r="G172" s="74"/>
      <c r="H172" s="75"/>
      <c r="J172" s="36"/>
    </row>
    <row r="173" spans="1:14" s="37" customFormat="1" x14ac:dyDescent="0.35">
      <c r="A173" s="73" t="s">
        <v>179</v>
      </c>
      <c r="B173" s="74"/>
      <c r="C173" s="74"/>
      <c r="D173" s="74"/>
      <c r="E173" s="74"/>
      <c r="F173" s="74"/>
      <c r="G173" s="74"/>
      <c r="H173" s="75"/>
      <c r="J173" s="36"/>
    </row>
    <row r="174" spans="1:14" s="37" customFormat="1" x14ac:dyDescent="0.35">
      <c r="A174" s="73" t="s">
        <v>178</v>
      </c>
      <c r="B174" s="74"/>
      <c r="C174" s="74"/>
      <c r="D174" s="74"/>
      <c r="E174" s="74"/>
      <c r="F174" s="74"/>
      <c r="G174" s="74"/>
      <c r="H174" s="75"/>
      <c r="J174" s="36"/>
    </row>
    <row r="175" spans="1:14" s="37" customFormat="1" ht="15.75" customHeight="1" x14ac:dyDescent="0.35">
      <c r="A175" s="93">
        <v>101</v>
      </c>
      <c r="B175" s="94"/>
      <c r="C175" s="42" t="s">
        <v>180</v>
      </c>
      <c r="D175" s="42">
        <f>62.37*10.764</f>
        <v>671.3506799999999</v>
      </c>
      <c r="E175" s="42">
        <v>0</v>
      </c>
      <c r="F175" s="42">
        <f t="shared" ref="F175:F180" si="0">(D175+E175)*(($F$171)+1)</f>
        <v>1074.1610879999998</v>
      </c>
      <c r="G175" s="105" t="str">
        <f>A174</f>
        <v>Ground Floor For Commercial &amp; Entrance</v>
      </c>
      <c r="H175" s="106"/>
      <c r="I175" s="36"/>
      <c r="L175" s="92"/>
      <c r="M175" s="92"/>
      <c r="N175" s="36"/>
    </row>
    <row r="176" spans="1:14" s="37" customFormat="1" ht="15.75" customHeight="1" x14ac:dyDescent="0.35">
      <c r="A176" s="93">
        <v>102</v>
      </c>
      <c r="B176" s="94"/>
      <c r="C176" s="42" t="s">
        <v>180</v>
      </c>
      <c r="D176" s="42">
        <f>60.85*10.764</f>
        <v>654.98939999999993</v>
      </c>
      <c r="E176" s="42">
        <v>0</v>
      </c>
      <c r="F176" s="42">
        <f t="shared" si="0"/>
        <v>1047.9830399999998</v>
      </c>
      <c r="G176" s="107"/>
      <c r="H176" s="108"/>
      <c r="I176" s="36"/>
      <c r="L176" s="92"/>
      <c r="M176" s="92"/>
      <c r="N176" s="36"/>
    </row>
    <row r="177" spans="1:14" s="37" customFormat="1" ht="15.75" customHeight="1" x14ac:dyDescent="0.35">
      <c r="A177" s="93">
        <f>A176+1</f>
        <v>103</v>
      </c>
      <c r="B177" s="94"/>
      <c r="C177" s="42" t="s">
        <v>180</v>
      </c>
      <c r="D177" s="42">
        <f>60.78*10.764</f>
        <v>654.23591999999996</v>
      </c>
      <c r="E177" s="42">
        <v>0</v>
      </c>
      <c r="F177" s="42">
        <f t="shared" si="0"/>
        <v>1046.777472</v>
      </c>
      <c r="G177" s="107"/>
      <c r="H177" s="108"/>
      <c r="I177" s="36"/>
      <c r="L177" s="92"/>
      <c r="M177" s="92"/>
      <c r="N177" s="36"/>
    </row>
    <row r="178" spans="1:14" s="37" customFormat="1" ht="15.75" customHeight="1" x14ac:dyDescent="0.35">
      <c r="A178" s="93">
        <f>A177+1</f>
        <v>104</v>
      </c>
      <c r="B178" s="94"/>
      <c r="C178" s="42" t="s">
        <v>180</v>
      </c>
      <c r="D178" s="42">
        <f>47.12*10.764</f>
        <v>507.19967999999994</v>
      </c>
      <c r="E178" s="42">
        <v>0</v>
      </c>
      <c r="F178" s="42">
        <f t="shared" si="0"/>
        <v>811.51948799999991</v>
      </c>
      <c r="G178" s="107"/>
      <c r="H178" s="108"/>
      <c r="I178" s="36"/>
      <c r="L178" s="92"/>
      <c r="M178" s="92"/>
      <c r="N178" s="36"/>
    </row>
    <row r="179" spans="1:14" s="37" customFormat="1" ht="15.75" customHeight="1" x14ac:dyDescent="0.35">
      <c r="A179" s="93">
        <f>A178+1</f>
        <v>105</v>
      </c>
      <c r="B179" s="94"/>
      <c r="C179" s="42" t="s">
        <v>180</v>
      </c>
      <c r="D179" s="42">
        <f>116.39*10.764</f>
        <v>1252.82196</v>
      </c>
      <c r="E179" s="42">
        <v>0</v>
      </c>
      <c r="F179" s="42">
        <f t="shared" si="0"/>
        <v>2004.515136</v>
      </c>
      <c r="G179" s="107"/>
      <c r="H179" s="108"/>
      <c r="I179" s="36"/>
      <c r="L179" s="92"/>
      <c r="M179" s="92"/>
      <c r="N179" s="36"/>
    </row>
    <row r="180" spans="1:14" s="37" customFormat="1" ht="15.75" customHeight="1" x14ac:dyDescent="0.35">
      <c r="A180" s="93">
        <f>A179+1</f>
        <v>106</v>
      </c>
      <c r="B180" s="94"/>
      <c r="C180" s="42" t="s">
        <v>180</v>
      </c>
      <c r="D180" s="42">
        <f>84.8*10.764</f>
        <v>912.78719999999987</v>
      </c>
      <c r="E180" s="42">
        <v>0</v>
      </c>
      <c r="F180" s="42">
        <f t="shared" si="0"/>
        <v>1460.4595199999999</v>
      </c>
      <c r="G180" s="109"/>
      <c r="H180" s="110"/>
      <c r="I180" s="36"/>
      <c r="L180" s="92"/>
      <c r="M180" s="92"/>
      <c r="N180" s="36"/>
    </row>
    <row r="181" spans="1:14" s="37" customFormat="1" x14ac:dyDescent="0.35">
      <c r="A181" s="73" t="s">
        <v>181</v>
      </c>
      <c r="B181" s="74"/>
      <c r="C181" s="74"/>
      <c r="D181" s="74"/>
      <c r="E181" s="74"/>
      <c r="F181" s="74"/>
      <c r="G181" s="74"/>
      <c r="H181" s="75"/>
      <c r="J181" s="36"/>
    </row>
    <row r="182" spans="1:14" s="37" customFormat="1" ht="15.75" customHeight="1" x14ac:dyDescent="0.35">
      <c r="A182" s="93">
        <v>201</v>
      </c>
      <c r="B182" s="94"/>
      <c r="C182" s="42" t="s">
        <v>180</v>
      </c>
      <c r="D182" s="42">
        <f>49.08*10.764</f>
        <v>528.29711999999995</v>
      </c>
      <c r="E182" s="42">
        <v>0</v>
      </c>
      <c r="F182" s="42">
        <f t="shared" ref="F182:F187" si="1">(D182+E182)*(($F$171)+1)</f>
        <v>845.27539200000001</v>
      </c>
      <c r="G182" s="105" t="str">
        <f>A181</f>
        <v>1st Floor For Commercial &amp; Residential</v>
      </c>
      <c r="H182" s="106"/>
      <c r="I182" s="36"/>
      <c r="L182" s="92"/>
      <c r="M182" s="92"/>
      <c r="N182" s="36"/>
    </row>
    <row r="183" spans="1:14" s="37" customFormat="1" ht="15.75" customHeight="1" x14ac:dyDescent="0.35">
      <c r="A183" s="93">
        <v>202</v>
      </c>
      <c r="B183" s="94"/>
      <c r="C183" s="42" t="s">
        <v>180</v>
      </c>
      <c r="D183" s="42">
        <f>45.23*10.764</f>
        <v>486.85571999999996</v>
      </c>
      <c r="E183" s="42">
        <v>0</v>
      </c>
      <c r="F183" s="42">
        <f t="shared" si="1"/>
        <v>778.96915200000001</v>
      </c>
      <c r="G183" s="107"/>
      <c r="H183" s="108"/>
      <c r="I183" s="36"/>
      <c r="L183" s="92"/>
      <c r="M183" s="92"/>
      <c r="N183" s="36"/>
    </row>
    <row r="184" spans="1:14" s="37" customFormat="1" ht="15.75" customHeight="1" x14ac:dyDescent="0.35">
      <c r="A184" s="93">
        <f>A183+1</f>
        <v>203</v>
      </c>
      <c r="B184" s="94"/>
      <c r="C184" s="42" t="s">
        <v>180</v>
      </c>
      <c r="D184" s="42">
        <f>45.23*10.764</f>
        <v>486.85571999999996</v>
      </c>
      <c r="E184" s="42">
        <v>0</v>
      </c>
      <c r="F184" s="42">
        <f t="shared" si="1"/>
        <v>778.96915200000001</v>
      </c>
      <c r="G184" s="107"/>
      <c r="H184" s="108"/>
      <c r="I184" s="36"/>
      <c r="L184" s="92"/>
      <c r="M184" s="92"/>
      <c r="N184" s="36"/>
    </row>
    <row r="185" spans="1:14" s="37" customFormat="1" ht="15.75" customHeight="1" x14ac:dyDescent="0.35">
      <c r="A185" s="93">
        <f>A184+1</f>
        <v>204</v>
      </c>
      <c r="B185" s="94"/>
      <c r="C185" s="42" t="s">
        <v>180</v>
      </c>
      <c r="D185" s="42">
        <f>33.84*10.764</f>
        <v>364.25376</v>
      </c>
      <c r="E185" s="42">
        <v>0</v>
      </c>
      <c r="F185" s="42">
        <f t="shared" si="1"/>
        <v>582.806016</v>
      </c>
      <c r="G185" s="107"/>
      <c r="H185" s="108"/>
      <c r="I185" s="36"/>
      <c r="L185" s="92"/>
      <c r="M185" s="92"/>
      <c r="N185" s="36"/>
    </row>
    <row r="186" spans="1:14" s="37" customFormat="1" ht="15.75" customHeight="1" x14ac:dyDescent="0.35">
      <c r="A186" s="93">
        <f>A185+1</f>
        <v>205</v>
      </c>
      <c r="B186" s="94"/>
      <c r="C186" s="42" t="s">
        <v>180</v>
      </c>
      <c r="D186" s="42">
        <f>100.89*10.764</f>
        <v>1085.9799599999999</v>
      </c>
      <c r="E186" s="42">
        <v>0</v>
      </c>
      <c r="F186" s="42">
        <f t="shared" si="1"/>
        <v>1737.5679359999999</v>
      </c>
      <c r="G186" s="107"/>
      <c r="H186" s="108"/>
      <c r="I186" s="36"/>
      <c r="L186" s="92"/>
      <c r="M186" s="92"/>
      <c r="N186" s="36"/>
    </row>
    <row r="187" spans="1:14" s="37" customFormat="1" ht="15.75" customHeight="1" x14ac:dyDescent="0.35">
      <c r="A187" s="93">
        <f>A186+1</f>
        <v>206</v>
      </c>
      <c r="B187" s="94"/>
      <c r="C187" s="42" t="s">
        <v>180</v>
      </c>
      <c r="D187" s="42">
        <f>69.48*10.764</f>
        <v>747.88271999999995</v>
      </c>
      <c r="E187" s="42">
        <v>0</v>
      </c>
      <c r="F187" s="42">
        <f t="shared" si="1"/>
        <v>1196.6123519999999</v>
      </c>
      <c r="G187" s="109"/>
      <c r="H187" s="110"/>
      <c r="I187" s="36"/>
      <c r="L187" s="92"/>
      <c r="M187" s="92"/>
      <c r="N187" s="36"/>
    </row>
    <row r="188" spans="1:14" s="37" customFormat="1" x14ac:dyDescent="0.35">
      <c r="A188" s="73" t="s">
        <v>225</v>
      </c>
      <c r="B188" s="74"/>
      <c r="C188" s="74"/>
      <c r="D188" s="74"/>
      <c r="E188" s="74"/>
      <c r="F188" s="74"/>
      <c r="G188" s="74"/>
      <c r="H188" s="75"/>
      <c r="J188" s="36"/>
    </row>
    <row r="189" spans="1:14" s="37" customFormat="1" x14ac:dyDescent="0.35">
      <c r="A189" s="73" t="s">
        <v>227</v>
      </c>
      <c r="B189" s="74"/>
      <c r="C189" s="74"/>
      <c r="D189" s="74"/>
      <c r="E189" s="74"/>
      <c r="F189" s="74"/>
      <c r="G189" s="74"/>
      <c r="H189" s="75"/>
      <c r="J189" s="36"/>
    </row>
    <row r="190" spans="1:14" s="37" customFormat="1" x14ac:dyDescent="0.35">
      <c r="A190" s="73" t="s">
        <v>228</v>
      </c>
      <c r="B190" s="74"/>
      <c r="C190" s="74"/>
      <c r="D190" s="74"/>
      <c r="E190" s="74"/>
      <c r="F190" s="74"/>
      <c r="G190" s="74"/>
      <c r="H190" s="75"/>
      <c r="J190" s="36"/>
    </row>
    <row r="191" spans="1:14" s="37" customFormat="1" ht="15.75" customHeight="1" x14ac:dyDescent="0.35">
      <c r="A191" s="93">
        <v>107</v>
      </c>
      <c r="B191" s="94"/>
      <c r="C191" s="42" t="s">
        <v>180</v>
      </c>
      <c r="D191" s="42">
        <f>(74.22)*(10.764)</f>
        <v>798.90407999999991</v>
      </c>
      <c r="E191" s="42">
        <v>0</v>
      </c>
      <c r="F191" s="42">
        <f t="shared" ref="F191:F196" si="2">(D191+E191)*(($F$171)+1)</f>
        <v>1278.2465279999999</v>
      </c>
      <c r="G191" s="105" t="str">
        <f>A190</f>
        <v>Ground Floor For Commercial, Entrance Lobby, Society Office, Meter Room &amp; Parking</v>
      </c>
      <c r="H191" s="106"/>
      <c r="I191" s="36"/>
      <c r="L191" s="92"/>
      <c r="M191" s="92"/>
      <c r="N191" s="36"/>
    </row>
    <row r="192" spans="1:14" s="37" customFormat="1" ht="15.75" customHeight="1" x14ac:dyDescent="0.35">
      <c r="A192" s="93">
        <v>108</v>
      </c>
      <c r="B192" s="94"/>
      <c r="C192" s="42" t="s">
        <v>180</v>
      </c>
      <c r="D192" s="42">
        <f>(110.28)*(10.764)</f>
        <v>1187.0539199999998</v>
      </c>
      <c r="E192" s="42">
        <v>0</v>
      </c>
      <c r="F192" s="42">
        <f t="shared" si="2"/>
        <v>1899.2862719999998</v>
      </c>
      <c r="G192" s="107"/>
      <c r="H192" s="108"/>
      <c r="I192" s="36"/>
      <c r="L192" s="92"/>
      <c r="M192" s="92"/>
      <c r="N192" s="36"/>
    </row>
    <row r="193" spans="1:14" s="37" customFormat="1" ht="15.75" customHeight="1" x14ac:dyDescent="0.35">
      <c r="A193" s="93">
        <f>A192+1</f>
        <v>109</v>
      </c>
      <c r="B193" s="94"/>
      <c r="C193" s="42" t="s">
        <v>180</v>
      </c>
      <c r="D193" s="42">
        <f>(34.67)*(10.764)</f>
        <v>373.18788000000001</v>
      </c>
      <c r="E193" s="42">
        <v>0</v>
      </c>
      <c r="F193" s="42">
        <f t="shared" si="2"/>
        <v>597.10060800000008</v>
      </c>
      <c r="G193" s="107"/>
      <c r="H193" s="108"/>
      <c r="I193" s="36"/>
      <c r="L193" s="92"/>
      <c r="M193" s="92"/>
      <c r="N193" s="36"/>
    </row>
    <row r="194" spans="1:14" s="37" customFormat="1" ht="15.75" customHeight="1" x14ac:dyDescent="0.35">
      <c r="A194" s="93">
        <f>A193+1</f>
        <v>110</v>
      </c>
      <c r="B194" s="94"/>
      <c r="C194" s="42" t="s">
        <v>180</v>
      </c>
      <c r="D194" s="42">
        <f>(64.5)*(10.764)</f>
        <v>694.27799999999991</v>
      </c>
      <c r="E194" s="42">
        <v>0</v>
      </c>
      <c r="F194" s="42">
        <f t="shared" si="2"/>
        <v>1110.8447999999999</v>
      </c>
      <c r="G194" s="107"/>
      <c r="H194" s="108"/>
      <c r="I194" s="36"/>
      <c r="L194" s="92"/>
      <c r="M194" s="92"/>
      <c r="N194" s="36"/>
    </row>
    <row r="195" spans="1:14" s="37" customFormat="1" ht="15.75" customHeight="1" x14ac:dyDescent="0.35">
      <c r="A195" s="93">
        <f>A194+1</f>
        <v>111</v>
      </c>
      <c r="B195" s="94"/>
      <c r="C195" s="42" t="s">
        <v>180</v>
      </c>
      <c r="D195" s="42">
        <f>(66.77)*(10.764)</f>
        <v>718.71227999999996</v>
      </c>
      <c r="E195" s="42">
        <v>0</v>
      </c>
      <c r="F195" s="42">
        <f t="shared" si="2"/>
        <v>1149.939648</v>
      </c>
      <c r="G195" s="107"/>
      <c r="H195" s="108"/>
      <c r="I195" s="36"/>
      <c r="L195" s="92"/>
      <c r="M195" s="92"/>
      <c r="N195" s="36"/>
    </row>
    <row r="196" spans="1:14" s="37" customFormat="1" ht="15.75" customHeight="1" x14ac:dyDescent="0.35">
      <c r="A196" s="93">
        <f>A195+1</f>
        <v>112</v>
      </c>
      <c r="B196" s="94"/>
      <c r="C196" s="42" t="s">
        <v>180</v>
      </c>
      <c r="D196" s="42">
        <f>(34.04)*(10.764)</f>
        <v>366.40655999999996</v>
      </c>
      <c r="E196" s="42">
        <v>0</v>
      </c>
      <c r="F196" s="42">
        <f t="shared" si="2"/>
        <v>586.250496</v>
      </c>
      <c r="G196" s="107"/>
      <c r="H196" s="108"/>
      <c r="I196" s="36"/>
      <c r="L196" s="92"/>
      <c r="M196" s="92"/>
      <c r="N196" s="36"/>
    </row>
    <row r="197" spans="1:14" s="37" customFormat="1" ht="15.75" customHeight="1" x14ac:dyDescent="0.35">
      <c r="A197" s="93">
        <f>A196+1</f>
        <v>113</v>
      </c>
      <c r="B197" s="94"/>
      <c r="C197" s="42" t="s">
        <v>180</v>
      </c>
      <c r="D197" s="42">
        <f>(129.83)*(10.764)</f>
        <v>1397.4901200000002</v>
      </c>
      <c r="E197" s="42">
        <v>0</v>
      </c>
      <c r="F197" s="42">
        <f t="shared" ref="F197" si="3">(D197+E197)*(($F$171)+1)</f>
        <v>2235.9841920000003</v>
      </c>
      <c r="G197" s="109"/>
      <c r="H197" s="110"/>
      <c r="I197" s="36"/>
      <c r="L197" s="92"/>
      <c r="M197" s="92"/>
      <c r="N197" s="36"/>
    </row>
    <row r="198" spans="1:14" s="37" customFormat="1" x14ac:dyDescent="0.35">
      <c r="A198" s="73" t="s">
        <v>229</v>
      </c>
      <c r="B198" s="74"/>
      <c r="C198" s="74"/>
      <c r="D198" s="74"/>
      <c r="E198" s="74"/>
      <c r="F198" s="74"/>
      <c r="G198" s="74"/>
      <c r="H198" s="75"/>
      <c r="J198" s="36"/>
    </row>
    <row r="199" spans="1:14" s="37" customFormat="1" ht="15.75" customHeight="1" x14ac:dyDescent="0.35">
      <c r="A199" s="93">
        <v>207</v>
      </c>
      <c r="B199" s="94"/>
      <c r="C199" s="42" t="s">
        <v>180</v>
      </c>
      <c r="D199" s="42">
        <f>(61.05)*(10.764)</f>
        <v>657.14219999999989</v>
      </c>
      <c r="E199" s="42">
        <v>0</v>
      </c>
      <c r="F199" s="42">
        <f t="shared" ref="F199:F205" si="4">(D199+E199)*(($F$171)+1)</f>
        <v>1051.42752</v>
      </c>
      <c r="G199" s="105" t="str">
        <f>A198</f>
        <v>1st Floor For Part Commercial</v>
      </c>
      <c r="H199" s="106"/>
      <c r="I199" s="36"/>
      <c r="L199" s="92"/>
      <c r="M199" s="92"/>
      <c r="N199" s="36"/>
    </row>
    <row r="200" spans="1:14" s="37" customFormat="1" ht="15.75" customHeight="1" x14ac:dyDescent="0.35">
      <c r="A200" s="93">
        <v>208</v>
      </c>
      <c r="B200" s="94"/>
      <c r="C200" s="42" t="s">
        <v>180</v>
      </c>
      <c r="D200" s="42">
        <f>(95.02)*(10.764)</f>
        <v>1022.7952799999999</v>
      </c>
      <c r="E200" s="42">
        <v>0</v>
      </c>
      <c r="F200" s="42">
        <f t="shared" si="4"/>
        <v>1636.472448</v>
      </c>
      <c r="G200" s="107"/>
      <c r="H200" s="108"/>
      <c r="I200" s="36"/>
      <c r="L200" s="92"/>
      <c r="M200" s="92"/>
      <c r="N200" s="36"/>
    </row>
    <row r="201" spans="1:14" s="37" customFormat="1" ht="15.75" customHeight="1" x14ac:dyDescent="0.35">
      <c r="A201" s="93">
        <f>A200+1</f>
        <v>209</v>
      </c>
      <c r="B201" s="94"/>
      <c r="C201" s="42" t="s">
        <v>180</v>
      </c>
      <c r="D201" s="42">
        <f>(25.24)*(10.764)</f>
        <v>271.68335999999999</v>
      </c>
      <c r="E201" s="42">
        <v>0</v>
      </c>
      <c r="F201" s="42">
        <f t="shared" si="4"/>
        <v>434.693376</v>
      </c>
      <c r="G201" s="107"/>
      <c r="H201" s="108"/>
      <c r="I201" s="36"/>
      <c r="L201" s="92"/>
      <c r="M201" s="92"/>
      <c r="N201" s="36"/>
    </row>
    <row r="202" spans="1:14" s="37" customFormat="1" ht="15.75" customHeight="1" x14ac:dyDescent="0.35">
      <c r="A202" s="93">
        <f>A201+1</f>
        <v>210</v>
      </c>
      <c r="B202" s="94"/>
      <c r="C202" s="42" t="s">
        <v>180</v>
      </c>
      <c r="D202" s="42">
        <f>(47.24)*(10.764)</f>
        <v>508.49135999999999</v>
      </c>
      <c r="E202" s="42">
        <v>0</v>
      </c>
      <c r="F202" s="42">
        <f t="shared" si="4"/>
        <v>813.58617600000002</v>
      </c>
      <c r="G202" s="107"/>
      <c r="H202" s="108"/>
      <c r="I202" s="36"/>
      <c r="L202" s="92"/>
      <c r="M202" s="92"/>
      <c r="N202" s="36"/>
    </row>
    <row r="203" spans="1:14" s="37" customFormat="1" ht="15.75" customHeight="1" x14ac:dyDescent="0.35">
      <c r="A203" s="93">
        <f>A202+1</f>
        <v>211</v>
      </c>
      <c r="B203" s="94"/>
      <c r="C203" s="42" t="s">
        <v>180</v>
      </c>
      <c r="D203" s="42">
        <f>(49.54)*(10.764)</f>
        <v>533.24856</v>
      </c>
      <c r="E203" s="42">
        <v>0</v>
      </c>
      <c r="F203" s="42">
        <f t="shared" si="4"/>
        <v>853.19769600000006</v>
      </c>
      <c r="G203" s="107"/>
      <c r="H203" s="108"/>
      <c r="I203" s="36"/>
      <c r="L203" s="92"/>
      <c r="M203" s="92"/>
      <c r="N203" s="36"/>
    </row>
    <row r="204" spans="1:14" s="37" customFormat="1" ht="15.75" customHeight="1" x14ac:dyDescent="0.35">
      <c r="A204" s="93">
        <f>A203+1</f>
        <v>212</v>
      </c>
      <c r="B204" s="94"/>
      <c r="C204" s="42" t="s">
        <v>180</v>
      </c>
      <c r="D204" s="42">
        <f>(24.61)*(10.764)</f>
        <v>264.90204</v>
      </c>
      <c r="E204" s="42">
        <v>0</v>
      </c>
      <c r="F204" s="42">
        <f t="shared" si="4"/>
        <v>423.84326400000003</v>
      </c>
      <c r="G204" s="107"/>
      <c r="H204" s="108"/>
      <c r="I204" s="36"/>
      <c r="L204" s="92"/>
      <c r="M204" s="92"/>
      <c r="N204" s="36"/>
    </row>
    <row r="205" spans="1:14" s="37" customFormat="1" ht="15.75" customHeight="1" x14ac:dyDescent="0.35">
      <c r="A205" s="93">
        <f>A204+1</f>
        <v>213</v>
      </c>
      <c r="B205" s="94"/>
      <c r="C205" s="42" t="s">
        <v>180</v>
      </c>
      <c r="D205" s="42">
        <f>(110.32)*(10.764)</f>
        <v>1187.4844799999998</v>
      </c>
      <c r="E205" s="42">
        <v>0</v>
      </c>
      <c r="F205" s="42">
        <f t="shared" si="4"/>
        <v>1899.9751679999999</v>
      </c>
      <c r="G205" s="109"/>
      <c r="H205" s="110"/>
      <c r="I205" s="36"/>
      <c r="L205" s="92"/>
      <c r="M205" s="92"/>
      <c r="N205" s="36"/>
    </row>
    <row r="206" spans="1:14" s="37" customFormat="1" x14ac:dyDescent="0.35">
      <c r="A206" s="93"/>
      <c r="B206" s="111"/>
      <c r="C206" s="111"/>
      <c r="D206" s="111"/>
      <c r="E206" s="111"/>
      <c r="F206" s="111"/>
      <c r="G206" s="111"/>
      <c r="H206" s="94"/>
      <c r="I206" s="36"/>
      <c r="N206" s="36"/>
    </row>
    <row r="207" spans="1:14" ht="47.25" customHeight="1" x14ac:dyDescent="0.35">
      <c r="A207" s="197" t="s">
        <v>122</v>
      </c>
      <c r="B207" s="197" t="s">
        <v>123</v>
      </c>
      <c r="C207" s="113" t="s">
        <v>57</v>
      </c>
      <c r="D207" s="113" t="s">
        <v>58</v>
      </c>
      <c r="E207" s="148" t="s">
        <v>59</v>
      </c>
      <c r="F207" s="43" t="s">
        <v>153</v>
      </c>
      <c r="G207" s="197" t="s">
        <v>60</v>
      </c>
      <c r="H207" s="198"/>
      <c r="I207" s="36"/>
    </row>
    <row r="208" spans="1:14" s="37" customFormat="1" x14ac:dyDescent="0.35">
      <c r="A208" s="199"/>
      <c r="B208" s="199"/>
      <c r="C208" s="114"/>
      <c r="D208" s="114"/>
      <c r="E208" s="149"/>
      <c r="F208" s="13">
        <v>0.6</v>
      </c>
      <c r="G208" s="199"/>
      <c r="H208" s="200"/>
      <c r="I208" s="36"/>
    </row>
    <row r="209" spans="1:14" s="37" customFormat="1" x14ac:dyDescent="0.35">
      <c r="A209" s="145" t="s">
        <v>200</v>
      </c>
      <c r="B209" s="146"/>
      <c r="C209" s="146"/>
      <c r="D209" s="146"/>
      <c r="E209" s="146"/>
      <c r="F209" s="146"/>
      <c r="G209" s="146"/>
      <c r="H209" s="147"/>
      <c r="J209" s="36"/>
    </row>
    <row r="210" spans="1:14" s="37" customFormat="1" x14ac:dyDescent="0.35">
      <c r="A210" s="118" t="s">
        <v>179</v>
      </c>
      <c r="B210" s="119"/>
      <c r="C210" s="119"/>
      <c r="D210" s="119"/>
      <c r="E210" s="119"/>
      <c r="F210" s="119"/>
      <c r="G210" s="119"/>
      <c r="H210" s="120"/>
      <c r="J210" s="36"/>
    </row>
    <row r="211" spans="1:14" s="37" customFormat="1" x14ac:dyDescent="0.35">
      <c r="A211" s="73" t="s">
        <v>181</v>
      </c>
      <c r="B211" s="74"/>
      <c r="C211" s="74"/>
      <c r="D211" s="74"/>
      <c r="E211" s="74"/>
      <c r="F211" s="74"/>
      <c r="G211" s="74"/>
      <c r="H211" s="75"/>
      <c r="J211" s="36"/>
    </row>
    <row r="212" spans="1:14" s="37" customFormat="1" ht="15.75" customHeight="1" x14ac:dyDescent="0.35">
      <c r="A212" s="93">
        <v>5</v>
      </c>
      <c r="B212" s="94"/>
      <c r="C212" s="42" t="s">
        <v>182</v>
      </c>
      <c r="D212" s="42">
        <f>(74.67-(2.75*1.225+0.925*1.525))*(10.764)</f>
        <v>752.30268749999993</v>
      </c>
      <c r="E212" s="42">
        <v>0</v>
      </c>
      <c r="F212" s="42">
        <f>D212*(($F$208)+1)+(IF(E212&lt;101,E212,IF(E212&lt;201,E212/2,IF(E212&lt;=301,E212/3,E212/4))))</f>
        <v>1203.6842999999999</v>
      </c>
      <c r="G212" s="105" t="str">
        <f>A211</f>
        <v>1st Floor For Commercial &amp; Residential</v>
      </c>
      <c r="H212" s="106"/>
      <c r="I212" s="36"/>
      <c r="L212" s="92"/>
      <c r="M212" s="92"/>
      <c r="N212" s="36"/>
    </row>
    <row r="213" spans="1:14" s="37" customFormat="1" ht="15.75" customHeight="1" x14ac:dyDescent="0.35">
      <c r="A213" s="93">
        <f>A212+1</f>
        <v>6</v>
      </c>
      <c r="B213" s="94"/>
      <c r="C213" s="42" t="s">
        <v>182</v>
      </c>
      <c r="D213" s="42">
        <f>(74.67-(2.75*1.225+0.925*1.525))*(10.764)</f>
        <v>752.30268749999993</v>
      </c>
      <c r="E213" s="42">
        <v>0</v>
      </c>
      <c r="F213" s="42">
        <f>D213*(($F$208)+1)+(IF(E213&lt;101,E213,IF(E213&lt;201,E213/2,IF(E213&lt;=301,E213/3,E213/4))))</f>
        <v>1203.6842999999999</v>
      </c>
      <c r="G213" s="109"/>
      <c r="H213" s="110"/>
      <c r="I213" s="36"/>
      <c r="L213" s="92"/>
      <c r="M213" s="92"/>
      <c r="N213" s="36"/>
    </row>
    <row r="214" spans="1:14" s="37" customFormat="1" x14ac:dyDescent="0.35">
      <c r="A214" s="193" t="s">
        <v>183</v>
      </c>
      <c r="B214" s="193"/>
      <c r="C214" s="193"/>
      <c r="D214" s="193"/>
      <c r="E214" s="193"/>
      <c r="F214" s="193"/>
      <c r="G214" s="193"/>
      <c r="H214" s="193"/>
      <c r="I214" s="36"/>
      <c r="L214" s="92"/>
      <c r="M214" s="92"/>
    </row>
    <row r="215" spans="1:14" s="37" customFormat="1" ht="15.75" customHeight="1" x14ac:dyDescent="0.35">
      <c r="A215" s="121">
        <v>1</v>
      </c>
      <c r="B215" s="121"/>
      <c r="C215" s="42" t="s">
        <v>182</v>
      </c>
      <c r="D215" s="42">
        <f>80.18*10.764</f>
        <v>863.05752000000007</v>
      </c>
      <c r="E215" s="42">
        <v>0</v>
      </c>
      <c r="F215" s="42">
        <f t="shared" ref="F215:F220" si="5">D215*(($F$208)+1)+(IF(E215&lt;101,E215,IF(E215&lt;201,E215/2,IF(E215&lt;=301,E215/3,E215/4))))</f>
        <v>1380.8920320000002</v>
      </c>
      <c r="G215" s="105" t="str">
        <f>A214</f>
        <v>2nd to 7th &amp; 9th to 12th, 14th to 17th, 19th to 22nd, 24th to 27th, 29th &amp; 30th Floor</v>
      </c>
      <c r="H215" s="106"/>
      <c r="I215" s="36"/>
      <c r="N215" s="36"/>
    </row>
    <row r="216" spans="1:14" s="37" customFormat="1" ht="15.75" customHeight="1" x14ac:dyDescent="0.35">
      <c r="A216" s="121">
        <f>A215+1</f>
        <v>2</v>
      </c>
      <c r="B216" s="121"/>
      <c r="C216" s="42" t="s">
        <v>182</v>
      </c>
      <c r="D216" s="42">
        <f>69.31*10.764</f>
        <v>746.05283999999995</v>
      </c>
      <c r="E216" s="42">
        <v>0</v>
      </c>
      <c r="F216" s="42">
        <f t="shared" si="5"/>
        <v>1193.684544</v>
      </c>
      <c r="G216" s="107"/>
      <c r="H216" s="108"/>
      <c r="I216" s="36"/>
      <c r="N216" s="36"/>
    </row>
    <row r="217" spans="1:14" s="37" customFormat="1" ht="15.75" customHeight="1" x14ac:dyDescent="0.35">
      <c r="A217" s="121">
        <f>A216+1</f>
        <v>3</v>
      </c>
      <c r="B217" s="121"/>
      <c r="C217" s="42" t="s">
        <v>182</v>
      </c>
      <c r="D217" s="42">
        <f>69.31*10.764</f>
        <v>746.05283999999995</v>
      </c>
      <c r="E217" s="42">
        <v>0</v>
      </c>
      <c r="F217" s="42">
        <f t="shared" si="5"/>
        <v>1193.684544</v>
      </c>
      <c r="G217" s="107"/>
      <c r="H217" s="108"/>
      <c r="I217" s="36"/>
      <c r="N217" s="36"/>
    </row>
    <row r="218" spans="1:14" s="37" customFormat="1" ht="15.75" customHeight="1" x14ac:dyDescent="0.35">
      <c r="A218" s="121">
        <f>A217+1</f>
        <v>4</v>
      </c>
      <c r="B218" s="121"/>
      <c r="C218" s="42" t="s">
        <v>182</v>
      </c>
      <c r="D218" s="42">
        <f>80.18*10.764</f>
        <v>863.05752000000007</v>
      </c>
      <c r="E218" s="42">
        <v>0</v>
      </c>
      <c r="F218" s="42">
        <f t="shared" si="5"/>
        <v>1380.8920320000002</v>
      </c>
      <c r="G218" s="107"/>
      <c r="H218" s="108"/>
      <c r="I218" s="36">
        <f>17500000/F218</f>
        <v>12672.967614024148</v>
      </c>
      <c r="N218" s="36"/>
    </row>
    <row r="219" spans="1:14" s="37" customFormat="1" ht="15.75" customHeight="1" x14ac:dyDescent="0.35">
      <c r="A219" s="121">
        <f>A218+1</f>
        <v>5</v>
      </c>
      <c r="B219" s="121"/>
      <c r="C219" s="42" t="s">
        <v>182</v>
      </c>
      <c r="D219" s="42">
        <f>69.31*10.764</f>
        <v>746.05283999999995</v>
      </c>
      <c r="E219" s="42">
        <v>0</v>
      </c>
      <c r="F219" s="42">
        <f t="shared" si="5"/>
        <v>1193.684544</v>
      </c>
      <c r="G219" s="107"/>
      <c r="H219" s="108"/>
      <c r="I219" s="36"/>
      <c r="N219" s="36"/>
    </row>
    <row r="220" spans="1:14" s="37" customFormat="1" ht="15.75" customHeight="1" x14ac:dyDescent="0.35">
      <c r="A220" s="121">
        <f>A219+1</f>
        <v>6</v>
      </c>
      <c r="B220" s="121"/>
      <c r="C220" s="42" t="s">
        <v>182</v>
      </c>
      <c r="D220" s="42">
        <f>69.31*10.764</f>
        <v>746.05283999999995</v>
      </c>
      <c r="E220" s="42">
        <v>0</v>
      </c>
      <c r="F220" s="42">
        <f t="shared" si="5"/>
        <v>1193.684544</v>
      </c>
      <c r="G220" s="109"/>
      <c r="H220" s="110"/>
      <c r="I220" s="36"/>
      <c r="N220" s="36"/>
    </row>
    <row r="221" spans="1:14" s="37" customFormat="1" ht="15.75" customHeight="1" x14ac:dyDescent="0.35">
      <c r="A221" s="73" t="s">
        <v>184</v>
      </c>
      <c r="B221" s="74"/>
      <c r="C221" s="74"/>
      <c r="D221" s="74"/>
      <c r="E221" s="74"/>
      <c r="F221" s="74"/>
      <c r="G221" s="74"/>
      <c r="H221" s="75"/>
      <c r="I221" s="36"/>
    </row>
    <row r="222" spans="1:14" s="37" customFormat="1" ht="15.75" customHeight="1" x14ac:dyDescent="0.35">
      <c r="A222" s="93">
        <v>1</v>
      </c>
      <c r="B222" s="94"/>
      <c r="C222" s="42" t="s">
        <v>182</v>
      </c>
      <c r="D222" s="42">
        <f>80.18*10.764</f>
        <v>863.05752000000007</v>
      </c>
      <c r="E222" s="42">
        <v>0</v>
      </c>
      <c r="F222" s="42">
        <f>D222*(($F$208)+1)+(IF(E222&lt;101,E222,IF(E222&lt;201,E222/2,IF(E222&lt;=301,E222/3,E222/4))))</f>
        <v>1380.8920320000002</v>
      </c>
      <c r="G222" s="105" t="str">
        <f>A221</f>
        <v>8th, 13th, 18th, 23rd &amp; 28th Floor (Part Refuge Area)</v>
      </c>
      <c r="H222" s="106"/>
      <c r="I222" s="36"/>
    </row>
    <row r="223" spans="1:14" s="37" customFormat="1" ht="15.75" customHeight="1" x14ac:dyDescent="0.35">
      <c r="A223" s="93">
        <v>2</v>
      </c>
      <c r="B223" s="94"/>
      <c r="C223" s="42" t="s">
        <v>182</v>
      </c>
      <c r="D223" s="42">
        <f>69.31*10.764</f>
        <v>746.05283999999995</v>
      </c>
      <c r="E223" s="42">
        <v>0</v>
      </c>
      <c r="F223" s="42">
        <f>D223*(($F$208)+1)+(IF(E223&lt;101,E223,IF(E223&lt;201,E223/2,IF(E223&lt;=301,E223/3,E223/4))))</f>
        <v>1193.684544</v>
      </c>
      <c r="G223" s="107"/>
      <c r="H223" s="108"/>
      <c r="I223" s="36"/>
    </row>
    <row r="224" spans="1:14" s="37" customFormat="1" ht="15.75" customHeight="1" x14ac:dyDescent="0.35">
      <c r="A224" s="93">
        <v>3</v>
      </c>
      <c r="B224" s="94"/>
      <c r="C224" s="93" t="s">
        <v>185</v>
      </c>
      <c r="D224" s="111"/>
      <c r="E224" s="111"/>
      <c r="F224" s="94"/>
      <c r="G224" s="107"/>
      <c r="H224" s="108"/>
      <c r="I224" s="36"/>
    </row>
    <row r="225" spans="1:14" s="37" customFormat="1" ht="15.75" customHeight="1" x14ac:dyDescent="0.35">
      <c r="A225" s="93">
        <v>4</v>
      </c>
      <c r="B225" s="94"/>
      <c r="C225" s="42" t="s">
        <v>182</v>
      </c>
      <c r="D225" s="42">
        <f>80.18*10.764</f>
        <v>863.05752000000007</v>
      </c>
      <c r="E225" s="42">
        <v>0</v>
      </c>
      <c r="F225" s="42">
        <f>D225*(($F$208)+1)+(IF(E225&lt;101,E225,IF(E225&lt;201,E225/2,IF(E225&lt;=301,E225/3,E225/4))))</f>
        <v>1380.8920320000002</v>
      </c>
      <c r="G225" s="107"/>
      <c r="H225" s="108"/>
      <c r="I225" s="36"/>
    </row>
    <row r="226" spans="1:14" s="37" customFormat="1" ht="15.75" customHeight="1" x14ac:dyDescent="0.35">
      <c r="A226" s="93">
        <v>5</v>
      </c>
      <c r="B226" s="94"/>
      <c r="C226" s="42" t="s">
        <v>182</v>
      </c>
      <c r="D226" s="42">
        <f>69.31*10.764</f>
        <v>746.05283999999995</v>
      </c>
      <c r="E226" s="42">
        <v>0</v>
      </c>
      <c r="F226" s="42">
        <f>D226*(($F$208)+1)+(IF(E226&lt;101,E226,IF(E226&lt;201,E226/2,IF(E226&lt;=301,E226/3,E226/4))))</f>
        <v>1193.684544</v>
      </c>
      <c r="G226" s="107"/>
      <c r="H226" s="108"/>
      <c r="I226" s="36"/>
    </row>
    <row r="227" spans="1:14" s="37" customFormat="1" ht="15.75" customHeight="1" x14ac:dyDescent="0.35">
      <c r="A227" s="121">
        <f>A226+1</f>
        <v>6</v>
      </c>
      <c r="B227" s="121"/>
      <c r="C227" s="42" t="s">
        <v>182</v>
      </c>
      <c r="D227" s="42">
        <f>69.31*10.764</f>
        <v>746.05283999999995</v>
      </c>
      <c r="E227" s="42">
        <v>0</v>
      </c>
      <c r="F227" s="42">
        <f>D227*(($F$208)+1)+(IF(E227&lt;101,E227,IF(E227&lt;201,E227/2,IF(E227&lt;=301,E227/3,E227/4))))</f>
        <v>1193.684544</v>
      </c>
      <c r="G227" s="109"/>
      <c r="H227" s="110"/>
      <c r="I227" s="36"/>
      <c r="N227" s="36"/>
    </row>
    <row r="228" spans="1:14" s="37" customFormat="1" x14ac:dyDescent="0.35">
      <c r="A228" s="193" t="s">
        <v>186</v>
      </c>
      <c r="B228" s="193"/>
      <c r="C228" s="193"/>
      <c r="D228" s="193"/>
      <c r="E228" s="193"/>
      <c r="F228" s="193"/>
      <c r="G228" s="193"/>
      <c r="H228" s="193"/>
      <c r="I228" s="36"/>
      <c r="L228" s="92"/>
      <c r="M228" s="92"/>
    </row>
    <row r="229" spans="1:14" s="37" customFormat="1" ht="15.75" customHeight="1" x14ac:dyDescent="0.35">
      <c r="A229" s="121">
        <v>1</v>
      </c>
      <c r="B229" s="121"/>
      <c r="C229" s="42" t="s">
        <v>182</v>
      </c>
      <c r="D229" s="42">
        <f>80.18*10.764</f>
        <v>863.05752000000007</v>
      </c>
      <c r="E229" s="42">
        <v>0</v>
      </c>
      <c r="F229" s="42">
        <f t="shared" ref="F229:F234" si="6">D229*(($F$208)+1)+(IF(E229&lt;101,E229,IF(E229&lt;201,E229/2,IF(E229&lt;=301,E229/3,E229/4))))</f>
        <v>1380.8920320000002</v>
      </c>
      <c r="G229" s="105" t="str">
        <f>A228</f>
        <v>31st, 32nd, 34th to 37th, 39th to 42nd Floor</v>
      </c>
      <c r="H229" s="106"/>
      <c r="I229" s="36"/>
      <c r="N229" s="36"/>
    </row>
    <row r="230" spans="1:14" s="37" customFormat="1" ht="15.75" customHeight="1" x14ac:dyDescent="0.35">
      <c r="A230" s="121">
        <f>A229+1</f>
        <v>2</v>
      </c>
      <c r="B230" s="121"/>
      <c r="C230" s="42" t="s">
        <v>182</v>
      </c>
      <c r="D230" s="42">
        <f>70.1*10.764</f>
        <v>754.55639999999994</v>
      </c>
      <c r="E230" s="42">
        <v>0</v>
      </c>
      <c r="F230" s="42">
        <f t="shared" si="6"/>
        <v>1207.29024</v>
      </c>
      <c r="G230" s="107"/>
      <c r="H230" s="108"/>
      <c r="I230" s="36"/>
      <c r="N230" s="36"/>
    </row>
    <row r="231" spans="1:14" s="37" customFormat="1" ht="15.75" customHeight="1" x14ac:dyDescent="0.35">
      <c r="A231" s="121">
        <f>A230+1</f>
        <v>3</v>
      </c>
      <c r="B231" s="121"/>
      <c r="C231" s="42" t="s">
        <v>182</v>
      </c>
      <c r="D231" s="42">
        <f>70.1*10.764</f>
        <v>754.55639999999994</v>
      </c>
      <c r="E231" s="42">
        <v>0</v>
      </c>
      <c r="F231" s="42">
        <f t="shared" si="6"/>
        <v>1207.29024</v>
      </c>
      <c r="G231" s="107"/>
      <c r="H231" s="108"/>
      <c r="I231" s="36"/>
      <c r="N231" s="36"/>
    </row>
    <row r="232" spans="1:14" s="37" customFormat="1" ht="15.75" customHeight="1" x14ac:dyDescent="0.35">
      <c r="A232" s="121">
        <f>A231+1</f>
        <v>4</v>
      </c>
      <c r="B232" s="121"/>
      <c r="C232" s="42" t="s">
        <v>182</v>
      </c>
      <c r="D232" s="42">
        <f>80.18*10.764</f>
        <v>863.05752000000007</v>
      </c>
      <c r="E232" s="42">
        <v>0</v>
      </c>
      <c r="F232" s="42">
        <f t="shared" si="6"/>
        <v>1380.8920320000002</v>
      </c>
      <c r="G232" s="107"/>
      <c r="H232" s="108"/>
      <c r="I232" s="36"/>
      <c r="N232" s="36"/>
    </row>
    <row r="233" spans="1:14" s="37" customFormat="1" ht="15.75" customHeight="1" x14ac:dyDescent="0.35">
      <c r="A233" s="121">
        <f>A232+1</f>
        <v>5</v>
      </c>
      <c r="B233" s="121"/>
      <c r="C233" s="42" t="s">
        <v>182</v>
      </c>
      <c r="D233" s="42">
        <f>70.1*10.764</f>
        <v>754.55639999999994</v>
      </c>
      <c r="E233" s="42">
        <v>0</v>
      </c>
      <c r="F233" s="42">
        <f t="shared" si="6"/>
        <v>1207.29024</v>
      </c>
      <c r="G233" s="107"/>
      <c r="H233" s="108"/>
      <c r="I233" s="36"/>
      <c r="N233" s="36"/>
    </row>
    <row r="234" spans="1:14" s="37" customFormat="1" ht="15.75" customHeight="1" x14ac:dyDescent="0.35">
      <c r="A234" s="121">
        <f>A233+1</f>
        <v>6</v>
      </c>
      <c r="B234" s="121"/>
      <c r="C234" s="42" t="s">
        <v>182</v>
      </c>
      <c r="D234" s="42">
        <f>70.1*10.764</f>
        <v>754.55639999999994</v>
      </c>
      <c r="E234" s="42">
        <v>0</v>
      </c>
      <c r="F234" s="42">
        <f t="shared" si="6"/>
        <v>1207.29024</v>
      </c>
      <c r="G234" s="109"/>
      <c r="H234" s="110"/>
      <c r="I234" s="36"/>
      <c r="N234" s="36"/>
    </row>
    <row r="235" spans="1:14" s="37" customFormat="1" ht="15.75" customHeight="1" x14ac:dyDescent="0.35">
      <c r="A235" s="73" t="s">
        <v>187</v>
      </c>
      <c r="B235" s="74"/>
      <c r="C235" s="74"/>
      <c r="D235" s="74"/>
      <c r="E235" s="74"/>
      <c r="F235" s="74"/>
      <c r="G235" s="74"/>
      <c r="H235" s="75"/>
      <c r="I235" s="36"/>
    </row>
    <row r="236" spans="1:14" s="37" customFormat="1" ht="15.75" customHeight="1" x14ac:dyDescent="0.35">
      <c r="A236" s="93">
        <v>1</v>
      </c>
      <c r="B236" s="94"/>
      <c r="C236" s="42" t="s">
        <v>182</v>
      </c>
      <c r="D236" s="42">
        <f>80.18*10.764</f>
        <v>863.05752000000007</v>
      </c>
      <c r="E236" s="42">
        <v>0</v>
      </c>
      <c r="F236" s="42">
        <f>D236*(($F$208)+1)+(IF(E236&lt;101,E236,IF(E236&lt;201,E236/2,IF(E236&lt;=301,E236/3,E236/4))))</f>
        <v>1380.8920320000002</v>
      </c>
      <c r="G236" s="105" t="str">
        <f>A235</f>
        <v>33rd &amp; 38th Floor (Part Refuge Area)</v>
      </c>
      <c r="H236" s="106"/>
      <c r="I236" s="36"/>
    </row>
    <row r="237" spans="1:14" s="37" customFormat="1" ht="15.75" customHeight="1" x14ac:dyDescent="0.35">
      <c r="A237" s="93">
        <v>2</v>
      </c>
      <c r="B237" s="94"/>
      <c r="C237" s="42" t="s">
        <v>182</v>
      </c>
      <c r="D237" s="42">
        <f>70.1*10.764</f>
        <v>754.55639999999994</v>
      </c>
      <c r="E237" s="42">
        <v>0</v>
      </c>
      <c r="F237" s="42">
        <f>D237*(($F$208)+1)+(IF(E237&lt;101,E237,IF(E237&lt;201,E237/2,IF(E237&lt;=301,E237/3,E237/4))))</f>
        <v>1207.29024</v>
      </c>
      <c r="G237" s="107"/>
      <c r="H237" s="108"/>
      <c r="I237" s="36"/>
    </row>
    <row r="238" spans="1:14" s="37" customFormat="1" ht="15.75" customHeight="1" x14ac:dyDescent="0.35">
      <c r="A238" s="93">
        <v>3</v>
      </c>
      <c r="B238" s="94"/>
      <c r="C238" s="93" t="s">
        <v>185</v>
      </c>
      <c r="D238" s="111"/>
      <c r="E238" s="111"/>
      <c r="F238" s="94"/>
      <c r="G238" s="107"/>
      <c r="H238" s="108"/>
      <c r="I238" s="36"/>
    </row>
    <row r="239" spans="1:14" s="37" customFormat="1" ht="15.75" customHeight="1" x14ac:dyDescent="0.35">
      <c r="A239" s="93">
        <v>4</v>
      </c>
      <c r="B239" s="94"/>
      <c r="C239" s="42" t="s">
        <v>182</v>
      </c>
      <c r="D239" s="42">
        <f>80.18*10.764</f>
        <v>863.05752000000007</v>
      </c>
      <c r="E239" s="42">
        <v>0</v>
      </c>
      <c r="F239" s="42">
        <f>D239*(($F$208)+1)+(IF(E239&lt;101,E239,IF(E239&lt;201,E239/2,IF(E239&lt;=301,E239/3,E239/4))))</f>
        <v>1380.8920320000002</v>
      </c>
      <c r="G239" s="107"/>
      <c r="H239" s="108"/>
      <c r="I239" s="36"/>
    </row>
    <row r="240" spans="1:14" s="37" customFormat="1" ht="15.75" customHeight="1" x14ac:dyDescent="0.35">
      <c r="A240" s="93">
        <v>5</v>
      </c>
      <c r="B240" s="94"/>
      <c r="C240" s="42" t="s">
        <v>182</v>
      </c>
      <c r="D240" s="42">
        <f>70.1*10.764</f>
        <v>754.55639999999994</v>
      </c>
      <c r="E240" s="42">
        <v>0</v>
      </c>
      <c r="F240" s="42">
        <f>D240*(($F$208)+1)+(IF(E240&lt;101,E240,IF(E240&lt;201,E240/2,IF(E240&lt;=301,E240/3,E240/4))))</f>
        <v>1207.29024</v>
      </c>
      <c r="G240" s="107"/>
      <c r="H240" s="108"/>
      <c r="I240" s="36"/>
    </row>
    <row r="241" spans="1:14" s="37" customFormat="1" ht="15.75" customHeight="1" x14ac:dyDescent="0.35">
      <c r="A241" s="121">
        <f>A240+1</f>
        <v>6</v>
      </c>
      <c r="B241" s="121"/>
      <c r="C241" s="42" t="s">
        <v>182</v>
      </c>
      <c r="D241" s="42">
        <f>70.1*10.764</f>
        <v>754.55639999999994</v>
      </c>
      <c r="E241" s="42">
        <v>0</v>
      </c>
      <c r="F241" s="42">
        <f>D241*(($F$208)+1)+(IF(E241&lt;101,E241,IF(E241&lt;201,E241/2,IF(E241&lt;=301,E241/3,E241/4))))</f>
        <v>1207.29024</v>
      </c>
      <c r="G241" s="109"/>
      <c r="H241" s="110"/>
      <c r="I241" s="36"/>
      <c r="N241" s="36"/>
    </row>
    <row r="242" spans="1:14" s="37" customFormat="1" x14ac:dyDescent="0.35">
      <c r="A242" s="118" t="s">
        <v>188</v>
      </c>
      <c r="B242" s="119"/>
      <c r="C242" s="119"/>
      <c r="D242" s="119"/>
      <c r="E242" s="119"/>
      <c r="F242" s="119"/>
      <c r="G242" s="119"/>
      <c r="H242" s="120"/>
      <c r="J242" s="36"/>
    </row>
    <row r="243" spans="1:14" s="37" customFormat="1" ht="13.5" customHeight="1" x14ac:dyDescent="0.35">
      <c r="A243" s="73" t="s">
        <v>189</v>
      </c>
      <c r="B243" s="74"/>
      <c r="C243" s="74"/>
      <c r="D243" s="74"/>
      <c r="E243" s="74"/>
      <c r="F243" s="74"/>
      <c r="G243" s="74"/>
      <c r="H243" s="75"/>
      <c r="J243" s="36"/>
    </row>
    <row r="244" spans="1:14" s="37" customFormat="1" x14ac:dyDescent="0.35">
      <c r="A244" s="73" t="s">
        <v>237</v>
      </c>
      <c r="B244" s="74"/>
      <c r="C244" s="74"/>
      <c r="D244" s="74"/>
      <c r="E244" s="74"/>
      <c r="F244" s="74"/>
      <c r="G244" s="74"/>
      <c r="H244" s="75"/>
      <c r="I244" s="36"/>
    </row>
    <row r="245" spans="1:14" s="37" customFormat="1" ht="15.75" customHeight="1" x14ac:dyDescent="0.35">
      <c r="A245" s="93">
        <v>1</v>
      </c>
      <c r="B245" s="94"/>
      <c r="C245" s="42" t="s">
        <v>190</v>
      </c>
      <c r="D245" s="42">
        <f>54.17*10.764</f>
        <v>583.08587999999997</v>
      </c>
      <c r="E245" s="42">
        <v>0</v>
      </c>
      <c r="F245" s="42">
        <f t="shared" ref="F245:F254" si="7">D245*(($F$208)+1)+(IF(E245&lt;101,E245,IF(E245&lt;201,E245/2,IF(E245&lt;=301,E245/3,E245/4))))</f>
        <v>932.937408</v>
      </c>
      <c r="G245" s="105" t="str">
        <f>A244</f>
        <v>1st to 7th &amp; 9th to 12th, 14th to 17th, 19th to 22nd, 24th to 27th, 29th to 32nd, 34th to 37th, 39th to 42nd Floor</v>
      </c>
      <c r="H245" s="106"/>
      <c r="I245" s="36"/>
    </row>
    <row r="246" spans="1:14" s="37" customFormat="1" ht="15.75" customHeight="1" x14ac:dyDescent="0.35">
      <c r="A246" s="93">
        <v>2</v>
      </c>
      <c r="B246" s="94"/>
      <c r="C246" s="42" t="s">
        <v>191</v>
      </c>
      <c r="D246" s="42">
        <f>35.64*10.764</f>
        <v>383.62896000000001</v>
      </c>
      <c r="E246" s="42">
        <v>0</v>
      </c>
      <c r="F246" s="42">
        <f t="shared" si="7"/>
        <v>613.80633599999999</v>
      </c>
      <c r="G246" s="107"/>
      <c r="H246" s="108"/>
      <c r="I246" s="36"/>
    </row>
    <row r="247" spans="1:14" s="37" customFormat="1" ht="15.75" customHeight="1" x14ac:dyDescent="0.35">
      <c r="A247" s="93">
        <v>3</v>
      </c>
      <c r="B247" s="94"/>
      <c r="C247" s="42" t="s">
        <v>191</v>
      </c>
      <c r="D247" s="42">
        <f t="shared" ref="D247:D249" si="8">35.64*10.764</f>
        <v>383.62896000000001</v>
      </c>
      <c r="E247" s="42">
        <v>0</v>
      </c>
      <c r="F247" s="42">
        <f t="shared" si="7"/>
        <v>613.80633599999999</v>
      </c>
      <c r="G247" s="107"/>
      <c r="H247" s="108"/>
      <c r="I247" s="36"/>
    </row>
    <row r="248" spans="1:14" s="37" customFormat="1" ht="15.75" customHeight="1" x14ac:dyDescent="0.35">
      <c r="A248" s="93">
        <v>4</v>
      </c>
      <c r="B248" s="94"/>
      <c r="C248" s="42" t="s">
        <v>191</v>
      </c>
      <c r="D248" s="42">
        <f t="shared" si="8"/>
        <v>383.62896000000001</v>
      </c>
      <c r="E248" s="42">
        <v>0</v>
      </c>
      <c r="F248" s="42">
        <f t="shared" si="7"/>
        <v>613.80633599999999</v>
      </c>
      <c r="G248" s="107"/>
      <c r="H248" s="108"/>
      <c r="I248" s="36"/>
    </row>
    <row r="249" spans="1:14" s="37" customFormat="1" ht="15.75" customHeight="1" x14ac:dyDescent="0.35">
      <c r="A249" s="93">
        <v>5</v>
      </c>
      <c r="B249" s="94"/>
      <c r="C249" s="42" t="s">
        <v>191</v>
      </c>
      <c r="D249" s="42">
        <f t="shared" si="8"/>
        <v>383.62896000000001</v>
      </c>
      <c r="E249" s="42">
        <v>0</v>
      </c>
      <c r="F249" s="42">
        <f t="shared" si="7"/>
        <v>613.80633599999999</v>
      </c>
      <c r="G249" s="107"/>
      <c r="H249" s="108"/>
      <c r="I249" s="36">
        <f>9900000/F250</f>
        <v>11796.281057248771</v>
      </c>
    </row>
    <row r="250" spans="1:14" s="37" customFormat="1" ht="15.75" customHeight="1" x14ac:dyDescent="0.35">
      <c r="A250" s="93">
        <v>6</v>
      </c>
      <c r="B250" s="94"/>
      <c r="C250" s="42" t="s">
        <v>190</v>
      </c>
      <c r="D250" s="42">
        <f>48.73*10.764</f>
        <v>524.52971999999988</v>
      </c>
      <c r="E250" s="42">
        <v>0</v>
      </c>
      <c r="F250" s="42">
        <f t="shared" si="7"/>
        <v>839.24755199999981</v>
      </c>
      <c r="G250" s="107"/>
      <c r="H250" s="108"/>
      <c r="I250" s="36"/>
    </row>
    <row r="251" spans="1:14" s="37" customFormat="1" ht="15.75" customHeight="1" x14ac:dyDescent="0.35">
      <c r="A251" s="93">
        <v>7</v>
      </c>
      <c r="B251" s="94"/>
      <c r="C251" s="42" t="s">
        <v>190</v>
      </c>
      <c r="D251" s="42">
        <f>48.73*10.764</f>
        <v>524.52971999999988</v>
      </c>
      <c r="E251" s="42">
        <v>0</v>
      </c>
      <c r="F251" s="42">
        <f t="shared" si="7"/>
        <v>839.24755199999981</v>
      </c>
      <c r="G251" s="107"/>
      <c r="H251" s="108"/>
      <c r="I251" s="36"/>
    </row>
    <row r="252" spans="1:14" s="37" customFormat="1" ht="15.75" customHeight="1" x14ac:dyDescent="0.35">
      <c r="A252" s="93">
        <v>8</v>
      </c>
      <c r="B252" s="94"/>
      <c r="C252" s="42" t="s">
        <v>190</v>
      </c>
      <c r="D252" s="57">
        <f>53.99*10.764</f>
        <v>581.14836000000003</v>
      </c>
      <c r="E252" s="42">
        <v>0</v>
      </c>
      <c r="F252" s="42">
        <f t="shared" si="7"/>
        <v>929.83737600000006</v>
      </c>
      <c r="G252" s="107"/>
      <c r="H252" s="108"/>
      <c r="I252" s="58">
        <f>1.075*0.925+2.9*5.18+2.125*2.6+3.05*3.65+3.05*3.05+1.375*2.125+1.3*2.125+1.75*0.9+1.4*0.9+1.525*0.75+2.75*0.995</f>
        <v>54.375750000000004</v>
      </c>
    </row>
    <row r="253" spans="1:14" s="37" customFormat="1" ht="15.75" customHeight="1" x14ac:dyDescent="0.35">
      <c r="A253" s="93">
        <v>9</v>
      </c>
      <c r="B253" s="94"/>
      <c r="C253" s="42" t="s">
        <v>190</v>
      </c>
      <c r="D253" s="42">
        <f>53.24*10.764</f>
        <v>573.07535999999993</v>
      </c>
      <c r="E253" s="42">
        <v>0</v>
      </c>
      <c r="F253" s="42">
        <f t="shared" si="7"/>
        <v>916.92057599999998</v>
      </c>
      <c r="G253" s="107"/>
      <c r="H253" s="108"/>
      <c r="I253" s="36"/>
    </row>
    <row r="254" spans="1:14" s="37" customFormat="1" ht="15.75" customHeight="1" x14ac:dyDescent="0.35">
      <c r="A254" s="93">
        <v>10</v>
      </c>
      <c r="B254" s="94"/>
      <c r="C254" s="42" t="s">
        <v>190</v>
      </c>
      <c r="D254" s="42">
        <f>57.79*10.764</f>
        <v>622.05155999999999</v>
      </c>
      <c r="E254" s="42">
        <v>0</v>
      </c>
      <c r="F254" s="42">
        <f t="shared" si="7"/>
        <v>995.28249600000004</v>
      </c>
      <c r="G254" s="109"/>
      <c r="H254" s="110"/>
      <c r="I254" s="36"/>
    </row>
    <row r="255" spans="1:14" s="37" customFormat="1" ht="15.75" customHeight="1" x14ac:dyDescent="0.35">
      <c r="A255" s="73" t="s">
        <v>192</v>
      </c>
      <c r="B255" s="74"/>
      <c r="C255" s="74"/>
      <c r="D255" s="74"/>
      <c r="E255" s="74"/>
      <c r="F255" s="74"/>
      <c r="G255" s="74"/>
      <c r="H255" s="75"/>
      <c r="I255" s="36"/>
    </row>
    <row r="256" spans="1:14" s="37" customFormat="1" ht="15.75" customHeight="1" x14ac:dyDescent="0.35">
      <c r="A256" s="93">
        <v>1</v>
      </c>
      <c r="B256" s="94"/>
      <c r="C256" s="42" t="s">
        <v>190</v>
      </c>
      <c r="D256" s="42">
        <f>54.17*10.764</f>
        <v>583.08587999999997</v>
      </c>
      <c r="E256" s="42">
        <v>0</v>
      </c>
      <c r="F256" s="42">
        <f>D256*(($F$208)+1)+(IF(E256&lt;101,E256,IF(E256&lt;201,E256/2,IF(E256&lt;=301,E256/3,E256/4))))</f>
        <v>932.937408</v>
      </c>
      <c r="G256" s="105" t="str">
        <f>A255</f>
        <v>8th, 13th, 18th, 23rd, 28th, 33rd &amp; 38th Floor (Part Refuge Area)</v>
      </c>
      <c r="H256" s="106"/>
      <c r="I256" s="36"/>
    </row>
    <row r="257" spans="1:10" s="37" customFormat="1" ht="15.75" customHeight="1" x14ac:dyDescent="0.35">
      <c r="A257" s="93">
        <v>2</v>
      </c>
      <c r="B257" s="94"/>
      <c r="C257" s="42" t="s">
        <v>191</v>
      </c>
      <c r="D257" s="42">
        <f>35.64*10.764</f>
        <v>383.62896000000001</v>
      </c>
      <c r="E257" s="42">
        <v>0</v>
      </c>
      <c r="F257" s="42">
        <f>D257*(($F$208)+1)+(IF(E257&lt;101,E257,IF(E257&lt;201,E257/2,IF(E257&lt;=301,E257/3,E257/4))))</f>
        <v>613.80633599999999</v>
      </c>
      <c r="G257" s="107"/>
      <c r="H257" s="108"/>
      <c r="I257" s="36"/>
    </row>
    <row r="258" spans="1:10" s="37" customFormat="1" ht="15.75" customHeight="1" x14ac:dyDescent="0.35">
      <c r="A258" s="93">
        <v>3</v>
      </c>
      <c r="B258" s="94"/>
      <c r="C258" s="42" t="s">
        <v>191</v>
      </c>
      <c r="D258" s="42">
        <f t="shared" ref="D258:D260" si="9">35.64*10.764</f>
        <v>383.62896000000001</v>
      </c>
      <c r="E258" s="42">
        <v>0</v>
      </c>
      <c r="F258" s="42">
        <f>D258*(($F$208)+1)+(IF(E258&lt;101,E258,IF(E258&lt;201,E258/2,IF(E258&lt;=301,E258/3,E258/4))))</f>
        <v>613.80633599999999</v>
      </c>
      <c r="G258" s="107"/>
      <c r="H258" s="108"/>
      <c r="I258" s="36"/>
    </row>
    <row r="259" spans="1:10" s="37" customFormat="1" ht="15.75" customHeight="1" x14ac:dyDescent="0.35">
      <c r="A259" s="93">
        <v>4</v>
      </c>
      <c r="B259" s="94"/>
      <c r="C259" s="42" t="s">
        <v>191</v>
      </c>
      <c r="D259" s="42">
        <f t="shared" si="9"/>
        <v>383.62896000000001</v>
      </c>
      <c r="E259" s="42">
        <v>0</v>
      </c>
      <c r="F259" s="42">
        <f>D259*(($F$208)+1)+(IF(E259&lt;101,E259,IF(E259&lt;201,E259/2,IF(E259&lt;=301,E259/3,E259/4))))</f>
        <v>613.80633599999999</v>
      </c>
      <c r="G259" s="107"/>
      <c r="H259" s="108"/>
      <c r="I259" s="36"/>
    </row>
    <row r="260" spans="1:10" s="37" customFormat="1" ht="15.75" customHeight="1" x14ac:dyDescent="0.35">
      <c r="A260" s="93">
        <v>5</v>
      </c>
      <c r="B260" s="94"/>
      <c r="C260" s="42" t="s">
        <v>191</v>
      </c>
      <c r="D260" s="42">
        <f t="shared" si="9"/>
        <v>383.62896000000001</v>
      </c>
      <c r="E260" s="42">
        <v>0</v>
      </c>
      <c r="F260" s="42">
        <f>D260*(($F$208)+1)+(IF(E260&lt;101,E260,IF(E260&lt;201,E260/2,IF(E260&lt;=301,E260/3,E260/4))))</f>
        <v>613.80633599999999</v>
      </c>
      <c r="G260" s="107"/>
      <c r="H260" s="108"/>
      <c r="I260" s="36"/>
    </row>
    <row r="261" spans="1:10" s="37" customFormat="1" ht="15.75" customHeight="1" x14ac:dyDescent="0.35">
      <c r="A261" s="93">
        <v>6</v>
      </c>
      <c r="B261" s="94"/>
      <c r="C261" s="93" t="s">
        <v>185</v>
      </c>
      <c r="D261" s="111"/>
      <c r="E261" s="111"/>
      <c r="F261" s="94"/>
      <c r="G261" s="107"/>
      <c r="H261" s="108"/>
      <c r="I261" s="36"/>
    </row>
    <row r="262" spans="1:10" s="37" customFormat="1" ht="15.75" customHeight="1" x14ac:dyDescent="0.35">
      <c r="A262" s="93">
        <v>7</v>
      </c>
      <c r="B262" s="94"/>
      <c r="C262" s="42" t="s">
        <v>190</v>
      </c>
      <c r="D262" s="42">
        <f>48.73*10.764</f>
        <v>524.52971999999988</v>
      </c>
      <c r="E262" s="42">
        <v>0</v>
      </c>
      <c r="F262" s="42">
        <f>D262*(($F$208)+1)+(IF(E262&lt;101,E262,IF(E262&lt;201,E262/2,IF(E262&lt;=301,E262/3,E262/4))))</f>
        <v>839.24755199999981</v>
      </c>
      <c r="G262" s="107"/>
      <c r="H262" s="108"/>
      <c r="I262" s="36"/>
    </row>
    <row r="263" spans="1:10" s="37" customFormat="1" ht="15.75" customHeight="1" x14ac:dyDescent="0.35">
      <c r="A263" s="93">
        <v>8</v>
      </c>
      <c r="B263" s="94"/>
      <c r="C263" s="42" t="s">
        <v>190</v>
      </c>
      <c r="D263" s="57">
        <f>53.99*10.764</f>
        <v>581.14836000000003</v>
      </c>
      <c r="E263" s="42">
        <v>0</v>
      </c>
      <c r="F263" s="42">
        <f>D263*(($F$208)+1)+(IF(E263&lt;101,E263,IF(E263&lt;201,E263/2,IF(E263&lt;=301,E263/3,E263/4))))</f>
        <v>929.83737600000006</v>
      </c>
      <c r="G263" s="107"/>
      <c r="H263" s="108"/>
      <c r="I263" s="36"/>
    </row>
    <row r="264" spans="1:10" s="37" customFormat="1" ht="15.75" customHeight="1" x14ac:dyDescent="0.35">
      <c r="A264" s="93">
        <v>9</v>
      </c>
      <c r="B264" s="94"/>
      <c r="C264" s="42" t="s">
        <v>190</v>
      </c>
      <c r="D264" s="42">
        <f>53.24*10.764</f>
        <v>573.07535999999993</v>
      </c>
      <c r="E264" s="42">
        <v>0</v>
      </c>
      <c r="F264" s="42">
        <f>D264*(($F$208)+1)+(IF(E264&lt;101,E264,IF(E264&lt;201,E264/2,IF(E264&lt;=301,E264/3,E264/4))))</f>
        <v>916.92057599999998</v>
      </c>
      <c r="G264" s="107"/>
      <c r="H264" s="108"/>
      <c r="I264" s="36"/>
    </row>
    <row r="265" spans="1:10" s="37" customFormat="1" ht="15.75" customHeight="1" x14ac:dyDescent="0.35">
      <c r="A265" s="93">
        <v>10</v>
      </c>
      <c r="B265" s="94"/>
      <c r="C265" s="42" t="s">
        <v>190</v>
      </c>
      <c r="D265" s="42">
        <f>57.79*10.764</f>
        <v>622.05155999999999</v>
      </c>
      <c r="E265" s="42">
        <v>0</v>
      </c>
      <c r="F265" s="42">
        <f>D265*(($F$208)+1)+(IF(E265&lt;101,E265,IF(E265&lt;201,E265/2,IF(E265&lt;=301,E265/3,E265/4))))</f>
        <v>995.28249600000004</v>
      </c>
      <c r="G265" s="109"/>
      <c r="H265" s="110"/>
      <c r="I265" s="36"/>
    </row>
    <row r="266" spans="1:10" s="37" customFormat="1" x14ac:dyDescent="0.35">
      <c r="A266" s="115" t="s">
        <v>201</v>
      </c>
      <c r="B266" s="116"/>
      <c r="C266" s="116"/>
      <c r="D266" s="116"/>
      <c r="E266" s="116"/>
      <c r="F266" s="116"/>
      <c r="G266" s="116"/>
      <c r="H266" s="117"/>
      <c r="J266" s="36"/>
    </row>
    <row r="267" spans="1:10" s="37" customFormat="1" x14ac:dyDescent="0.35">
      <c r="A267" s="118" t="s">
        <v>202</v>
      </c>
      <c r="B267" s="119"/>
      <c r="C267" s="119"/>
      <c r="D267" s="119"/>
      <c r="E267" s="119"/>
      <c r="F267" s="119"/>
      <c r="G267" s="119"/>
      <c r="H267" s="120"/>
      <c r="J267" s="36"/>
    </row>
    <row r="268" spans="1:10" s="37" customFormat="1" x14ac:dyDescent="0.35">
      <c r="A268" s="73" t="s">
        <v>198</v>
      </c>
      <c r="B268" s="74"/>
      <c r="C268" s="74"/>
      <c r="D268" s="74"/>
      <c r="E268" s="74"/>
      <c r="F268" s="74"/>
      <c r="G268" s="74"/>
      <c r="H268" s="75"/>
      <c r="J268" s="36"/>
    </row>
    <row r="269" spans="1:10" s="37" customFormat="1" x14ac:dyDescent="0.35">
      <c r="A269" s="73" t="s">
        <v>205</v>
      </c>
      <c r="B269" s="74"/>
      <c r="C269" s="74"/>
      <c r="D269" s="74"/>
      <c r="E269" s="74"/>
      <c r="F269" s="74"/>
      <c r="G269" s="74"/>
      <c r="H269" s="75"/>
      <c r="I269" s="36"/>
    </row>
    <row r="270" spans="1:10" s="37" customFormat="1" ht="15.75" customHeight="1" x14ac:dyDescent="0.35">
      <c r="A270" s="93">
        <v>1</v>
      </c>
      <c r="B270" s="94"/>
      <c r="C270" s="42" t="s">
        <v>190</v>
      </c>
      <c r="D270" s="55">
        <f>(55.56)*10.764</f>
        <v>598.04783999999995</v>
      </c>
      <c r="E270" s="42">
        <v>0</v>
      </c>
      <c r="F270" s="42">
        <f t="shared" ref="F270:F274" si="10">D270*(($F$208)+1)+(IF(E270&lt;101,E270,IF(E270&lt;201,E270/2,IF(E270&lt;=301,E270/3,E270/4))))</f>
        <v>956.87654399999997</v>
      </c>
      <c r="G270" s="105" t="str">
        <f>A269</f>
        <v>1st to 7th &amp; 9th to 12th, 14th to 17th, 19th to 22nd, 24th to 27th, 29th to 32nd, 34th to 37th Floor</v>
      </c>
      <c r="H270" s="106"/>
      <c r="I270" s="36">
        <f>2.9*5.3+0.6*3.175+2.125*3.05+3.05*4.05+3.05*3.35+2.125*1.375+1.375*2.125+1.075*0.9+1.675*0.9+1.525*0.75+2.975*1.175</f>
        <v>59.284374999999997</v>
      </c>
      <c r="J270" s="55">
        <v>10.763999999999999</v>
      </c>
    </row>
    <row r="271" spans="1:10" s="37" customFormat="1" ht="15.75" customHeight="1" x14ac:dyDescent="0.35">
      <c r="A271" s="93">
        <v>2</v>
      </c>
      <c r="B271" s="94"/>
      <c r="C271" s="42" t="s">
        <v>182</v>
      </c>
      <c r="D271" s="55">
        <f>(81.07)*10.764</f>
        <v>872.63747999999987</v>
      </c>
      <c r="E271" s="42">
        <v>0</v>
      </c>
      <c r="F271" s="42">
        <f t="shared" si="10"/>
        <v>1396.2199679999999</v>
      </c>
      <c r="G271" s="107"/>
      <c r="H271" s="108"/>
      <c r="I271" s="36"/>
    </row>
    <row r="272" spans="1:10" s="37" customFormat="1" ht="15.75" customHeight="1" x14ac:dyDescent="0.35">
      <c r="A272" s="93">
        <v>3</v>
      </c>
      <c r="B272" s="94"/>
      <c r="C272" s="42" t="s">
        <v>190</v>
      </c>
      <c r="D272" s="55">
        <f>(59.22)*10.764</f>
        <v>637.44407999999999</v>
      </c>
      <c r="E272" s="42">
        <v>0</v>
      </c>
      <c r="F272" s="42">
        <f t="shared" si="10"/>
        <v>1019.910528</v>
      </c>
      <c r="G272" s="107"/>
      <c r="H272" s="108"/>
      <c r="I272" s="36"/>
    </row>
    <row r="273" spans="1:10" s="37" customFormat="1" ht="15.75" customHeight="1" x14ac:dyDescent="0.35">
      <c r="A273" s="93">
        <v>4</v>
      </c>
      <c r="B273" s="94"/>
      <c r="C273" s="42" t="s">
        <v>182</v>
      </c>
      <c r="D273" s="55">
        <f>(83.5)*10.764</f>
        <v>898.79399999999998</v>
      </c>
      <c r="E273" s="42">
        <v>0</v>
      </c>
      <c r="F273" s="42">
        <f t="shared" si="10"/>
        <v>1438.0704000000001</v>
      </c>
      <c r="G273" s="107"/>
      <c r="H273" s="108"/>
      <c r="I273" s="36"/>
    </row>
    <row r="274" spans="1:10" s="37" customFormat="1" ht="15.75" customHeight="1" x14ac:dyDescent="0.35">
      <c r="A274" s="93">
        <v>5</v>
      </c>
      <c r="B274" s="94"/>
      <c r="C274" s="42" t="s">
        <v>182</v>
      </c>
      <c r="D274" s="55">
        <f>(83.5)*10.764</f>
        <v>898.79399999999998</v>
      </c>
      <c r="E274" s="42">
        <v>0</v>
      </c>
      <c r="F274" s="42">
        <f t="shared" si="10"/>
        <v>1438.0704000000001</v>
      </c>
      <c r="G274" s="109"/>
      <c r="H274" s="110"/>
      <c r="I274" s="36"/>
    </row>
    <row r="275" spans="1:10" s="37" customFormat="1" ht="15.75" customHeight="1" x14ac:dyDescent="0.35">
      <c r="A275" s="73" t="s">
        <v>199</v>
      </c>
      <c r="B275" s="74"/>
      <c r="C275" s="74"/>
      <c r="D275" s="74"/>
      <c r="E275" s="74"/>
      <c r="F275" s="74"/>
      <c r="G275" s="74"/>
      <c r="H275" s="75"/>
      <c r="I275" s="36"/>
    </row>
    <row r="276" spans="1:10" s="37" customFormat="1" ht="15.75" customHeight="1" x14ac:dyDescent="0.35">
      <c r="A276" s="93">
        <v>1</v>
      </c>
      <c r="B276" s="94"/>
      <c r="C276" s="93" t="s">
        <v>185</v>
      </c>
      <c r="D276" s="111"/>
      <c r="E276" s="111"/>
      <c r="F276" s="94"/>
      <c r="G276" s="105" t="str">
        <f>A275</f>
        <v>8th, 13th, 18th, 23rd, 28th &amp; 33rd Floor (Part Refuge Area)</v>
      </c>
      <c r="H276" s="106"/>
      <c r="I276" s="36"/>
    </row>
    <row r="277" spans="1:10" s="37" customFormat="1" ht="15.75" customHeight="1" x14ac:dyDescent="0.35">
      <c r="A277" s="93">
        <v>2</v>
      </c>
      <c r="B277" s="94"/>
      <c r="C277" s="42" t="s">
        <v>182</v>
      </c>
      <c r="D277" s="55">
        <f>(81.07)*10.764</f>
        <v>872.63747999999987</v>
      </c>
      <c r="E277" s="42">
        <v>0</v>
      </c>
      <c r="F277" s="42">
        <f>D277*(($F$208)+1)+(IF(E277&lt;101,E277,IF(E277&lt;201,E277/2,IF(E277&lt;=301,E277/3,E277/4))))</f>
        <v>1396.2199679999999</v>
      </c>
      <c r="G277" s="107"/>
      <c r="H277" s="108"/>
      <c r="I277" s="36"/>
    </row>
    <row r="278" spans="1:10" s="37" customFormat="1" ht="15.75" customHeight="1" x14ac:dyDescent="0.35">
      <c r="A278" s="93">
        <v>3</v>
      </c>
      <c r="B278" s="94"/>
      <c r="C278" s="42" t="s">
        <v>190</v>
      </c>
      <c r="D278" s="55">
        <f>(59.22)*10.764</f>
        <v>637.44407999999999</v>
      </c>
      <c r="E278" s="42">
        <v>0</v>
      </c>
      <c r="F278" s="42">
        <f>D278*(($F$208)+1)+(IF(E278&lt;101,E278,IF(E278&lt;201,E278/2,IF(E278&lt;=301,E278/3,E278/4))))</f>
        <v>1019.910528</v>
      </c>
      <c r="G278" s="107"/>
      <c r="H278" s="108"/>
      <c r="I278" s="36"/>
    </row>
    <row r="279" spans="1:10" s="37" customFormat="1" ht="15.75" customHeight="1" x14ac:dyDescent="0.35">
      <c r="A279" s="93">
        <v>4</v>
      </c>
      <c r="B279" s="94"/>
      <c r="C279" s="42" t="s">
        <v>182</v>
      </c>
      <c r="D279" s="55">
        <f>(83.5)*10.764</f>
        <v>898.79399999999998</v>
      </c>
      <c r="E279" s="42">
        <v>0</v>
      </c>
      <c r="F279" s="42">
        <f>D279*(($F$208)+1)+(IF(E279&lt;101,E279,IF(E279&lt;201,E279/2,IF(E279&lt;=301,E279/3,E279/4))))</f>
        <v>1438.0704000000001</v>
      </c>
      <c r="G279" s="107"/>
      <c r="H279" s="108"/>
      <c r="I279" s="36"/>
    </row>
    <row r="280" spans="1:10" s="37" customFormat="1" ht="15.75" customHeight="1" x14ac:dyDescent="0.35">
      <c r="A280" s="93">
        <v>5</v>
      </c>
      <c r="B280" s="94"/>
      <c r="C280" s="42" t="s">
        <v>182</v>
      </c>
      <c r="D280" s="55">
        <f>(83.5)*10.764</f>
        <v>898.79399999999998</v>
      </c>
      <c r="E280" s="42">
        <v>0</v>
      </c>
      <c r="F280" s="42">
        <f>D280*(($F$208)+1)+(IF(E280&lt;101,E280,IF(E280&lt;201,E280/2,IF(E280&lt;=301,E280/3,E280/4))))</f>
        <v>1438.0704000000001</v>
      </c>
      <c r="G280" s="109"/>
      <c r="H280" s="110"/>
      <c r="I280" s="36"/>
    </row>
    <row r="281" spans="1:10" s="37" customFormat="1" x14ac:dyDescent="0.35">
      <c r="A281" s="115" t="s">
        <v>212</v>
      </c>
      <c r="B281" s="116"/>
      <c r="C281" s="116"/>
      <c r="D281" s="116"/>
      <c r="E281" s="116"/>
      <c r="F281" s="116"/>
      <c r="G281" s="116"/>
      <c r="H281" s="117"/>
      <c r="J281" s="36"/>
    </row>
    <row r="282" spans="1:10" s="37" customFormat="1" x14ac:dyDescent="0.35">
      <c r="A282" s="118" t="s">
        <v>214</v>
      </c>
      <c r="B282" s="119"/>
      <c r="C282" s="119"/>
      <c r="D282" s="119"/>
      <c r="E282" s="119"/>
      <c r="F282" s="119"/>
      <c r="G282" s="119"/>
      <c r="H282" s="120"/>
      <c r="J282" s="36"/>
    </row>
    <row r="283" spans="1:10" s="37" customFormat="1" x14ac:dyDescent="0.35">
      <c r="A283" s="73" t="s">
        <v>198</v>
      </c>
      <c r="B283" s="74"/>
      <c r="C283" s="74"/>
      <c r="D283" s="74"/>
      <c r="E283" s="74"/>
      <c r="F283" s="74"/>
      <c r="G283" s="74"/>
      <c r="H283" s="75"/>
      <c r="J283" s="36"/>
    </row>
    <row r="284" spans="1:10" s="37" customFormat="1" ht="32.25" customHeight="1" x14ac:dyDescent="0.35">
      <c r="A284" s="73" t="s">
        <v>215</v>
      </c>
      <c r="B284" s="74"/>
      <c r="C284" s="74"/>
      <c r="D284" s="74"/>
      <c r="E284" s="74"/>
      <c r="F284" s="74"/>
      <c r="G284" s="74"/>
      <c r="H284" s="75"/>
      <c r="I284" s="36"/>
    </row>
    <row r="285" spans="1:10" s="37" customFormat="1" ht="15.75" customHeight="1" x14ac:dyDescent="0.35">
      <c r="A285" s="93">
        <v>1</v>
      </c>
      <c r="B285" s="94"/>
      <c r="C285" s="42" t="s">
        <v>190</v>
      </c>
      <c r="D285" s="55">
        <f>(2.9*4.425+2.15*2.38+2.9*2.9+2*(1.975*1.225)+2.8*2.75+2.3*0.9)*(10.764)</f>
        <v>440.98224300000004</v>
      </c>
      <c r="E285" s="42">
        <v>0</v>
      </c>
      <c r="F285" s="42">
        <f t="shared" ref="F285:F289" si="11">D285*(($F$208)+1)+(IF(E285&lt;101,E285,IF(E285&lt;201,E285/2,IF(E285&lt;=301,E285/3,E285/4))))</f>
        <v>705.57158880000009</v>
      </c>
      <c r="G285" s="105" t="str">
        <f>A284</f>
        <v>1st to 7th &amp; 9th to 12th, 14th to 17th, 19th to 22nd, 24th to 27th,
29th to 32nd, 34th to 37th &amp; 39th to 41st Floor For Residential</v>
      </c>
      <c r="H285" s="106"/>
      <c r="I285" s="36">
        <f>2.9*5.3+0.6*3.175+2.125*3.05+3.05*4.05+3.05*3.35+2.125*1.375+1.375*2.125+1.075*0.9+1.675*0.9+1.525*0.75+2.975*1.175</f>
        <v>59.284374999999997</v>
      </c>
      <c r="J285" s="55">
        <v>10.763999999999999</v>
      </c>
    </row>
    <row r="286" spans="1:10" s="37" customFormat="1" ht="15.75" customHeight="1" x14ac:dyDescent="0.35">
      <c r="A286" s="93">
        <v>2</v>
      </c>
      <c r="B286" s="94"/>
      <c r="C286" s="42" t="s">
        <v>191</v>
      </c>
      <c r="D286" s="55">
        <f>(3.05*4.575+2.125*2.6+3.05*3.05+1.375*2.125+1.375*1.225+1.475*0.9+1.525*0.925)*(10.764)</f>
        <v>388.85622749999999</v>
      </c>
      <c r="E286" s="42">
        <v>0</v>
      </c>
      <c r="F286" s="42">
        <f t="shared" si="11"/>
        <v>622.16996400000005</v>
      </c>
      <c r="G286" s="107"/>
      <c r="H286" s="108"/>
      <c r="I286" s="36"/>
    </row>
    <row r="287" spans="1:10" s="37" customFormat="1" ht="15.75" customHeight="1" x14ac:dyDescent="0.35">
      <c r="A287" s="93">
        <v>3</v>
      </c>
      <c r="B287" s="94"/>
      <c r="C287" s="42" t="s">
        <v>191</v>
      </c>
      <c r="D287" s="55">
        <f>(3.05*4.575+2.125*2.6+3.05*3.05+1.375*2.125+1.475*0.9+1.375*1.225+1.525*0.925+2.5*0.925)*(10.764)</f>
        <v>413.74797749999999</v>
      </c>
      <c r="E287" s="42">
        <v>0</v>
      </c>
      <c r="F287" s="42">
        <f t="shared" si="11"/>
        <v>661.99676399999998</v>
      </c>
      <c r="G287" s="107"/>
      <c r="H287" s="108"/>
      <c r="I287" s="36"/>
    </row>
    <row r="288" spans="1:10" s="37" customFormat="1" ht="15.75" customHeight="1" x14ac:dyDescent="0.35">
      <c r="A288" s="93">
        <v>4</v>
      </c>
      <c r="B288" s="94"/>
      <c r="C288" s="42" t="s">
        <v>191</v>
      </c>
      <c r="D288" s="55">
        <f>(3.05*4.575+2.125*2.6+3.05*3.05+1.375*2.125+1.475*0.9+1.375*1.225+1.525*0.925)*(10.764)</f>
        <v>388.85622749999999</v>
      </c>
      <c r="E288" s="42">
        <v>0</v>
      </c>
      <c r="F288" s="42">
        <f t="shared" si="11"/>
        <v>622.16996400000005</v>
      </c>
      <c r="G288" s="107"/>
      <c r="H288" s="108"/>
      <c r="I288" s="36"/>
    </row>
    <row r="289" spans="1:10" s="37" customFormat="1" ht="15.75" customHeight="1" x14ac:dyDescent="0.35">
      <c r="A289" s="93">
        <v>5</v>
      </c>
      <c r="B289" s="94"/>
      <c r="C289" s="42" t="s">
        <v>191</v>
      </c>
      <c r="D289" s="55">
        <f>(3.05*4.575+2.125*2.6+3.05*3.05+1.375*2.125+1.475*0.9+1.375*1.225+1.525*0.925)*(10.764)</f>
        <v>388.85622749999999</v>
      </c>
      <c r="E289" s="42">
        <v>0</v>
      </c>
      <c r="F289" s="42">
        <f t="shared" si="11"/>
        <v>622.16996400000005</v>
      </c>
      <c r="G289" s="107"/>
      <c r="H289" s="108"/>
      <c r="I289" s="36"/>
    </row>
    <row r="290" spans="1:10" s="37" customFormat="1" ht="15.75" customHeight="1" x14ac:dyDescent="0.35">
      <c r="A290" s="93">
        <v>6</v>
      </c>
      <c r="B290" s="94"/>
      <c r="C290" s="42" t="s">
        <v>190</v>
      </c>
      <c r="D290" s="55">
        <f>(2.9*4.675+2.45*2.125+3.05*3.05+2.75*2.9+1.225*1.975+2.05*1.225+0.9*1.225)*(10.764)</f>
        <v>452.88857249999995</v>
      </c>
      <c r="E290" s="42">
        <v>0</v>
      </c>
      <c r="F290" s="42">
        <f t="shared" ref="F290:F293" si="12">D290*(($F$208)+1)+(IF(E290&lt;101,E290,IF(E290&lt;201,E290/2,IF(E290&lt;=301,E290/3,E290/4))))</f>
        <v>724.62171599999999</v>
      </c>
      <c r="G290" s="107"/>
      <c r="H290" s="108"/>
      <c r="I290" s="36"/>
    </row>
    <row r="291" spans="1:10" s="37" customFormat="1" ht="15.75" customHeight="1" x14ac:dyDescent="0.35">
      <c r="A291" s="93">
        <v>7</v>
      </c>
      <c r="B291" s="94"/>
      <c r="C291" s="42" t="s">
        <v>190</v>
      </c>
      <c r="D291" s="55">
        <f>(2.9*4.675+2.45*2.125+3.05*3.05+2.75*2.9+1.225*1.975+2.05*1.225+0.9*1.225)*(10.764)</f>
        <v>452.88857249999995</v>
      </c>
      <c r="E291" s="42">
        <v>0</v>
      </c>
      <c r="F291" s="42">
        <f t="shared" si="12"/>
        <v>724.62171599999999</v>
      </c>
      <c r="G291" s="107"/>
      <c r="H291" s="108"/>
      <c r="I291" s="36"/>
    </row>
    <row r="292" spans="1:10" s="37" customFormat="1" ht="15.75" customHeight="1" x14ac:dyDescent="0.35">
      <c r="A292" s="93">
        <v>8</v>
      </c>
      <c r="B292" s="94"/>
      <c r="C292" s="42" t="s">
        <v>190</v>
      </c>
      <c r="D292" s="55">
        <f>(1.075*0.925+3.05*5.13+2.125*2.75+2*(1.375*2.125)+3.05*3.65+3.05*3.05+3.05*0.9+1.625*0.925+2.85*0.995)*(10.764)</f>
        <v>601.13979899999981</v>
      </c>
      <c r="E292" s="42">
        <v>0</v>
      </c>
      <c r="F292" s="42">
        <f t="shared" si="12"/>
        <v>961.82367839999972</v>
      </c>
      <c r="G292" s="107"/>
      <c r="H292" s="108"/>
      <c r="I292" s="36"/>
    </row>
    <row r="293" spans="1:10" s="37" customFormat="1" ht="15.75" customHeight="1" x14ac:dyDescent="0.35">
      <c r="A293" s="93">
        <v>9</v>
      </c>
      <c r="B293" s="94"/>
      <c r="C293" s="42" t="s">
        <v>190</v>
      </c>
      <c r="D293" s="55">
        <f>(4.425*2.9+2.125*2.45+2.75*2.75+3.05*3.05+1.975*1.225+1.225*2.05+1*0.9)*(10.764)</f>
        <v>438.46481249999999</v>
      </c>
      <c r="E293" s="42">
        <v>0</v>
      </c>
      <c r="F293" s="42">
        <f t="shared" si="12"/>
        <v>701.54370000000006</v>
      </c>
      <c r="G293" s="107"/>
      <c r="H293" s="108"/>
      <c r="I293" s="36"/>
    </row>
    <row r="294" spans="1:10" s="37" customFormat="1" ht="15.75" customHeight="1" x14ac:dyDescent="0.35">
      <c r="A294" s="93">
        <v>10</v>
      </c>
      <c r="B294" s="94"/>
      <c r="C294" s="42" t="s">
        <v>190</v>
      </c>
      <c r="D294" s="55">
        <f>(4.425*2.9+2.125*2.45+2.75*2.75+3.05*3.05+1.975*1.225+1.225*2.05+1*0.9)*(10.764)</f>
        <v>438.46481249999999</v>
      </c>
      <c r="E294" s="42">
        <v>0</v>
      </c>
      <c r="F294" s="42">
        <f t="shared" ref="F294:F296" si="13">D294*(($F$208)+1)+(IF(E294&lt;101,E294,IF(E294&lt;201,E294/2,IF(E294&lt;=301,E294/3,E294/4))))</f>
        <v>701.54370000000006</v>
      </c>
      <c r="G294" s="107"/>
      <c r="H294" s="108"/>
      <c r="I294" s="36"/>
    </row>
    <row r="295" spans="1:10" s="37" customFormat="1" ht="15.75" customHeight="1" x14ac:dyDescent="0.35">
      <c r="A295" s="93">
        <v>11</v>
      </c>
      <c r="B295" s="94"/>
      <c r="C295" s="42" t="s">
        <v>190</v>
      </c>
      <c r="D295" s="55">
        <f>(1.075*0.925+3.05*5.13+2.125*2.75+3.05*3.05+3.05*3.65+2*(2.125*1.375)+3.05*0.9+1.625*0.925)*(10.764)</f>
        <v>570.61578599999984</v>
      </c>
      <c r="E295" s="42">
        <v>0</v>
      </c>
      <c r="F295" s="42">
        <f t="shared" si="13"/>
        <v>912.98525759999984</v>
      </c>
      <c r="G295" s="107"/>
      <c r="H295" s="108"/>
      <c r="I295" s="36"/>
    </row>
    <row r="296" spans="1:10" s="37" customFormat="1" ht="15.75" customHeight="1" x14ac:dyDescent="0.35">
      <c r="A296" s="93">
        <v>12</v>
      </c>
      <c r="B296" s="94"/>
      <c r="C296" s="42" t="s">
        <v>190</v>
      </c>
      <c r="D296" s="55">
        <f>(2.9*4.425+2.15*2.38+2.9*2.9+2*(1.975*1.225)+2.75*2.75+2.3*0.9)*(10.764)</f>
        <v>439.50219299999998</v>
      </c>
      <c r="E296" s="42">
        <v>0</v>
      </c>
      <c r="F296" s="42">
        <f t="shared" si="13"/>
        <v>703.20350880000001</v>
      </c>
      <c r="G296" s="109"/>
      <c r="H296" s="110"/>
      <c r="I296" s="36"/>
    </row>
    <row r="297" spans="1:10" s="37" customFormat="1" ht="15.75" customHeight="1" x14ac:dyDescent="0.35">
      <c r="A297" s="73" t="s">
        <v>192</v>
      </c>
      <c r="B297" s="74"/>
      <c r="C297" s="74"/>
      <c r="D297" s="74"/>
      <c r="E297" s="74"/>
      <c r="F297" s="74"/>
      <c r="G297" s="74"/>
      <c r="H297" s="75"/>
      <c r="I297" s="36"/>
    </row>
    <row r="298" spans="1:10" s="37" customFormat="1" ht="15.75" customHeight="1" x14ac:dyDescent="0.35">
      <c r="A298" s="93">
        <v>1</v>
      </c>
      <c r="B298" s="94"/>
      <c r="C298" s="42" t="s">
        <v>190</v>
      </c>
      <c r="D298" s="55">
        <f>(2.9*4.425+2.15*2.38+2.9*2.9+2*(1.975*1.225)+2.8*2.75+2.3*0.9)*(10.764)</f>
        <v>440.98224300000004</v>
      </c>
      <c r="E298" s="42">
        <v>0</v>
      </c>
      <c r="F298" s="42">
        <f t="shared" ref="F298:F306" si="14">D298*(($F$208)+1)+(IF(E298&lt;101,E298,IF(E298&lt;201,E298/2,IF(E298&lt;=301,E298/3,E298/4))))</f>
        <v>705.57158880000009</v>
      </c>
      <c r="G298" s="105" t="str">
        <f>A297</f>
        <v>8th, 13th, 18th, 23rd, 28th, 33rd &amp; 38th Floor (Part Refuge Area)</v>
      </c>
      <c r="H298" s="106"/>
      <c r="I298" s="36">
        <f>2.9*5.3+0.6*3.175+2.125*3.05+3.05*4.05+3.05*3.35+2.125*1.375+1.375*2.125+1.075*0.9+1.675*0.9+1.525*0.75+2.975*1.175</f>
        <v>59.284374999999997</v>
      </c>
      <c r="J298" s="55">
        <v>10.763999999999999</v>
      </c>
    </row>
    <row r="299" spans="1:10" s="37" customFormat="1" ht="15.75" customHeight="1" x14ac:dyDescent="0.35">
      <c r="A299" s="93">
        <v>2</v>
      </c>
      <c r="B299" s="94"/>
      <c r="C299" s="42" t="s">
        <v>191</v>
      </c>
      <c r="D299" s="55">
        <f>(3.05*4.575+2.125*2.6+3.05*3.05+1.375*2.125+1.375*1.225+1.475*0.9+1.525*0.925)*(10.764)</f>
        <v>388.85622749999999</v>
      </c>
      <c r="E299" s="42">
        <v>0</v>
      </c>
      <c r="F299" s="42">
        <f t="shared" si="14"/>
        <v>622.16996400000005</v>
      </c>
      <c r="G299" s="107"/>
      <c r="H299" s="108"/>
      <c r="I299" s="36"/>
    </row>
    <row r="300" spans="1:10" s="37" customFormat="1" ht="15.75" customHeight="1" x14ac:dyDescent="0.35">
      <c r="A300" s="93">
        <v>3</v>
      </c>
      <c r="B300" s="94"/>
      <c r="C300" s="42" t="s">
        <v>191</v>
      </c>
      <c r="D300" s="55">
        <f>(3.05*4.575+2.125*2.6+3.05*3.05+1.375*2.125+1.475*0.9+1.375*1.225+1.525*0.925+2.5*0.925)*(10.764)</f>
        <v>413.74797749999999</v>
      </c>
      <c r="E300" s="42">
        <v>0</v>
      </c>
      <c r="F300" s="42">
        <f t="shared" si="14"/>
        <v>661.99676399999998</v>
      </c>
      <c r="G300" s="107"/>
      <c r="H300" s="108"/>
      <c r="I300" s="36"/>
    </row>
    <row r="301" spans="1:10" s="37" customFormat="1" ht="15.75" customHeight="1" x14ac:dyDescent="0.35">
      <c r="A301" s="93">
        <v>4</v>
      </c>
      <c r="B301" s="94"/>
      <c r="C301" s="42" t="s">
        <v>191</v>
      </c>
      <c r="D301" s="55">
        <f>(3.05*4.575+2.125*2.6+3.05*3.05+1.375*2.125+1.475*0.9+1.375*1.225+1.525*0.925)*(10.764)</f>
        <v>388.85622749999999</v>
      </c>
      <c r="E301" s="42">
        <v>0</v>
      </c>
      <c r="F301" s="42">
        <f t="shared" si="14"/>
        <v>622.16996400000005</v>
      </c>
      <c r="G301" s="107"/>
      <c r="H301" s="108"/>
      <c r="I301" s="36"/>
    </row>
    <row r="302" spans="1:10" s="37" customFormat="1" ht="15.75" customHeight="1" x14ac:dyDescent="0.35">
      <c r="A302" s="93">
        <v>5</v>
      </c>
      <c r="B302" s="94"/>
      <c r="C302" s="42" t="s">
        <v>191</v>
      </c>
      <c r="D302" s="55">
        <f>(3.05*4.575+2.125*2.6+3.05*3.05+1.375*2.125+1.475*0.9+1.375*1.225+1.525*0.925)*(10.764)</f>
        <v>388.85622749999999</v>
      </c>
      <c r="E302" s="42">
        <v>0</v>
      </c>
      <c r="F302" s="42">
        <f t="shared" si="14"/>
        <v>622.16996400000005</v>
      </c>
      <c r="G302" s="107"/>
      <c r="H302" s="108"/>
      <c r="I302" s="36"/>
    </row>
    <row r="303" spans="1:10" s="37" customFormat="1" ht="15.75" customHeight="1" x14ac:dyDescent="0.35">
      <c r="A303" s="93">
        <v>6</v>
      </c>
      <c r="B303" s="94"/>
      <c r="C303" s="42" t="s">
        <v>190</v>
      </c>
      <c r="D303" s="55">
        <f>(2.9*4.675+2.45*2.125+3.05*3.05+2.75*2.9+1.225*1.975+2.05*1.225+0.9*1.225)*(10.764)</f>
        <v>452.88857249999995</v>
      </c>
      <c r="E303" s="42">
        <v>0</v>
      </c>
      <c r="F303" s="42">
        <f t="shared" si="14"/>
        <v>724.62171599999999</v>
      </c>
      <c r="G303" s="107"/>
      <c r="H303" s="108"/>
      <c r="I303" s="36"/>
    </row>
    <row r="304" spans="1:10" s="37" customFormat="1" ht="15.75" customHeight="1" x14ac:dyDescent="0.35">
      <c r="A304" s="93">
        <v>7</v>
      </c>
      <c r="B304" s="94"/>
      <c r="C304" s="42" t="s">
        <v>190</v>
      </c>
      <c r="D304" s="55">
        <f>(2.9*4.675+2.45*2.125+3.05*3.05+2.75*2.9+1.225*1.975+2.05*1.225+0.9*1.225)*(10.764)</f>
        <v>452.88857249999995</v>
      </c>
      <c r="E304" s="42">
        <v>0</v>
      </c>
      <c r="F304" s="42">
        <f t="shared" si="14"/>
        <v>724.62171599999999</v>
      </c>
      <c r="G304" s="107"/>
      <c r="H304" s="108"/>
      <c r="I304" s="36"/>
    </row>
    <row r="305" spans="1:10" s="37" customFormat="1" ht="15.75" customHeight="1" x14ac:dyDescent="0.35">
      <c r="A305" s="93">
        <v>8</v>
      </c>
      <c r="B305" s="94"/>
      <c r="C305" s="42" t="s">
        <v>190</v>
      </c>
      <c r="D305" s="55">
        <f>(1.075*0.925+3.05*5.13+2.125*2.75+2*(1.375*2.125)+3.05*3.65+3.05*3.05+3.05*0.9+1.625*0.925+2.85*0.995)*(10.764)</f>
        <v>601.13979899999981</v>
      </c>
      <c r="E305" s="42">
        <v>0</v>
      </c>
      <c r="F305" s="42">
        <f t="shared" si="14"/>
        <v>961.82367839999972</v>
      </c>
      <c r="G305" s="107"/>
      <c r="H305" s="108"/>
      <c r="I305" s="36"/>
    </row>
    <row r="306" spans="1:10" s="37" customFormat="1" ht="15.75" customHeight="1" x14ac:dyDescent="0.35">
      <c r="A306" s="93">
        <v>9</v>
      </c>
      <c r="B306" s="94"/>
      <c r="C306" s="42" t="s">
        <v>190</v>
      </c>
      <c r="D306" s="55">
        <f>(4.425*2.9+2.125*2.45+2.75*2.75+3.05*3.05+1.975*1.225+1.225*2.05+1*0.9)*(10.764)</f>
        <v>438.46481249999999</v>
      </c>
      <c r="E306" s="42">
        <v>0</v>
      </c>
      <c r="F306" s="42">
        <f t="shared" si="14"/>
        <v>701.54370000000006</v>
      </c>
      <c r="G306" s="107"/>
      <c r="H306" s="108"/>
      <c r="I306" s="36"/>
    </row>
    <row r="307" spans="1:10" s="37" customFormat="1" ht="15.75" customHeight="1" x14ac:dyDescent="0.35">
      <c r="A307" s="93">
        <v>10</v>
      </c>
      <c r="B307" s="94"/>
      <c r="C307" s="93" t="s">
        <v>185</v>
      </c>
      <c r="D307" s="111"/>
      <c r="E307" s="111"/>
      <c r="F307" s="94"/>
      <c r="G307" s="107"/>
      <c r="H307" s="108"/>
      <c r="I307" s="36"/>
    </row>
    <row r="308" spans="1:10" s="37" customFormat="1" ht="15.75" customHeight="1" x14ac:dyDescent="0.35">
      <c r="A308" s="93">
        <v>11</v>
      </c>
      <c r="B308" s="94"/>
      <c r="C308" s="42" t="s">
        <v>190</v>
      </c>
      <c r="D308" s="55">
        <f>(1.075*0.925+3.05*5.13+2.125*2.75+3.05*3.05+3.05*3.65+2*(2.125*1.375)+3.05*0.9+1.625*0.925)*(10.764)</f>
        <v>570.61578599999984</v>
      </c>
      <c r="E308" s="42">
        <v>0</v>
      </c>
      <c r="F308" s="42">
        <f>D308*(($F$208)+1)+(IF(E308&lt;101,E308,IF(E308&lt;201,E308/2,IF(E308&lt;=301,E308/3,E308/4))))</f>
        <v>912.98525759999984</v>
      </c>
      <c r="G308" s="107"/>
      <c r="H308" s="108"/>
      <c r="I308" s="36"/>
    </row>
    <row r="309" spans="1:10" s="37" customFormat="1" ht="15.75" customHeight="1" x14ac:dyDescent="0.35">
      <c r="A309" s="93">
        <v>12</v>
      </c>
      <c r="B309" s="94"/>
      <c r="C309" s="42" t="s">
        <v>190</v>
      </c>
      <c r="D309" s="55">
        <f>(2.9*4.425+2.15*2.38+2.9*2.9+2*(1.975*1.225)+2.75*2.75+2.3*0.9)*(10.764)</f>
        <v>439.50219299999998</v>
      </c>
      <c r="E309" s="42">
        <v>0</v>
      </c>
      <c r="F309" s="42">
        <f>D309*(($F$208)+1)+(IF(E309&lt;101,E309,IF(E309&lt;201,E309/2,IF(E309&lt;=301,E309/3,E309/4))))</f>
        <v>703.20350880000001</v>
      </c>
      <c r="G309" s="109"/>
      <c r="H309" s="110"/>
      <c r="I309" s="36"/>
    </row>
    <row r="310" spans="1:10" s="37" customFormat="1" x14ac:dyDescent="0.35">
      <c r="A310" s="115" t="s">
        <v>225</v>
      </c>
      <c r="B310" s="116"/>
      <c r="C310" s="116"/>
      <c r="D310" s="116"/>
      <c r="E310" s="116"/>
      <c r="F310" s="116"/>
      <c r="G310" s="116"/>
      <c r="H310" s="117"/>
      <c r="J310" s="36"/>
    </row>
    <row r="311" spans="1:10" s="37" customFormat="1" x14ac:dyDescent="0.35">
      <c r="A311" s="118" t="s">
        <v>227</v>
      </c>
      <c r="B311" s="119"/>
      <c r="C311" s="119"/>
      <c r="D311" s="119"/>
      <c r="E311" s="119"/>
      <c r="F311" s="119"/>
      <c r="G311" s="119"/>
      <c r="H311" s="120"/>
      <c r="I311" s="37" t="s">
        <v>232</v>
      </c>
      <c r="J311" s="36"/>
    </row>
    <row r="312" spans="1:10" s="37" customFormat="1" x14ac:dyDescent="0.35">
      <c r="A312" s="73" t="s">
        <v>230</v>
      </c>
      <c r="B312" s="74"/>
      <c r="C312" s="74"/>
      <c r="D312" s="74"/>
      <c r="E312" s="74"/>
      <c r="F312" s="74"/>
      <c r="G312" s="74"/>
      <c r="H312" s="75"/>
      <c r="I312" s="36">
        <v>1</v>
      </c>
    </row>
    <row r="313" spans="1:10" s="37" customFormat="1" ht="15.75" customHeight="1" x14ac:dyDescent="0.35">
      <c r="A313" s="93">
        <v>5</v>
      </c>
      <c r="B313" s="94"/>
      <c r="C313" s="42" t="s">
        <v>182</v>
      </c>
      <c r="D313" s="55">
        <f>(74.67)*(10.764)</f>
        <v>803.74788000000001</v>
      </c>
      <c r="E313" s="42">
        <v>0</v>
      </c>
      <c r="F313" s="42">
        <f t="shared" ref="F313:F314" si="15">D313*(($F$208)+1)+(IF(E313&lt;101,E313,IF(E313&lt;201,E313/2,IF(E313&lt;=301,E313/3,E313/4))))</f>
        <v>1285.9966080000002</v>
      </c>
      <c r="G313" s="105" t="str">
        <f>A312</f>
        <v>1st floor For Part Residential</v>
      </c>
      <c r="H313" s="106"/>
      <c r="I313" s="36"/>
      <c r="J313" s="55">
        <v>10.763999999999999</v>
      </c>
    </row>
    <row r="314" spans="1:10" s="37" customFormat="1" ht="15.75" customHeight="1" x14ac:dyDescent="0.35">
      <c r="A314" s="93">
        <v>6</v>
      </c>
      <c r="B314" s="94"/>
      <c r="C314" s="42" t="s">
        <v>182</v>
      </c>
      <c r="D314" s="55">
        <f>(74.67)*(10.764)</f>
        <v>803.74788000000001</v>
      </c>
      <c r="E314" s="42">
        <v>0</v>
      </c>
      <c r="F314" s="42">
        <f t="shared" si="15"/>
        <v>1285.9966080000002</v>
      </c>
      <c r="G314" s="109"/>
      <c r="H314" s="110"/>
      <c r="I314" s="36"/>
    </row>
    <row r="315" spans="1:10" s="37" customFormat="1" ht="33" customHeight="1" x14ac:dyDescent="0.35">
      <c r="A315" s="73" t="s">
        <v>257</v>
      </c>
      <c r="B315" s="74"/>
      <c r="C315" s="74"/>
      <c r="D315" s="74"/>
      <c r="E315" s="74"/>
      <c r="F315" s="74"/>
      <c r="G315" s="74"/>
      <c r="H315" s="75"/>
      <c r="I315" s="36">
        <f>6+4+4+4+4+4+4+4+1</f>
        <v>35</v>
      </c>
    </row>
    <row r="316" spans="1:10" s="37" customFormat="1" ht="15.75" customHeight="1" x14ac:dyDescent="0.35">
      <c r="A316" s="93">
        <v>1</v>
      </c>
      <c r="B316" s="94"/>
      <c r="C316" s="42" t="s">
        <v>182</v>
      </c>
      <c r="D316" s="55">
        <f>(84.54)*(10.764)</f>
        <v>909.98856000000001</v>
      </c>
      <c r="E316" s="42">
        <v>0</v>
      </c>
      <c r="F316" s="42">
        <f t="shared" ref="F316:F321" si="16">D316*(($F$208)+1)+(IF(E316&lt;101,E316,IF(E316&lt;201,E316/2,IF(E316&lt;=301,E316/3,E316/4))))</f>
        <v>1455.9816960000001</v>
      </c>
      <c r="G316" s="105" t="str">
        <f>A315</f>
        <v>2nd to 7th, 9th to 12th, 14th to 17th, 19th to 22nd, 
24th to 27th &amp; 29th to 32nd, 34th to 37th, 39th to 42nd &amp; 44th Floor For Residential</v>
      </c>
      <c r="H316" s="106"/>
      <c r="I316" s="36"/>
      <c r="J316" s="55">
        <v>10.763999999999999</v>
      </c>
    </row>
    <row r="317" spans="1:10" s="37" customFormat="1" ht="15.75" customHeight="1" x14ac:dyDescent="0.35">
      <c r="A317" s="93">
        <v>2</v>
      </c>
      <c r="B317" s="94"/>
      <c r="C317" s="42" t="s">
        <v>190</v>
      </c>
      <c r="D317" s="55">
        <f>(62.24)*(10.764)</f>
        <v>669.95136000000002</v>
      </c>
      <c r="E317" s="42">
        <v>0</v>
      </c>
      <c r="F317" s="42">
        <f t="shared" si="16"/>
        <v>1071.922176</v>
      </c>
      <c r="G317" s="107"/>
      <c r="H317" s="108"/>
      <c r="I317" s="36"/>
    </row>
    <row r="318" spans="1:10" s="37" customFormat="1" ht="15.75" customHeight="1" x14ac:dyDescent="0.35">
      <c r="A318" s="93">
        <v>3</v>
      </c>
      <c r="B318" s="94"/>
      <c r="C318" s="42" t="s">
        <v>190</v>
      </c>
      <c r="D318" s="55">
        <f>(64.73)*(10.764)</f>
        <v>696.75372000000004</v>
      </c>
      <c r="E318" s="42">
        <v>0</v>
      </c>
      <c r="F318" s="42">
        <f t="shared" si="16"/>
        <v>1114.8059520000002</v>
      </c>
      <c r="G318" s="107"/>
      <c r="H318" s="108"/>
      <c r="I318" s="36"/>
    </row>
    <row r="319" spans="1:10" s="37" customFormat="1" ht="15.75" customHeight="1" x14ac:dyDescent="0.35">
      <c r="A319" s="93">
        <v>4</v>
      </c>
      <c r="B319" s="94"/>
      <c r="C319" s="42" t="s">
        <v>182</v>
      </c>
      <c r="D319" s="55">
        <f>(84.99)*(10.764)</f>
        <v>914.83235999999988</v>
      </c>
      <c r="E319" s="42">
        <v>0</v>
      </c>
      <c r="F319" s="42">
        <f t="shared" si="16"/>
        <v>1463.7317759999999</v>
      </c>
      <c r="G319" s="107"/>
      <c r="H319" s="108"/>
      <c r="I319" s="36"/>
    </row>
    <row r="320" spans="1:10" s="37" customFormat="1" ht="15.75" customHeight="1" x14ac:dyDescent="0.35">
      <c r="A320" s="93">
        <v>5</v>
      </c>
      <c r="B320" s="94"/>
      <c r="C320" s="42" t="s">
        <v>182</v>
      </c>
      <c r="D320" s="55">
        <f t="shared" ref="D320:D321" si="17">(74.67)*(10.764)</f>
        <v>803.74788000000001</v>
      </c>
      <c r="E320" s="42">
        <v>0</v>
      </c>
      <c r="F320" s="42">
        <f t="shared" si="16"/>
        <v>1285.9966080000002</v>
      </c>
      <c r="G320" s="107"/>
      <c r="H320" s="108"/>
      <c r="I320" s="36"/>
    </row>
    <row r="321" spans="1:11" s="37" customFormat="1" ht="15.75" customHeight="1" x14ac:dyDescent="0.35">
      <c r="A321" s="93">
        <v>6</v>
      </c>
      <c r="B321" s="94"/>
      <c r="C321" s="42" t="s">
        <v>182</v>
      </c>
      <c r="D321" s="55">
        <f t="shared" si="17"/>
        <v>803.74788000000001</v>
      </c>
      <c r="E321" s="42">
        <v>0</v>
      </c>
      <c r="F321" s="42">
        <f t="shared" si="16"/>
        <v>1285.9966080000002</v>
      </c>
      <c r="G321" s="109"/>
      <c r="H321" s="110"/>
      <c r="I321" s="36"/>
    </row>
    <row r="322" spans="1:11" s="37" customFormat="1" x14ac:dyDescent="0.35">
      <c r="A322" s="73" t="s">
        <v>258</v>
      </c>
      <c r="B322" s="74"/>
      <c r="C322" s="74"/>
      <c r="D322" s="74"/>
      <c r="E322" s="74"/>
      <c r="F322" s="74"/>
      <c r="G322" s="74"/>
      <c r="H322" s="75"/>
      <c r="I322" s="36">
        <v>8</v>
      </c>
    </row>
    <row r="323" spans="1:11" s="37" customFormat="1" ht="15.75" customHeight="1" x14ac:dyDescent="0.35">
      <c r="A323" s="93">
        <v>1</v>
      </c>
      <c r="B323" s="94"/>
      <c r="C323" s="42" t="s">
        <v>182</v>
      </c>
      <c r="D323" s="55">
        <f>(84.54)*(10.764)</f>
        <v>909.98856000000001</v>
      </c>
      <c r="E323" s="42">
        <v>0</v>
      </c>
      <c r="F323" s="42">
        <f>D323*(($F$208)+1)+(IF(E323&lt;101,E323,IF(E323&lt;201,E323/2,IF(E323&lt;=301,E323/3,E323/4))))</f>
        <v>1455.9816960000001</v>
      </c>
      <c r="G323" s="105" t="str">
        <f>A322</f>
        <v>8th, 13th, 18th, 23rd, 28th, 33rd, 38th &amp; 43rd Floor (Part Refuge Area)</v>
      </c>
      <c r="H323" s="106"/>
      <c r="I323" s="36"/>
      <c r="J323" s="55">
        <v>10.763999999999999</v>
      </c>
      <c r="K323" s="37">
        <f>2.9*5.3+0.6*3.175+2.125*3.05+3.05*4.05+3.05*3.35+2.125*1.375+1.375*2.125+1.075*0.9+1.675*0.9+1.525*0.75+2.975*1.175</f>
        <v>59.284374999999997</v>
      </c>
    </row>
    <row r="324" spans="1:11" s="37" customFormat="1" ht="15.75" customHeight="1" x14ac:dyDescent="0.35">
      <c r="A324" s="93">
        <v>2</v>
      </c>
      <c r="B324" s="94"/>
      <c r="C324" s="42" t="s">
        <v>190</v>
      </c>
      <c r="D324" s="55">
        <f>(62.24)*(10.764)</f>
        <v>669.95136000000002</v>
      </c>
      <c r="E324" s="42">
        <v>0</v>
      </c>
      <c r="F324" s="42">
        <f>D324*(($F$208)+1)+(IF(E324&lt;101,E324,IF(E324&lt;201,E324/2,IF(E324&lt;=301,E324/3,E324/4))))</f>
        <v>1071.922176</v>
      </c>
      <c r="G324" s="107"/>
      <c r="H324" s="108"/>
      <c r="I324" s="36"/>
    </row>
    <row r="325" spans="1:11" s="37" customFormat="1" ht="15.75" customHeight="1" x14ac:dyDescent="0.35">
      <c r="A325" s="93">
        <v>3</v>
      </c>
      <c r="B325" s="94"/>
      <c r="C325" s="93" t="s">
        <v>185</v>
      </c>
      <c r="D325" s="111"/>
      <c r="E325" s="111"/>
      <c r="F325" s="94"/>
      <c r="G325" s="107"/>
      <c r="H325" s="108"/>
      <c r="I325" s="36"/>
    </row>
    <row r="326" spans="1:11" s="37" customFormat="1" ht="15.75" customHeight="1" x14ac:dyDescent="0.35">
      <c r="A326" s="93">
        <v>4</v>
      </c>
      <c r="B326" s="94"/>
      <c r="C326" s="42" t="s">
        <v>182</v>
      </c>
      <c r="D326" s="55">
        <f>(84.99)*(10.764)</f>
        <v>914.83235999999988</v>
      </c>
      <c r="E326" s="42">
        <v>0</v>
      </c>
      <c r="F326" s="42">
        <f>D326*(($F$208)+1)+(IF(E326&lt;101,E326,IF(E326&lt;201,E326/2,IF(E326&lt;=301,E326/3,E326/4))))</f>
        <v>1463.7317759999999</v>
      </c>
      <c r="G326" s="107"/>
      <c r="H326" s="108"/>
      <c r="I326" s="36"/>
    </row>
    <row r="327" spans="1:11" s="37" customFormat="1" ht="15.75" customHeight="1" x14ac:dyDescent="0.35">
      <c r="A327" s="93">
        <v>5</v>
      </c>
      <c r="B327" s="94"/>
      <c r="C327" s="42" t="s">
        <v>182</v>
      </c>
      <c r="D327" s="55">
        <f t="shared" ref="D327:D328" si="18">(74.67)*(10.764)</f>
        <v>803.74788000000001</v>
      </c>
      <c r="E327" s="42">
        <v>0</v>
      </c>
      <c r="F327" s="42">
        <f>D327*(($F$208)+1)+(IF(E327&lt;101,E327,IF(E327&lt;201,E327/2,IF(E327&lt;=301,E327/3,E327/4))))</f>
        <v>1285.9966080000002</v>
      </c>
      <c r="G327" s="107"/>
      <c r="H327" s="108"/>
      <c r="I327" s="36"/>
    </row>
    <row r="328" spans="1:11" s="37" customFormat="1" ht="15.75" customHeight="1" x14ac:dyDescent="0.35">
      <c r="A328" s="93">
        <v>6</v>
      </c>
      <c r="B328" s="94"/>
      <c r="C328" s="42" t="s">
        <v>182</v>
      </c>
      <c r="D328" s="55">
        <f t="shared" si="18"/>
        <v>803.74788000000001</v>
      </c>
      <c r="E328" s="42">
        <v>0</v>
      </c>
      <c r="F328" s="42">
        <f>D328*(($F$208)+1)+(IF(E328&lt;101,E328,IF(E328&lt;201,E328/2,IF(E328&lt;=301,E328/3,E328/4))))</f>
        <v>1285.9966080000002</v>
      </c>
      <c r="G328" s="109"/>
      <c r="H328" s="110"/>
      <c r="I328" s="36"/>
    </row>
    <row r="329" spans="1:11" s="37" customFormat="1" x14ac:dyDescent="0.35">
      <c r="A329" s="73" t="s">
        <v>259</v>
      </c>
      <c r="B329" s="74"/>
      <c r="C329" s="74"/>
      <c r="D329" s="74"/>
      <c r="E329" s="74"/>
      <c r="F329" s="74"/>
      <c r="G329" s="74"/>
      <c r="H329" s="75"/>
      <c r="I329" s="36">
        <v>1</v>
      </c>
    </row>
    <row r="330" spans="1:11" s="37" customFormat="1" x14ac:dyDescent="0.35">
      <c r="A330" s="73" t="s">
        <v>260</v>
      </c>
      <c r="B330" s="74"/>
      <c r="C330" s="74"/>
      <c r="D330" s="74"/>
      <c r="E330" s="74"/>
      <c r="F330" s="74"/>
      <c r="G330" s="74"/>
      <c r="H330" s="75"/>
      <c r="I330" s="36">
        <v>1</v>
      </c>
    </row>
    <row r="331" spans="1:11" s="35" customFormat="1" x14ac:dyDescent="0.35">
      <c r="A331" s="194" t="s">
        <v>68</v>
      </c>
      <c r="B331" s="194"/>
      <c r="C331" s="194"/>
      <c r="D331" s="194"/>
      <c r="E331" s="194"/>
      <c r="F331" s="194"/>
      <c r="G331" s="194"/>
      <c r="H331" s="194"/>
    </row>
    <row r="332" spans="1:11" s="35" customFormat="1" ht="31.5" customHeight="1" x14ac:dyDescent="0.35">
      <c r="A332" s="47" t="s">
        <v>157</v>
      </c>
      <c r="B332" s="139" t="s">
        <v>247</v>
      </c>
      <c r="C332" s="140"/>
      <c r="D332" s="140"/>
      <c r="E332" s="140"/>
      <c r="F332" s="140"/>
      <c r="G332" s="140"/>
      <c r="H332" s="141"/>
    </row>
    <row r="333" spans="1:11" s="35" customFormat="1" x14ac:dyDescent="0.35">
      <c r="A333" s="47" t="s">
        <v>157</v>
      </c>
      <c r="B333" s="139" t="str">
        <f>(IF(F207="Saleable area Loading :","We have considered Saleable area of Flats as per our Calculation.","We considered Saleable area of Flat as per Builder area Sheet."))</f>
        <v>We have considered Saleable area of Flats as per our Calculation.</v>
      </c>
      <c r="C333" s="140"/>
      <c r="D333" s="140"/>
      <c r="E333" s="140"/>
      <c r="F333" s="140"/>
      <c r="G333" s="140"/>
      <c r="H333" s="141"/>
    </row>
    <row r="334" spans="1:11" s="35" customFormat="1" x14ac:dyDescent="0.35">
      <c r="A334" s="47" t="s">
        <v>157</v>
      </c>
      <c r="B334" s="139" t="str">
        <f>(IF(F170="Saleable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4" s="140"/>
      <c r="D334" s="140"/>
      <c r="E334" s="140"/>
      <c r="F334" s="140"/>
      <c r="G334" s="140"/>
      <c r="H334" s="141"/>
    </row>
    <row r="335" spans="1:11" s="35" customFormat="1" x14ac:dyDescent="0.35">
      <c r="A335" s="47" t="s">
        <v>157</v>
      </c>
      <c r="B335" s="76" t="s">
        <v>126</v>
      </c>
      <c r="C335" s="77"/>
      <c r="D335" s="77"/>
      <c r="E335" s="77"/>
      <c r="F335" s="77"/>
      <c r="G335" s="77"/>
      <c r="H335" s="78"/>
    </row>
    <row r="336" spans="1:11" s="35" customFormat="1" ht="33" customHeight="1" x14ac:dyDescent="0.35">
      <c r="A336" s="47" t="s">
        <v>157</v>
      </c>
      <c r="B336" s="76" t="s">
        <v>231</v>
      </c>
      <c r="C336" s="77"/>
      <c r="D336" s="77"/>
      <c r="E336" s="77"/>
      <c r="F336" s="77"/>
      <c r="G336" s="77"/>
      <c r="H336" s="78"/>
    </row>
    <row r="337" spans="1:8" s="35" customFormat="1" x14ac:dyDescent="0.35">
      <c r="A337" s="47" t="s">
        <v>157</v>
      </c>
      <c r="B337" s="76" t="s">
        <v>156</v>
      </c>
      <c r="C337" s="77"/>
      <c r="D337" s="77"/>
      <c r="E337" s="77"/>
      <c r="F337" s="77"/>
      <c r="G337" s="77"/>
      <c r="H337" s="78"/>
    </row>
    <row r="338" spans="1:8" s="35" customFormat="1" x14ac:dyDescent="0.35">
      <c r="A338" s="47" t="s">
        <v>157</v>
      </c>
      <c r="B338" s="76" t="s">
        <v>127</v>
      </c>
      <c r="C338" s="77"/>
      <c r="D338" s="77"/>
      <c r="E338" s="77"/>
      <c r="F338" s="77"/>
      <c r="G338" s="77"/>
      <c r="H338" s="78"/>
    </row>
    <row r="339" spans="1:8" s="35" customFormat="1" ht="34.5" customHeight="1" x14ac:dyDescent="0.35">
      <c r="A339" s="47" t="s">
        <v>157</v>
      </c>
      <c r="B339" s="76" t="s">
        <v>158</v>
      </c>
      <c r="C339" s="77"/>
      <c r="D339" s="77"/>
      <c r="E339" s="77"/>
      <c r="F339" s="77"/>
      <c r="G339" s="77"/>
      <c r="H339" s="78"/>
    </row>
    <row r="340" spans="1:8" s="35" customFormat="1" x14ac:dyDescent="0.35">
      <c r="A340" s="47" t="s">
        <v>157</v>
      </c>
      <c r="B340" s="76" t="s">
        <v>128</v>
      </c>
      <c r="C340" s="77"/>
      <c r="D340" s="77"/>
      <c r="E340" s="77"/>
      <c r="F340" s="77"/>
      <c r="G340" s="77"/>
      <c r="H340" s="78"/>
    </row>
    <row r="341" spans="1:8" s="35" customFormat="1" hidden="1" x14ac:dyDescent="0.35">
      <c r="A341" s="47" t="s">
        <v>157</v>
      </c>
      <c r="B341" s="202" t="s">
        <v>129</v>
      </c>
      <c r="C341" s="203"/>
      <c r="D341" s="203"/>
      <c r="E341" s="203"/>
      <c r="F341" s="203"/>
      <c r="G341" s="203"/>
      <c r="H341" s="204"/>
    </row>
    <row r="342" spans="1:8" s="35" customFormat="1" x14ac:dyDescent="0.35">
      <c r="A342" s="47" t="s">
        <v>157</v>
      </c>
      <c r="B342" s="76" t="s">
        <v>244</v>
      </c>
      <c r="C342" s="77"/>
      <c r="D342" s="77"/>
      <c r="E342" s="77"/>
      <c r="F342" s="77"/>
      <c r="G342" s="77"/>
      <c r="H342" s="78"/>
    </row>
    <row r="343" spans="1:8" s="35" customFormat="1" x14ac:dyDescent="0.35">
      <c r="A343" s="47" t="s">
        <v>157</v>
      </c>
      <c r="B343" s="76" t="s">
        <v>245</v>
      </c>
      <c r="C343" s="77"/>
      <c r="D343" s="77"/>
      <c r="E343" s="77"/>
      <c r="F343" s="77"/>
      <c r="G343" s="77"/>
      <c r="H343" s="78"/>
    </row>
    <row r="344" spans="1:8" s="35" customFormat="1" hidden="1" x14ac:dyDescent="0.35">
      <c r="A344" s="47" t="s">
        <v>157</v>
      </c>
      <c r="B344" s="76" t="s">
        <v>246</v>
      </c>
      <c r="C344" s="77"/>
      <c r="D344" s="77"/>
      <c r="E344" s="77"/>
      <c r="F344" s="77"/>
      <c r="G344" s="77"/>
      <c r="H344" s="78"/>
    </row>
    <row r="345" spans="1:8" s="35" customFormat="1" x14ac:dyDescent="0.35">
      <c r="A345" s="47" t="s">
        <v>157</v>
      </c>
      <c r="B345" s="76" t="s">
        <v>243</v>
      </c>
      <c r="C345" s="77"/>
      <c r="D345" s="77"/>
      <c r="E345" s="77"/>
      <c r="F345" s="77"/>
      <c r="G345" s="77"/>
      <c r="H345" s="78"/>
    </row>
    <row r="346" spans="1:8" s="35" customFormat="1" x14ac:dyDescent="0.35">
      <c r="A346" s="47" t="s">
        <v>157</v>
      </c>
      <c r="B346" s="76" t="s">
        <v>261</v>
      </c>
      <c r="C346" s="77"/>
      <c r="D346" s="77"/>
      <c r="E346" s="77"/>
      <c r="F346" s="77"/>
      <c r="G346" s="77"/>
      <c r="H346" s="78"/>
    </row>
    <row r="347" spans="1:8" s="35" customFormat="1" hidden="1" x14ac:dyDescent="0.35">
      <c r="A347" s="47" t="s">
        <v>157</v>
      </c>
      <c r="B347" s="76" t="s">
        <v>263</v>
      </c>
      <c r="C347" s="77"/>
      <c r="D347" s="77"/>
      <c r="E347" s="77"/>
      <c r="F347" s="77"/>
      <c r="G347" s="77"/>
      <c r="H347" s="78"/>
    </row>
    <row r="348" spans="1:8" x14ac:dyDescent="0.35">
      <c r="A348" s="179" t="s">
        <v>61</v>
      </c>
      <c r="B348" s="179"/>
      <c r="C348" s="179"/>
      <c r="D348" s="179"/>
      <c r="E348" s="179"/>
      <c r="F348" s="179"/>
      <c r="G348" s="179"/>
      <c r="H348" s="179"/>
    </row>
    <row r="349" spans="1:8" x14ac:dyDescent="0.35">
      <c r="A349" s="98" t="s">
        <v>62</v>
      </c>
      <c r="B349" s="98"/>
      <c r="C349" s="98"/>
      <c r="D349" s="98"/>
      <c r="E349" s="98"/>
      <c r="F349" s="98"/>
      <c r="G349" s="98"/>
      <c r="H349" s="98"/>
    </row>
    <row r="350" spans="1:8" ht="15.75" customHeight="1" x14ac:dyDescent="0.35">
      <c r="A350" s="196" t="s">
        <v>63</v>
      </c>
      <c r="B350" s="196"/>
      <c r="C350" s="196"/>
      <c r="D350" s="196"/>
      <c r="E350" s="196"/>
      <c r="F350" s="196"/>
      <c r="G350" s="196"/>
      <c r="H350" s="196"/>
    </row>
    <row r="351" spans="1:8" x14ac:dyDescent="0.35">
      <c r="A351" s="98" t="s">
        <v>64</v>
      </c>
      <c r="B351" s="98"/>
      <c r="C351" s="98"/>
      <c r="D351" s="98"/>
      <c r="E351" s="98"/>
      <c r="F351" s="98"/>
      <c r="G351" s="98"/>
      <c r="H351" s="98"/>
    </row>
    <row r="352" spans="1:8" x14ac:dyDescent="0.35">
      <c r="A352" s="98" t="s">
        <v>65</v>
      </c>
      <c r="B352" s="98"/>
      <c r="C352" s="98"/>
      <c r="D352" s="98"/>
      <c r="E352" s="98"/>
      <c r="F352" s="98"/>
      <c r="G352" s="98"/>
      <c r="H352" s="98"/>
    </row>
    <row r="353" spans="1:8" x14ac:dyDescent="0.35">
      <c r="A353" s="98" t="s">
        <v>130</v>
      </c>
      <c r="B353" s="98"/>
      <c r="C353" s="98"/>
      <c r="D353" s="98"/>
      <c r="E353" s="98"/>
      <c r="F353" s="98"/>
      <c r="G353" s="98"/>
      <c r="H353" s="98"/>
    </row>
    <row r="354" spans="1:8" ht="32.25" customHeight="1" x14ac:dyDescent="0.35">
      <c r="A354" s="123" t="s">
        <v>131</v>
      </c>
      <c r="B354" s="123"/>
      <c r="C354" s="123"/>
      <c r="D354" s="123"/>
      <c r="E354" s="123"/>
      <c r="F354" s="123"/>
      <c r="G354" s="123"/>
      <c r="H354" s="123"/>
    </row>
    <row r="355" spans="1:8" x14ac:dyDescent="0.35">
      <c r="A355" s="191" t="s">
        <v>78</v>
      </c>
      <c r="B355" s="191"/>
      <c r="C355" s="191" t="s">
        <v>219</v>
      </c>
      <c r="D355" s="191"/>
      <c r="E355" s="191" t="s">
        <v>107</v>
      </c>
      <c r="F355" s="191"/>
      <c r="G355" s="191" t="s">
        <v>265</v>
      </c>
      <c r="H355" s="191"/>
    </row>
    <row r="356" spans="1:8" x14ac:dyDescent="0.35">
      <c r="A356" s="190" t="s">
        <v>218</v>
      </c>
      <c r="B356" s="190"/>
      <c r="C356" s="190"/>
      <c r="D356" s="190"/>
      <c r="E356" s="190"/>
      <c r="F356" s="190"/>
      <c r="G356" s="190"/>
      <c r="H356" s="190"/>
    </row>
    <row r="357" spans="1:8" x14ac:dyDescent="0.35">
      <c r="A357" s="190"/>
      <c r="B357" s="190"/>
      <c r="C357" s="190"/>
      <c r="D357" s="190"/>
      <c r="E357" s="190"/>
      <c r="F357" s="190"/>
      <c r="G357" s="190"/>
      <c r="H357" s="190"/>
    </row>
    <row r="358" spans="1:8" x14ac:dyDescent="0.35">
      <c r="A358" s="190"/>
      <c r="B358" s="190"/>
      <c r="C358" s="190"/>
      <c r="D358" s="190"/>
      <c r="E358" s="190"/>
      <c r="F358" s="190"/>
      <c r="G358" s="190"/>
      <c r="H358" s="190"/>
    </row>
    <row r="359" spans="1:8" x14ac:dyDescent="0.35">
      <c r="A359" s="190"/>
      <c r="B359" s="190"/>
      <c r="C359" s="190"/>
      <c r="D359" s="190"/>
      <c r="E359" s="190"/>
      <c r="F359" s="190"/>
      <c r="G359" s="190"/>
      <c r="H359" s="190"/>
    </row>
    <row r="360" spans="1:8" x14ac:dyDescent="0.35">
      <c r="A360" s="38" t="s">
        <v>66</v>
      </c>
      <c r="B360" s="39"/>
      <c r="C360" s="39"/>
      <c r="D360" s="38" t="str">
        <f>E8</f>
        <v>Godrej Ascend Phase 1, 2, 3 &amp; 4</v>
      </c>
      <c r="F360" s="39"/>
      <c r="G360" s="39"/>
      <c r="H360" s="39"/>
    </row>
    <row r="361" spans="1:8" x14ac:dyDescent="0.35">
      <c r="A361" s="39"/>
      <c r="B361" s="39"/>
      <c r="C361" s="39"/>
      <c r="D361" s="39"/>
      <c r="E361" s="39"/>
      <c r="F361" s="39"/>
      <c r="G361" s="39"/>
      <c r="H361" s="39"/>
    </row>
    <row r="362" spans="1:8" x14ac:dyDescent="0.35">
      <c r="A362" s="39"/>
      <c r="B362" s="39"/>
      <c r="C362" s="39"/>
      <c r="D362" s="39"/>
      <c r="E362" s="39"/>
      <c r="F362" s="39"/>
      <c r="G362" s="39"/>
      <c r="H362" s="39"/>
    </row>
    <row r="363" spans="1:8" ht="15" customHeight="1" x14ac:dyDescent="0.35"/>
    <row r="398" spans="1:1" x14ac:dyDescent="0.35">
      <c r="A398" s="41" t="s">
        <v>217</v>
      </c>
    </row>
    <row r="435" spans="1:1" x14ac:dyDescent="0.35">
      <c r="A435" s="41" t="s">
        <v>67</v>
      </c>
    </row>
  </sheetData>
  <mergeCells count="564">
    <mergeCell ref="B345:H345"/>
    <mergeCell ref="B344:H344"/>
    <mergeCell ref="C157:D157"/>
    <mergeCell ref="E157:F157"/>
    <mergeCell ref="G157:H157"/>
    <mergeCell ref="A158:B158"/>
    <mergeCell ref="C158:D158"/>
    <mergeCell ref="E158:F158"/>
    <mergeCell ref="G158:H158"/>
    <mergeCell ref="A323:B323"/>
    <mergeCell ref="G323:H328"/>
    <mergeCell ref="A324:B324"/>
    <mergeCell ref="A325:B325"/>
    <mergeCell ref="A326:B326"/>
    <mergeCell ref="A327:B327"/>
    <mergeCell ref="A328:B328"/>
    <mergeCell ref="C325:F325"/>
    <mergeCell ref="A329:H329"/>
    <mergeCell ref="A318:B318"/>
    <mergeCell ref="A319:B319"/>
    <mergeCell ref="A320:B320"/>
    <mergeCell ref="A321:B321"/>
    <mergeCell ref="G199:H205"/>
    <mergeCell ref="G191:H197"/>
    <mergeCell ref="G313:H314"/>
    <mergeCell ref="G316:H321"/>
    <mergeCell ref="A322:H322"/>
    <mergeCell ref="A310:H310"/>
    <mergeCell ref="A311:H311"/>
    <mergeCell ref="A312:H312"/>
    <mergeCell ref="A313:B313"/>
    <mergeCell ref="A314:B314"/>
    <mergeCell ref="A315:H315"/>
    <mergeCell ref="A316:B316"/>
    <mergeCell ref="A317:B317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L192:M192"/>
    <mergeCell ref="A168:H168"/>
    <mergeCell ref="G166:H166"/>
    <mergeCell ref="E167:F167"/>
    <mergeCell ref="A180:B180"/>
    <mergeCell ref="A181:H181"/>
    <mergeCell ref="A182:B182"/>
    <mergeCell ref="G167:H167"/>
    <mergeCell ref="G170:H171"/>
    <mergeCell ref="C170:C171"/>
    <mergeCell ref="A173:H173"/>
    <mergeCell ref="F143:H143"/>
    <mergeCell ref="A148:E148"/>
    <mergeCell ref="A143:E143"/>
    <mergeCell ref="A140:E140"/>
    <mergeCell ref="C165:D165"/>
    <mergeCell ref="A188:H188"/>
    <mergeCell ref="A189:H189"/>
    <mergeCell ref="A190:H190"/>
    <mergeCell ref="A128:B128"/>
    <mergeCell ref="C128:H128"/>
    <mergeCell ref="F150:H150"/>
    <mergeCell ref="A151:E151"/>
    <mergeCell ref="C163:D163"/>
    <mergeCell ref="A161:A162"/>
    <mergeCell ref="C164:D164"/>
    <mergeCell ref="C162:D162"/>
    <mergeCell ref="A183:B183"/>
    <mergeCell ref="A115:B115"/>
    <mergeCell ref="E115:F115"/>
    <mergeCell ref="G115:H115"/>
    <mergeCell ref="A116:B116"/>
    <mergeCell ref="E116:F125"/>
    <mergeCell ref="G116:H125"/>
    <mergeCell ref="A117:B117"/>
    <mergeCell ref="A125:B125"/>
    <mergeCell ref="A58:C62"/>
    <mergeCell ref="A70:B70"/>
    <mergeCell ref="C70:H70"/>
    <mergeCell ref="A72:B72"/>
    <mergeCell ref="C72:H72"/>
    <mergeCell ref="A73:B73"/>
    <mergeCell ref="E73:F73"/>
    <mergeCell ref="G73:H73"/>
    <mergeCell ref="A92:B92"/>
    <mergeCell ref="A65:C65"/>
    <mergeCell ref="D65:H65"/>
    <mergeCell ref="A64:C64"/>
    <mergeCell ref="D63:H63"/>
    <mergeCell ref="E88:F97"/>
    <mergeCell ref="G88:H97"/>
    <mergeCell ref="A96:B96"/>
    <mergeCell ref="A97:B97"/>
    <mergeCell ref="D64:H64"/>
    <mergeCell ref="A94:B94"/>
    <mergeCell ref="A74:B74"/>
    <mergeCell ref="E74:F83"/>
    <mergeCell ref="A95:B95"/>
    <mergeCell ref="A89:B89"/>
    <mergeCell ref="A91:B91"/>
    <mergeCell ref="L178:M178"/>
    <mergeCell ref="L177:M177"/>
    <mergeCell ref="L176:M176"/>
    <mergeCell ref="L175:M175"/>
    <mergeCell ref="A141:E141"/>
    <mergeCell ref="F140:H140"/>
    <mergeCell ref="A133:B133"/>
    <mergeCell ref="A134:B134"/>
    <mergeCell ref="A135:B135"/>
    <mergeCell ref="A136:B136"/>
    <mergeCell ref="A137:B137"/>
    <mergeCell ref="A138:B138"/>
    <mergeCell ref="A139:B139"/>
    <mergeCell ref="E165:F165"/>
    <mergeCell ref="G165:H165"/>
    <mergeCell ref="F147:H147"/>
    <mergeCell ref="C207:C208"/>
    <mergeCell ref="A211:H211"/>
    <mergeCell ref="A179:B179"/>
    <mergeCell ref="A210:H210"/>
    <mergeCell ref="L179:M179"/>
    <mergeCell ref="L180:M180"/>
    <mergeCell ref="L182:M182"/>
    <mergeCell ref="A207:A208"/>
    <mergeCell ref="A197:B197"/>
    <mergeCell ref="L197:M197"/>
    <mergeCell ref="A198:H198"/>
    <mergeCell ref="A199:B199"/>
    <mergeCell ref="L199:M199"/>
    <mergeCell ref="A200:B200"/>
    <mergeCell ref="L200:M200"/>
    <mergeCell ref="L193:M193"/>
    <mergeCell ref="A194:B194"/>
    <mergeCell ref="L194:M194"/>
    <mergeCell ref="A195:B195"/>
    <mergeCell ref="L195:M195"/>
    <mergeCell ref="L186:M186"/>
    <mergeCell ref="A187:B187"/>
    <mergeCell ref="L187:M187"/>
    <mergeCell ref="G182:H187"/>
    <mergeCell ref="A353:H353"/>
    <mergeCell ref="A350:H350"/>
    <mergeCell ref="A215:B215"/>
    <mergeCell ref="A160:B160"/>
    <mergeCell ref="D207:D208"/>
    <mergeCell ref="E207:E208"/>
    <mergeCell ref="G207:H208"/>
    <mergeCell ref="A93:B93"/>
    <mergeCell ref="F141:H141"/>
    <mergeCell ref="G156:H156"/>
    <mergeCell ref="A228:H228"/>
    <mergeCell ref="A229:B229"/>
    <mergeCell ref="A230:B230"/>
    <mergeCell ref="A231:B231"/>
    <mergeCell ref="A232:B232"/>
    <mergeCell ref="A233:B233"/>
    <mergeCell ref="A234:B234"/>
    <mergeCell ref="B207:B208"/>
    <mergeCell ref="B340:H340"/>
    <mergeCell ref="B341:H341"/>
    <mergeCell ref="B338:H338"/>
    <mergeCell ref="B334:H334"/>
    <mergeCell ref="A258:B258"/>
    <mergeCell ref="A255:H255"/>
    <mergeCell ref="A16:B16"/>
    <mergeCell ref="C16:H16"/>
    <mergeCell ref="E41:H41"/>
    <mergeCell ref="A41:D41"/>
    <mergeCell ref="A48:B48"/>
    <mergeCell ref="C48:E48"/>
    <mergeCell ref="G48:H48"/>
    <mergeCell ref="D55:H55"/>
    <mergeCell ref="C49:E49"/>
    <mergeCell ref="A44:D44"/>
    <mergeCell ref="A45:D45"/>
    <mergeCell ref="A46:H46"/>
    <mergeCell ref="G49:H49"/>
    <mergeCell ref="A21:D22"/>
    <mergeCell ref="C53:E53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A356:H359"/>
    <mergeCell ref="A355:B355"/>
    <mergeCell ref="E355:F355"/>
    <mergeCell ref="C355:D355"/>
    <mergeCell ref="G355:H355"/>
    <mergeCell ref="A154:H154"/>
    <mergeCell ref="A152:E152"/>
    <mergeCell ref="F152:H152"/>
    <mergeCell ref="A153:E153"/>
    <mergeCell ref="F153:H153"/>
    <mergeCell ref="A214:H214"/>
    <mergeCell ref="A224:B224"/>
    <mergeCell ref="A351:H351"/>
    <mergeCell ref="A159:H159"/>
    <mergeCell ref="A354:H354"/>
    <mergeCell ref="A352:H352"/>
    <mergeCell ref="B336:H336"/>
    <mergeCell ref="A331:H331"/>
    <mergeCell ref="A254:B254"/>
    <mergeCell ref="A348:H348"/>
    <mergeCell ref="A349:H349"/>
    <mergeCell ref="C161:D161"/>
    <mergeCell ref="E161:F161"/>
    <mergeCell ref="G161:H16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0:D10"/>
    <mergeCell ref="E10:H10"/>
    <mergeCell ref="C32:E32"/>
    <mergeCell ref="A33:B33"/>
    <mergeCell ref="C33:E33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53:B53"/>
    <mergeCell ref="A51:B52"/>
    <mergeCell ref="A36:H3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G51:H51"/>
    <mergeCell ref="C52:H52"/>
    <mergeCell ref="D62:H62"/>
    <mergeCell ref="F32:H32"/>
    <mergeCell ref="F33:H33"/>
    <mergeCell ref="A39:H39"/>
    <mergeCell ref="A63:C63"/>
    <mergeCell ref="A38:B38"/>
    <mergeCell ref="C38:H38"/>
    <mergeCell ref="F35:H35"/>
    <mergeCell ref="A37:B37"/>
    <mergeCell ref="C37:H37"/>
    <mergeCell ref="D61:H61"/>
    <mergeCell ref="D59:H59"/>
    <mergeCell ref="D57:H57"/>
    <mergeCell ref="A57:C57"/>
    <mergeCell ref="D58:H58"/>
    <mergeCell ref="A49:B49"/>
    <mergeCell ref="A54:H54"/>
    <mergeCell ref="A55:C55"/>
    <mergeCell ref="A56:C56"/>
    <mergeCell ref="D56:H56"/>
    <mergeCell ref="G53:H53"/>
    <mergeCell ref="D60:H60"/>
    <mergeCell ref="B333:H333"/>
    <mergeCell ref="B335:H335"/>
    <mergeCell ref="A225:B225"/>
    <mergeCell ref="A35:B35"/>
    <mergeCell ref="C35:E35"/>
    <mergeCell ref="A40:D40"/>
    <mergeCell ref="E40:H40"/>
    <mergeCell ref="A87:B87"/>
    <mergeCell ref="A90:B90"/>
    <mergeCell ref="A67:C67"/>
    <mergeCell ref="D67:H67"/>
    <mergeCell ref="A68:C68"/>
    <mergeCell ref="D68:H68"/>
    <mergeCell ref="A88:B88"/>
    <mergeCell ref="G87:H87"/>
    <mergeCell ref="A42:D42"/>
    <mergeCell ref="E42:H42"/>
    <mergeCell ref="E43:H43"/>
    <mergeCell ref="E44:H44"/>
    <mergeCell ref="E45:H45"/>
    <mergeCell ref="A43:D43"/>
    <mergeCell ref="A47:B47"/>
    <mergeCell ref="C47:H47"/>
    <mergeCell ref="C51:E51"/>
    <mergeCell ref="A287:B287"/>
    <mergeCell ref="A304:B304"/>
    <mergeCell ref="A307:B307"/>
    <mergeCell ref="B337:H337"/>
    <mergeCell ref="F142:H142"/>
    <mergeCell ref="A142:E142"/>
    <mergeCell ref="D170:D171"/>
    <mergeCell ref="A144:E144"/>
    <mergeCell ref="A175:B175"/>
    <mergeCell ref="A176:B176"/>
    <mergeCell ref="A177:B177"/>
    <mergeCell ref="A178:B178"/>
    <mergeCell ref="A145:E145"/>
    <mergeCell ref="A212:B212"/>
    <mergeCell ref="A146:E146"/>
    <mergeCell ref="F146:H146"/>
    <mergeCell ref="C156:D156"/>
    <mergeCell ref="E156:F156"/>
    <mergeCell ref="E160:F160"/>
    <mergeCell ref="A147:E147"/>
    <mergeCell ref="E162:F162"/>
    <mergeCell ref="G162:H162"/>
    <mergeCell ref="C160:D160"/>
    <mergeCell ref="E164:F164"/>
    <mergeCell ref="A193:B193"/>
    <mergeCell ref="C276:F276"/>
    <mergeCell ref="A271:B271"/>
    <mergeCell ref="A302:B302"/>
    <mergeCell ref="A303:B303"/>
    <mergeCell ref="A166:B166"/>
    <mergeCell ref="E166:F166"/>
    <mergeCell ref="A213:B213"/>
    <mergeCell ref="A172:H172"/>
    <mergeCell ref="A209:H209"/>
    <mergeCell ref="A218:B218"/>
    <mergeCell ref="G212:H213"/>
    <mergeCell ref="A185:B185"/>
    <mergeCell ref="G175:H180"/>
    <mergeCell ref="A301:B301"/>
    <mergeCell ref="A266:H266"/>
    <mergeCell ref="A289:B289"/>
    <mergeCell ref="A268:H268"/>
    <mergeCell ref="A191:B191"/>
    <mergeCell ref="A192:B192"/>
    <mergeCell ref="A174:H174"/>
    <mergeCell ref="E170:E171"/>
    <mergeCell ref="A296:B296"/>
    <mergeCell ref="A292:B292"/>
    <mergeCell ref="A247:B247"/>
    <mergeCell ref="A244:H244"/>
    <mergeCell ref="A227:B227"/>
    <mergeCell ref="A239:B239"/>
    <mergeCell ref="A240:B240"/>
    <mergeCell ref="A241:B241"/>
    <mergeCell ref="A309:B309"/>
    <mergeCell ref="A263:B263"/>
    <mergeCell ref="A274:B274"/>
    <mergeCell ref="A267:H267"/>
    <mergeCell ref="A305:B305"/>
    <mergeCell ref="A306:B306"/>
    <mergeCell ref="A249:B249"/>
    <mergeCell ref="G276:H280"/>
    <mergeCell ref="G270:H274"/>
    <mergeCell ref="A300:B300"/>
    <mergeCell ref="A264:B264"/>
    <mergeCell ref="A265:B265"/>
    <mergeCell ref="A308:B308"/>
    <mergeCell ref="C307:F307"/>
    <mergeCell ref="A293:B293"/>
    <mergeCell ref="A294:B294"/>
    <mergeCell ref="A295:B295"/>
    <mergeCell ref="A290:B290"/>
    <mergeCell ref="C166:D166"/>
    <mergeCell ref="B343:H343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276:B276"/>
    <mergeCell ref="A277:B277"/>
    <mergeCell ref="A278:B278"/>
    <mergeCell ref="A279:B279"/>
    <mergeCell ref="A280:B280"/>
    <mergeCell ref="E163:F163"/>
    <mergeCell ref="G163:H163"/>
    <mergeCell ref="B332:H332"/>
    <mergeCell ref="A226:B226"/>
    <mergeCell ref="A259:B259"/>
    <mergeCell ref="A248:B248"/>
    <mergeCell ref="A102:B102"/>
    <mergeCell ref="A130:B130"/>
    <mergeCell ref="B342:H342"/>
    <mergeCell ref="B339:H339"/>
    <mergeCell ref="A129:B129"/>
    <mergeCell ref="E129:F129"/>
    <mergeCell ref="G129:H129"/>
    <mergeCell ref="A272:B272"/>
    <mergeCell ref="A273:B273"/>
    <mergeCell ref="G245:H254"/>
    <mergeCell ref="G236:H241"/>
    <mergeCell ref="G229:H234"/>
    <mergeCell ref="A256:B256"/>
    <mergeCell ref="A257:B257"/>
    <mergeCell ref="A260:B260"/>
    <mergeCell ref="A250:B250"/>
    <mergeCell ref="A251:B251"/>
    <mergeCell ref="A252:B252"/>
    <mergeCell ref="A253:B253"/>
    <mergeCell ref="A297:H297"/>
    <mergeCell ref="A298:B298"/>
    <mergeCell ref="G298:H309"/>
    <mergeCell ref="A299:B299"/>
    <mergeCell ref="A288:B288"/>
    <mergeCell ref="E87:F87"/>
    <mergeCell ref="A66:C66"/>
    <mergeCell ref="D66:H66"/>
    <mergeCell ref="A69:C69"/>
    <mergeCell ref="D69:H69"/>
    <mergeCell ref="A86:B86"/>
    <mergeCell ref="A84:B84"/>
    <mergeCell ref="C84:H84"/>
    <mergeCell ref="C86:H86"/>
    <mergeCell ref="G74:H83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169:H169"/>
    <mergeCell ref="B170:B171"/>
    <mergeCell ref="A170:A171"/>
    <mergeCell ref="A291:B291"/>
    <mergeCell ref="A238:B238"/>
    <mergeCell ref="C238:F238"/>
    <mergeCell ref="A186:B186"/>
    <mergeCell ref="G285:H296"/>
    <mergeCell ref="A281:H281"/>
    <mergeCell ref="A282:H282"/>
    <mergeCell ref="A283:H283"/>
    <mergeCell ref="A284:H284"/>
    <mergeCell ref="A285:B285"/>
    <mergeCell ref="A286:B286"/>
    <mergeCell ref="A275:H275"/>
    <mergeCell ref="A269:H269"/>
    <mergeCell ref="A270:B270"/>
    <mergeCell ref="A216:B216"/>
    <mergeCell ref="A217:B217"/>
    <mergeCell ref="A237:B237"/>
    <mergeCell ref="A261:B261"/>
    <mergeCell ref="A262:B262"/>
    <mergeCell ref="G215:H220"/>
    <mergeCell ref="A220:B220"/>
    <mergeCell ref="G256:H265"/>
    <mergeCell ref="L183:M183"/>
    <mergeCell ref="L213:M213"/>
    <mergeCell ref="L184:M184"/>
    <mergeCell ref="L185:M185"/>
    <mergeCell ref="A184:B184"/>
    <mergeCell ref="A206:H206"/>
    <mergeCell ref="L214:M214"/>
    <mergeCell ref="A223:B223"/>
    <mergeCell ref="G222:H227"/>
    <mergeCell ref="C224:F224"/>
    <mergeCell ref="A221:H221"/>
    <mergeCell ref="C261:F261"/>
    <mergeCell ref="L212:M212"/>
    <mergeCell ref="L196:M196"/>
    <mergeCell ref="L191:M191"/>
    <mergeCell ref="A222:B222"/>
    <mergeCell ref="A201:B201"/>
    <mergeCell ref="A219:B219"/>
    <mergeCell ref="A196:B196"/>
    <mergeCell ref="A242:H242"/>
    <mergeCell ref="A243:H243"/>
    <mergeCell ref="A245:B245"/>
    <mergeCell ref="A246:B246"/>
    <mergeCell ref="A112:B112"/>
    <mergeCell ref="C112:H112"/>
    <mergeCell ref="A114:B114"/>
    <mergeCell ref="C114:H114"/>
    <mergeCell ref="A126:B126"/>
    <mergeCell ref="C126:H126"/>
    <mergeCell ref="L228:M228"/>
    <mergeCell ref="A235:H235"/>
    <mergeCell ref="A236:B236"/>
    <mergeCell ref="C155:D155"/>
    <mergeCell ref="F151:H151"/>
    <mergeCell ref="F149:H149"/>
    <mergeCell ref="G155:H155"/>
    <mergeCell ref="A150:E150"/>
    <mergeCell ref="A149:E149"/>
    <mergeCell ref="F144:H144"/>
    <mergeCell ref="A167:B167"/>
    <mergeCell ref="C167:D167"/>
    <mergeCell ref="G164:H164"/>
    <mergeCell ref="F145:H145"/>
    <mergeCell ref="E155:F155"/>
    <mergeCell ref="A155:B155"/>
    <mergeCell ref="F148:H148"/>
    <mergeCell ref="G160:H160"/>
    <mergeCell ref="A50:B50"/>
    <mergeCell ref="C50:E50"/>
    <mergeCell ref="G50:H50"/>
    <mergeCell ref="A330:H330"/>
    <mergeCell ref="B346:H346"/>
    <mergeCell ref="B347:H347"/>
    <mergeCell ref="A98:B98"/>
    <mergeCell ref="C98:H98"/>
    <mergeCell ref="A100:B100"/>
    <mergeCell ref="C100:H100"/>
    <mergeCell ref="A101:B101"/>
    <mergeCell ref="E101:F101"/>
    <mergeCell ref="G101:H101"/>
    <mergeCell ref="E130:F139"/>
    <mergeCell ref="G130:H139"/>
    <mergeCell ref="A131:B131"/>
    <mergeCell ref="A132:B132"/>
    <mergeCell ref="A118:B118"/>
    <mergeCell ref="A119:B119"/>
    <mergeCell ref="A120:B120"/>
    <mergeCell ref="A121:B121"/>
    <mergeCell ref="A122:B122"/>
    <mergeCell ref="A123:B123"/>
    <mergeCell ref="A124:B12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59" max="16383" man="1"/>
    <brk id="397" max="16383" man="1"/>
    <brk id="4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J27" sqref="J27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1"/>
  <sheetViews>
    <sheetView topLeftCell="C19" zoomScale="85" zoomScaleNormal="85" workbookViewId="0">
      <selection activeCell="D20" sqref="D20:D25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0" t="s">
        <v>108</v>
      </c>
      <c r="C3" s="220"/>
      <c r="D3" s="220"/>
      <c r="E3" s="220"/>
      <c r="F3" s="220"/>
      <c r="G3" s="220"/>
      <c r="H3" s="220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  <row r="20" spans="2:4" ht="20.5" x14ac:dyDescent="0.35">
      <c r="B20" s="60">
        <f>(2.9*4.425+2.15*2.38+2.9*2.9+2*(1.975*1.225)+2.8*2.75+2.3*0.9)*(10.764)</f>
        <v>440.98224300000004</v>
      </c>
      <c r="C20" s="59"/>
      <c r="D20" s="62">
        <f>(84.54-(3.05*1.225+0.925*2.125))*(10.764)</f>
        <v>848.61357750000002</v>
      </c>
    </row>
    <row r="21" spans="2:4" ht="20.5" x14ac:dyDescent="0.35">
      <c r="B21" s="60">
        <f>(3.05*4.575+2.125*2.6+3.05*3.05+1.375*2.125+1.375*1.225+1.475*0.9+1.525*0.925)*(10.764)</f>
        <v>388.85622749999999</v>
      </c>
      <c r="C21" s="59"/>
      <c r="D21" s="62">
        <f>(62.24-(2.8*1.225))*(10.764)</f>
        <v>633.03084000000001</v>
      </c>
    </row>
    <row r="22" spans="2:4" ht="20.5" x14ac:dyDescent="0.35">
      <c r="B22" s="60">
        <f>(3.05*4.575+2.125*2.6+3.05*3.05+1.375*2.125+1.475*0.9+1.375*1.225+1.525*0.925+2.5*0.925)*(10.764)</f>
        <v>413.74797749999999</v>
      </c>
      <c r="C22" s="59"/>
      <c r="D22" s="62">
        <f>(64.72-(2.8*1.225))*(10.764)</f>
        <v>659.72555999999997</v>
      </c>
    </row>
    <row r="23" spans="2:4" ht="20.5" x14ac:dyDescent="0.35">
      <c r="B23" s="60">
        <f>(3.05*4.575+2.125*2.6+3.05*3.05+1.375*2.125+1.475*0.9+1.375*1.225+1.525*0.925)*(10.764)</f>
        <v>388.85622749999999</v>
      </c>
      <c r="C23" s="59"/>
      <c r="D23" s="62">
        <f>(84.99-(3.05*1.225+0.925*2.125+3.3*0.98))*(10.764)</f>
        <v>818.64660149999997</v>
      </c>
    </row>
    <row r="24" spans="2:4" ht="20.5" x14ac:dyDescent="0.35">
      <c r="B24" s="60">
        <f>(3.05*4.575+2.125*2.6+3.05*3.05+1.375*2.125+1.475*0.9+1.375*1.225+1.525*0.925)*(10.764)</f>
        <v>388.85622749999999</v>
      </c>
      <c r="C24" s="59"/>
      <c r="D24" s="62">
        <f>(74.67-(2.75*1.225+0.925*1.525))*(10.764)</f>
        <v>752.30268749999993</v>
      </c>
    </row>
    <row r="25" spans="2:4" ht="20.5" x14ac:dyDescent="0.35">
      <c r="B25" s="60">
        <f>(2.9*4.675+2.45*2.125+3.05*3.05+2.75*2.9+1.225*1.975+2.05*1.225+0.9*1.225)*(10.764)</f>
        <v>452.88857249999995</v>
      </c>
      <c r="C25" s="59"/>
      <c r="D25" s="62">
        <f>(74.67-(2.75*1.225+0.925*1.525))*(10.764)</f>
        <v>752.30268749999993</v>
      </c>
    </row>
    <row r="26" spans="2:4" ht="20.5" x14ac:dyDescent="0.35">
      <c r="B26" s="60">
        <f>(2.9*4.675+2.45*2.125+3.05*3.05+2.75*2.9+1.225*1.975+2.05*1.225+0.9*1.225)*(10.764)</f>
        <v>452.88857249999995</v>
      </c>
      <c r="C26" s="59"/>
      <c r="D26" s="62">
        <f>(112.18)*(10.764)</f>
        <v>1207.5055199999999</v>
      </c>
    </row>
    <row r="27" spans="2:4" ht="20.5" x14ac:dyDescent="0.35">
      <c r="B27" s="60">
        <f>(1.075*0.925+3.05*5.13+2.125*2.75+2*(1.375*2.125)+3.05*3.65+3.05*3.05+3.05*0.9+1.625*0.925+2.85*0.995)*(10.764)</f>
        <v>601.13979899999981</v>
      </c>
      <c r="C27" s="59"/>
    </row>
    <row r="28" spans="2:4" ht="20.5" x14ac:dyDescent="0.35">
      <c r="B28" s="60">
        <f>(4.425*2.9+2.125*2.45+2.75*2.75+3.05*3.05+1.975*1.225+1.225*2.05+1*0.9)*(10.764)</f>
        <v>438.46481249999999</v>
      </c>
      <c r="C28" s="59"/>
    </row>
    <row r="29" spans="2:4" ht="20.5" x14ac:dyDescent="0.35">
      <c r="B29" s="60">
        <f>(4.425*2.9+2.125*2.45+2.75*2.75+3.05*3.05+1.975*1.225+1.225*2.05+1*0.9)*(10.764)</f>
        <v>438.46481249999999</v>
      </c>
      <c r="C29" s="59"/>
    </row>
    <row r="30" spans="2:4" ht="20.5" x14ac:dyDescent="0.35">
      <c r="B30" s="60">
        <f>(1.075*0.925+3.05*5.13+2.125*2.75+3.05*3.05+3.05*3.65+2*(2.125*1.375)+3.05*0.9+1.625*0.925)*(10.764)</f>
        <v>570.61578599999984</v>
      </c>
      <c r="C30" s="59"/>
    </row>
    <row r="31" spans="2:4" ht="20.5" x14ac:dyDescent="0.35">
      <c r="B31" s="60">
        <f>(2.9*4.425+2.15*2.38+2.9*2.9+2*(1.975*1.225)+2.75*2.75+2.3*0.9)*(10.764)</f>
        <v>439.50219299999998</v>
      </c>
      <c r="C31" s="59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Rera Carpet Area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2025-08-12T11:50:10Z</cp:lastPrinted>
  <dcterms:created xsi:type="dcterms:W3CDTF">2019-07-16T09:29:46Z</dcterms:created>
  <dcterms:modified xsi:type="dcterms:W3CDTF">2025-09-30T12:40:24Z</dcterms:modified>
</cp:coreProperties>
</file>