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Oct 2025\01-10-2025\"/>
    </mc:Choice>
  </mc:AlternateContent>
  <bookViews>
    <workbookView xWindow="0" yWindow="0" windowWidth="19200" windowHeight="6640" tabRatio="725"/>
  </bookViews>
  <sheets>
    <sheet name="Report" sheetId="1" r:id="rId1"/>
    <sheet name="C% for old Flormat" sheetId="8" r:id="rId2"/>
    <sheet name="C% for new format" sheetId="6" r:id="rId3"/>
    <sheet name="valuation" sheetId="5" r:id="rId4"/>
    <sheet name="Note" sheetId="4" r:id="rId5"/>
  </sheets>
  <definedNames>
    <definedName name="_xlnm.Print_Area" localSheetId="0">Report!$A$1:$H$1692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1" i="1" l="1"/>
  <c r="J145" i="1" l="1"/>
  <c r="J144" i="1"/>
  <c r="J143" i="1"/>
  <c r="J142" i="1"/>
  <c r="C141" i="1"/>
  <c r="J89" i="1"/>
  <c r="J88" i="1"/>
  <c r="J87" i="1"/>
  <c r="J86" i="1"/>
  <c r="C85" i="1"/>
  <c r="C87" i="1" s="1"/>
  <c r="H135" i="1"/>
  <c r="H79" i="1"/>
  <c r="D147" i="1" l="1"/>
  <c r="D143" i="1"/>
  <c r="J140" i="1"/>
  <c r="J141" i="1" s="1"/>
  <c r="J146" i="1" s="1"/>
  <c r="J147" i="1" s="1"/>
  <c r="C139" i="1" s="1"/>
  <c r="D142" i="1"/>
  <c r="D140" i="1"/>
  <c r="D146" i="1"/>
  <c r="J139" i="1"/>
  <c r="C138" i="1" s="1"/>
  <c r="D138" i="1" s="1"/>
  <c r="J137" i="1"/>
  <c r="J138" i="1"/>
  <c r="D144" i="1"/>
  <c r="D145" i="1"/>
  <c r="D141" i="1"/>
  <c r="D84" i="1"/>
  <c r="D90" i="1"/>
  <c r="J83" i="1"/>
  <c r="C82" i="1" s="1"/>
  <c r="J81" i="1"/>
  <c r="J82" i="1"/>
  <c r="D88" i="1"/>
  <c r="D85" i="1"/>
  <c r="D91" i="1"/>
  <c r="J84" i="1"/>
  <c r="J85" i="1" s="1"/>
  <c r="J90" i="1" s="1"/>
  <c r="J91" i="1" s="1"/>
  <c r="C83" i="1" s="1"/>
  <c r="D89" i="1"/>
  <c r="D87" i="1"/>
  <c r="C86" i="1"/>
  <c r="D86" i="1" s="1"/>
  <c r="J131" i="1"/>
  <c r="J130" i="1"/>
  <c r="J129" i="1"/>
  <c r="J128" i="1"/>
  <c r="C127" i="1"/>
  <c r="H121" i="1"/>
  <c r="E138" i="1" l="1"/>
  <c r="I134" i="1" s="1"/>
  <c r="C136" i="1" s="1"/>
  <c r="D139" i="1"/>
  <c r="G138" i="1"/>
  <c r="E82" i="1"/>
  <c r="D83" i="1"/>
  <c r="G82" i="1"/>
  <c r="D82" i="1"/>
  <c r="D128" i="1"/>
  <c r="D131" i="1"/>
  <c r="D130" i="1"/>
  <c r="D127" i="1"/>
  <c r="D133" i="1"/>
  <c r="D129" i="1"/>
  <c r="J126" i="1"/>
  <c r="J127" i="1" s="1"/>
  <c r="J132" i="1" s="1"/>
  <c r="J133" i="1" s="1"/>
  <c r="C125" i="1" s="1"/>
  <c r="D126" i="1"/>
  <c r="D132" i="1"/>
  <c r="J125" i="1"/>
  <c r="C124" i="1" s="1"/>
  <c r="D124" i="1" s="1"/>
  <c r="J123" i="1"/>
  <c r="J124" i="1"/>
  <c r="J173" i="1"/>
  <c r="J172" i="1"/>
  <c r="J171" i="1"/>
  <c r="J170" i="1"/>
  <c r="C169" i="1"/>
  <c r="H163" i="1"/>
  <c r="I78" i="1" l="1"/>
  <c r="C80" i="1" s="1"/>
  <c r="E124" i="1"/>
  <c r="I120" i="1" s="1"/>
  <c r="C122" i="1" s="1"/>
  <c r="D125" i="1"/>
  <c r="G124" i="1"/>
  <c r="C170" i="1"/>
  <c r="D170" i="1" s="1"/>
  <c r="J166" i="1"/>
  <c r="D172" i="1"/>
  <c r="D169" i="1"/>
  <c r="D175" i="1"/>
  <c r="D171" i="1"/>
  <c r="J168" i="1"/>
  <c r="J169" i="1" s="1"/>
  <c r="J174" i="1" s="1"/>
  <c r="J175" i="1" s="1"/>
  <c r="D168" i="1"/>
  <c r="D174" i="1"/>
  <c r="J167" i="1"/>
  <c r="C166" i="1" s="1"/>
  <c r="J165" i="1"/>
  <c r="D173" i="1"/>
  <c r="C99" i="1"/>
  <c r="C101" i="1" s="1"/>
  <c r="C71" i="1"/>
  <c r="C72" i="1" s="1"/>
  <c r="C73" i="1" l="1"/>
  <c r="C167" i="1"/>
  <c r="E166" i="1" s="1"/>
  <c r="J176" i="1"/>
  <c r="D166" i="1"/>
  <c r="C100" i="1"/>
  <c r="C155" i="1"/>
  <c r="J103" i="1"/>
  <c r="J102" i="1"/>
  <c r="J101" i="1"/>
  <c r="J100" i="1"/>
  <c r="H93" i="1"/>
  <c r="G166" i="1" l="1"/>
  <c r="D167" i="1"/>
  <c r="I162" i="1"/>
  <c r="C164" i="1" s="1"/>
  <c r="J98" i="1"/>
  <c r="J99" i="1" s="1"/>
  <c r="J104" i="1" s="1"/>
  <c r="J105" i="1" s="1"/>
  <c r="C97" i="1" s="1"/>
  <c r="D102" i="1"/>
  <c r="D98" i="1"/>
  <c r="J97" i="1"/>
  <c r="C96" i="1" s="1"/>
  <c r="D96" i="1" s="1"/>
  <c r="J95" i="1"/>
  <c r="D105" i="1"/>
  <c r="D101" i="1"/>
  <c r="D104" i="1"/>
  <c r="D100" i="1"/>
  <c r="J96" i="1"/>
  <c r="D103" i="1"/>
  <c r="D99" i="1"/>
  <c r="C113" i="1"/>
  <c r="E96" i="1" l="1"/>
  <c r="I92" i="1" s="1"/>
  <c r="C94" i="1" s="1"/>
  <c r="D97" i="1"/>
  <c r="G96" i="1"/>
  <c r="J159" i="1"/>
  <c r="J158" i="1"/>
  <c r="J157" i="1"/>
  <c r="J156" i="1"/>
  <c r="H149" i="1"/>
  <c r="J153" i="1" l="1"/>
  <c r="C152" i="1" s="1"/>
  <c r="D152" i="1" s="1"/>
  <c r="J151" i="1"/>
  <c r="D161" i="1"/>
  <c r="D159" i="1"/>
  <c r="D157" i="1"/>
  <c r="D155" i="1"/>
  <c r="J154" i="1"/>
  <c r="J155" i="1" s="1"/>
  <c r="J160" i="1" s="1"/>
  <c r="J161" i="1" s="1"/>
  <c r="C153" i="1" s="1"/>
  <c r="D160" i="1"/>
  <c r="D158" i="1"/>
  <c r="D156" i="1"/>
  <c r="D154" i="1"/>
  <c r="J152" i="1"/>
  <c r="E152" i="1" l="1"/>
  <c r="D153" i="1"/>
  <c r="G152" i="1"/>
  <c r="G176" i="1" s="1"/>
  <c r="J117" i="1"/>
  <c r="J116" i="1"/>
  <c r="J115" i="1"/>
  <c r="J114" i="1"/>
  <c r="H107" i="1"/>
  <c r="I148" i="1" l="1"/>
  <c r="C150" i="1" s="1"/>
  <c r="C176" i="1"/>
  <c r="D118" i="1"/>
  <c r="D114" i="1"/>
  <c r="J110" i="1"/>
  <c r="D117" i="1"/>
  <c r="D113" i="1"/>
  <c r="J112" i="1"/>
  <c r="J113" i="1" s="1"/>
  <c r="J118" i="1" s="1"/>
  <c r="J119" i="1" s="1"/>
  <c r="C111" i="1" s="1"/>
  <c r="D116" i="1"/>
  <c r="D112" i="1"/>
  <c r="J111" i="1"/>
  <c r="C110" i="1" s="1"/>
  <c r="D119" i="1"/>
  <c r="J109" i="1"/>
  <c r="D115" i="1"/>
  <c r="C184" i="1"/>
  <c r="C198" i="1"/>
  <c r="E110" i="1" l="1"/>
  <c r="D111" i="1"/>
  <c r="G110" i="1"/>
  <c r="D110" i="1"/>
  <c r="D1255" i="1"/>
  <c r="F1255" i="1" s="1"/>
  <c r="D1254" i="1"/>
  <c r="F1254" i="1" s="1"/>
  <c r="D1253" i="1"/>
  <c r="F1253" i="1" s="1"/>
  <c r="D1251" i="1"/>
  <c r="F1251" i="1" s="1"/>
  <c r="D1250" i="1"/>
  <c r="F1250" i="1" s="1"/>
  <c r="D1249" i="1"/>
  <c r="F1249" i="1" s="1"/>
  <c r="D1248" i="1"/>
  <c r="F1248" i="1" s="1"/>
  <c r="D1247" i="1"/>
  <c r="F1247" i="1" s="1"/>
  <c r="D1246" i="1"/>
  <c r="F1246" i="1" s="1"/>
  <c r="D1245" i="1"/>
  <c r="F1245" i="1" s="1"/>
  <c r="D1244" i="1"/>
  <c r="F1244" i="1" s="1"/>
  <c r="D1242" i="1"/>
  <c r="F1242" i="1" s="1"/>
  <c r="D1241" i="1"/>
  <c r="F1241" i="1" s="1"/>
  <c r="D1240" i="1"/>
  <c r="F1240" i="1" s="1"/>
  <c r="D1239" i="1"/>
  <c r="F1239" i="1" s="1"/>
  <c r="D1238" i="1"/>
  <c r="F1238" i="1" s="1"/>
  <c r="D1237" i="1"/>
  <c r="F1237" i="1" s="1"/>
  <c r="D1235" i="1"/>
  <c r="F1235" i="1" s="1"/>
  <c r="D1234" i="1"/>
  <c r="F1234" i="1" s="1"/>
  <c r="D1233" i="1"/>
  <c r="F1233" i="1" s="1"/>
  <c r="D1232" i="1"/>
  <c r="F1232" i="1" s="1"/>
  <c r="D1231" i="1"/>
  <c r="F1231" i="1" s="1"/>
  <c r="D1230" i="1"/>
  <c r="F1230" i="1" s="1"/>
  <c r="D1229" i="1"/>
  <c r="F1229" i="1" s="1"/>
  <c r="D1228" i="1"/>
  <c r="F1228" i="1" s="1"/>
  <c r="D1227" i="1"/>
  <c r="F1227" i="1" s="1"/>
  <c r="D1226" i="1"/>
  <c r="F1226" i="1" s="1"/>
  <c r="D1225" i="1"/>
  <c r="F1225" i="1" s="1"/>
  <c r="D1224" i="1"/>
  <c r="F1224" i="1" s="1"/>
  <c r="D1222" i="1"/>
  <c r="F1222" i="1" s="1"/>
  <c r="D1221" i="1"/>
  <c r="F1221" i="1" s="1"/>
  <c r="D1220" i="1"/>
  <c r="F1220" i="1" s="1"/>
  <c r="D1219" i="1"/>
  <c r="F1219" i="1" s="1"/>
  <c r="D1218" i="1"/>
  <c r="F1218" i="1" s="1"/>
  <c r="D1217" i="1"/>
  <c r="F1217" i="1" s="1"/>
  <c r="D1216" i="1"/>
  <c r="F1216" i="1" s="1"/>
  <c r="A1216" i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G1215" i="1"/>
  <c r="D1215" i="1"/>
  <c r="F1215" i="1" s="1"/>
  <c r="D1174" i="1"/>
  <c r="F1174" i="1" s="1"/>
  <c r="D1175" i="1"/>
  <c r="F1175" i="1" s="1"/>
  <c r="D1176" i="1"/>
  <c r="F1176" i="1" s="1"/>
  <c r="D1177" i="1"/>
  <c r="D1178" i="1"/>
  <c r="F1178" i="1" s="1"/>
  <c r="D1179" i="1"/>
  <c r="F1179" i="1" s="1"/>
  <c r="D1180" i="1"/>
  <c r="F1180" i="1" s="1"/>
  <c r="D1181" i="1"/>
  <c r="F1181" i="1" s="1"/>
  <c r="D1182" i="1"/>
  <c r="F1182" i="1" s="1"/>
  <c r="D1183" i="1"/>
  <c r="D1184" i="1"/>
  <c r="F1184" i="1" s="1"/>
  <c r="D1185" i="1"/>
  <c r="F1185" i="1" s="1"/>
  <c r="D1186" i="1"/>
  <c r="F1186" i="1" s="1"/>
  <c r="D1187" i="1"/>
  <c r="F1187" i="1" s="1"/>
  <c r="D1188" i="1"/>
  <c r="F1188" i="1" s="1"/>
  <c r="D1189" i="1"/>
  <c r="D1190" i="1"/>
  <c r="F1190" i="1" s="1"/>
  <c r="D1191" i="1"/>
  <c r="F1191" i="1" s="1"/>
  <c r="D1192" i="1"/>
  <c r="F1192" i="1" s="1"/>
  <c r="D1193" i="1"/>
  <c r="F1193" i="1" s="1"/>
  <c r="D1194" i="1"/>
  <c r="F1194" i="1" s="1"/>
  <c r="D1195" i="1"/>
  <c r="D1196" i="1"/>
  <c r="F1196" i="1" s="1"/>
  <c r="D1197" i="1"/>
  <c r="F1197" i="1" s="1"/>
  <c r="D1198" i="1"/>
  <c r="F1198" i="1" s="1"/>
  <c r="D1199" i="1"/>
  <c r="F1199" i="1" s="1"/>
  <c r="D1200" i="1"/>
  <c r="F1200" i="1" s="1"/>
  <c r="D1201" i="1"/>
  <c r="F1201" i="1" s="1"/>
  <c r="D1202" i="1"/>
  <c r="F1202" i="1" s="1"/>
  <c r="D1203" i="1"/>
  <c r="F1203" i="1" s="1"/>
  <c r="D1204" i="1"/>
  <c r="F1204" i="1" s="1"/>
  <c r="D1205" i="1"/>
  <c r="F1205" i="1" s="1"/>
  <c r="D1206" i="1"/>
  <c r="F1206" i="1" s="1"/>
  <c r="D1207" i="1"/>
  <c r="D1208" i="1"/>
  <c r="F1208" i="1" s="1"/>
  <c r="D1209" i="1"/>
  <c r="F1209" i="1" s="1"/>
  <c r="D1210" i="1"/>
  <c r="F1210" i="1" s="1"/>
  <c r="D1211" i="1"/>
  <c r="F1211" i="1" s="1"/>
  <c r="D1212" i="1"/>
  <c r="F1212" i="1" s="1"/>
  <c r="D1213" i="1"/>
  <c r="F1213" i="1" s="1"/>
  <c r="D1173" i="1"/>
  <c r="F1173" i="1" s="1"/>
  <c r="A1174" i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G1173" i="1"/>
  <c r="E1171" i="1"/>
  <c r="E1170" i="1"/>
  <c r="E1169" i="1"/>
  <c r="E1168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D1171" i="1"/>
  <c r="D1170" i="1"/>
  <c r="D1169" i="1"/>
  <c r="D1168" i="1"/>
  <c r="D1167" i="1"/>
  <c r="F1167" i="1" s="1"/>
  <c r="D1166" i="1"/>
  <c r="F1166" i="1" s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A1132" i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G1131" i="1"/>
  <c r="D1127" i="1"/>
  <c r="F1127" i="1" s="1"/>
  <c r="D1126" i="1"/>
  <c r="F1126" i="1" s="1"/>
  <c r="D1125" i="1"/>
  <c r="F1125" i="1" s="1"/>
  <c r="D1124" i="1"/>
  <c r="F1124" i="1" s="1"/>
  <c r="D1123" i="1"/>
  <c r="F1123" i="1" s="1"/>
  <c r="D1122" i="1"/>
  <c r="F1122" i="1" s="1"/>
  <c r="D1121" i="1"/>
  <c r="F1121" i="1" s="1"/>
  <c r="D1120" i="1"/>
  <c r="F1120" i="1" s="1"/>
  <c r="D1119" i="1"/>
  <c r="F1119" i="1" s="1"/>
  <c r="D1118" i="1"/>
  <c r="F1118" i="1" s="1"/>
  <c r="D1117" i="1"/>
  <c r="F1117" i="1" s="1"/>
  <c r="D1116" i="1"/>
  <c r="F1116" i="1" s="1"/>
  <c r="D1115" i="1"/>
  <c r="F1115" i="1" s="1"/>
  <c r="D1111" i="1"/>
  <c r="F1111" i="1" s="1"/>
  <c r="D1110" i="1"/>
  <c r="F1110" i="1" s="1"/>
  <c r="D1109" i="1"/>
  <c r="F1109" i="1" s="1"/>
  <c r="D1108" i="1"/>
  <c r="F1108" i="1" s="1"/>
  <c r="D1107" i="1"/>
  <c r="F1107" i="1" s="1"/>
  <c r="D1106" i="1"/>
  <c r="F1106" i="1" s="1"/>
  <c r="D1105" i="1"/>
  <c r="F1105" i="1" s="1"/>
  <c r="D1104" i="1"/>
  <c r="F1104" i="1" s="1"/>
  <c r="D1103" i="1"/>
  <c r="F1103" i="1" s="1"/>
  <c r="D1102" i="1"/>
  <c r="F1102" i="1" s="1"/>
  <c r="D1101" i="1"/>
  <c r="F1101" i="1" s="1"/>
  <c r="A1101" i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I1100" i="1"/>
  <c r="G1100" i="1"/>
  <c r="D1100" i="1"/>
  <c r="F1100" i="1" s="1"/>
  <c r="D1098" i="1"/>
  <c r="F1098" i="1" s="1"/>
  <c r="D1097" i="1"/>
  <c r="F1097" i="1" s="1"/>
  <c r="D1096" i="1"/>
  <c r="F1096" i="1" s="1"/>
  <c r="D1095" i="1"/>
  <c r="F1095" i="1" s="1"/>
  <c r="D1094" i="1"/>
  <c r="F1094" i="1" s="1"/>
  <c r="D1093" i="1"/>
  <c r="F1093" i="1" s="1"/>
  <c r="D1092" i="1"/>
  <c r="F1092" i="1" s="1"/>
  <c r="D1091" i="1"/>
  <c r="F1091" i="1" s="1"/>
  <c r="D1090" i="1"/>
  <c r="F1090" i="1" s="1"/>
  <c r="D1089" i="1"/>
  <c r="F1089" i="1" s="1"/>
  <c r="D1088" i="1"/>
  <c r="F1088" i="1" s="1"/>
  <c r="D1087" i="1"/>
  <c r="F1087" i="1" s="1"/>
  <c r="D1086" i="1"/>
  <c r="F1086" i="1" s="1"/>
  <c r="D1085" i="1"/>
  <c r="F1085" i="1" s="1"/>
  <c r="D1084" i="1"/>
  <c r="F1084" i="1" s="1"/>
  <c r="D1083" i="1"/>
  <c r="F1083" i="1" s="1"/>
  <c r="D1082" i="1"/>
  <c r="F1082" i="1" s="1"/>
  <c r="D1081" i="1"/>
  <c r="F1081" i="1" s="1"/>
  <c r="D1080" i="1"/>
  <c r="F1080" i="1" s="1"/>
  <c r="D1079" i="1"/>
  <c r="F1079" i="1" s="1"/>
  <c r="D1078" i="1"/>
  <c r="F1078" i="1" s="1"/>
  <c r="D1077" i="1"/>
  <c r="F1077" i="1" s="1"/>
  <c r="D1076" i="1"/>
  <c r="F1076" i="1" s="1"/>
  <c r="D1075" i="1"/>
  <c r="F1075" i="1" s="1"/>
  <c r="D1074" i="1"/>
  <c r="F1074" i="1" s="1"/>
  <c r="D1073" i="1"/>
  <c r="F1073" i="1" s="1"/>
  <c r="D1072" i="1"/>
  <c r="F1072" i="1" s="1"/>
  <c r="D1071" i="1"/>
  <c r="F1071" i="1" s="1"/>
  <c r="A1072" i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I1071" i="1"/>
  <c r="G1071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G1042" i="1"/>
  <c r="A1043" i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I1042" i="1"/>
  <c r="D1039" i="1"/>
  <c r="F1039" i="1" s="1"/>
  <c r="D1038" i="1"/>
  <c r="F1038" i="1" s="1"/>
  <c r="D1037" i="1"/>
  <c r="F1037" i="1" s="1"/>
  <c r="D1036" i="1"/>
  <c r="F1036" i="1" s="1"/>
  <c r="D1035" i="1"/>
  <c r="F1035" i="1" s="1"/>
  <c r="D1034" i="1"/>
  <c r="F1034" i="1" s="1"/>
  <c r="D1032" i="1"/>
  <c r="F1032" i="1" s="1"/>
  <c r="D1031" i="1"/>
  <c r="F1031" i="1" s="1"/>
  <c r="D1030" i="1"/>
  <c r="F1030" i="1" s="1"/>
  <c r="D1029" i="1"/>
  <c r="F1029" i="1" s="1"/>
  <c r="D1028" i="1"/>
  <c r="F1028" i="1" s="1"/>
  <c r="D1027" i="1"/>
  <c r="F1027" i="1" s="1"/>
  <c r="D1025" i="1"/>
  <c r="F1025" i="1" s="1"/>
  <c r="D1024" i="1"/>
  <c r="F1024" i="1" s="1"/>
  <c r="D1023" i="1"/>
  <c r="F1023" i="1" s="1"/>
  <c r="D1022" i="1"/>
  <c r="F1022" i="1" s="1"/>
  <c r="D1021" i="1"/>
  <c r="F1021" i="1" s="1"/>
  <c r="D1020" i="1"/>
  <c r="F1020" i="1" s="1"/>
  <c r="D1019" i="1"/>
  <c r="F1019" i="1" s="1"/>
  <c r="D1018" i="1"/>
  <c r="F1018" i="1" s="1"/>
  <c r="D1017" i="1"/>
  <c r="F1017" i="1" s="1"/>
  <c r="D1016" i="1"/>
  <c r="F1016" i="1" s="1"/>
  <c r="D1015" i="1"/>
  <c r="F1015" i="1" s="1"/>
  <c r="D1014" i="1"/>
  <c r="F1014" i="1" s="1"/>
  <c r="D1013" i="1"/>
  <c r="F1013" i="1" s="1"/>
  <c r="D1012" i="1"/>
  <c r="F1012" i="1" s="1"/>
  <c r="D1011" i="1"/>
  <c r="F1011" i="1" s="1"/>
  <c r="D1010" i="1"/>
  <c r="F1010" i="1" s="1"/>
  <c r="D1007" i="1"/>
  <c r="F1007" i="1" s="1"/>
  <c r="D1006" i="1"/>
  <c r="F1006" i="1" s="1"/>
  <c r="D1005" i="1"/>
  <c r="F1005" i="1" s="1"/>
  <c r="A1005" i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I1004" i="1"/>
  <c r="G1004" i="1"/>
  <c r="D1004" i="1"/>
  <c r="F1004" i="1" s="1"/>
  <c r="D968" i="1"/>
  <c r="F968" i="1" s="1"/>
  <c r="D969" i="1"/>
  <c r="F969" i="1" s="1"/>
  <c r="D970" i="1"/>
  <c r="F970" i="1" s="1"/>
  <c r="D971" i="1"/>
  <c r="F971" i="1" s="1"/>
  <c r="D972" i="1"/>
  <c r="F972" i="1" s="1"/>
  <c r="D973" i="1"/>
  <c r="F973" i="1" s="1"/>
  <c r="D974" i="1"/>
  <c r="F974" i="1" s="1"/>
  <c r="D975" i="1"/>
  <c r="F975" i="1" s="1"/>
  <c r="D976" i="1"/>
  <c r="F976" i="1" s="1"/>
  <c r="D977" i="1"/>
  <c r="F977" i="1" s="1"/>
  <c r="D978" i="1"/>
  <c r="F978" i="1" s="1"/>
  <c r="D979" i="1"/>
  <c r="F979" i="1" s="1"/>
  <c r="D980" i="1"/>
  <c r="F980" i="1" s="1"/>
  <c r="D981" i="1"/>
  <c r="F981" i="1" s="1"/>
  <c r="D982" i="1"/>
  <c r="F982" i="1" s="1"/>
  <c r="D983" i="1"/>
  <c r="F983" i="1" s="1"/>
  <c r="D984" i="1"/>
  <c r="F984" i="1" s="1"/>
  <c r="D985" i="1"/>
  <c r="F985" i="1" s="1"/>
  <c r="D986" i="1"/>
  <c r="F986" i="1" s="1"/>
  <c r="D987" i="1"/>
  <c r="F987" i="1" s="1"/>
  <c r="D988" i="1"/>
  <c r="F988" i="1" s="1"/>
  <c r="D989" i="1"/>
  <c r="F989" i="1" s="1"/>
  <c r="D990" i="1"/>
  <c r="F990" i="1" s="1"/>
  <c r="D991" i="1"/>
  <c r="F991" i="1" s="1"/>
  <c r="D992" i="1"/>
  <c r="F992" i="1" s="1"/>
  <c r="D993" i="1"/>
  <c r="F993" i="1" s="1"/>
  <c r="D994" i="1"/>
  <c r="F994" i="1" s="1"/>
  <c r="D995" i="1"/>
  <c r="F995" i="1" s="1"/>
  <c r="D996" i="1"/>
  <c r="F996" i="1" s="1"/>
  <c r="D997" i="1"/>
  <c r="F997" i="1" s="1"/>
  <c r="D998" i="1"/>
  <c r="F998" i="1" s="1"/>
  <c r="D999" i="1"/>
  <c r="F999" i="1" s="1"/>
  <c r="D1000" i="1"/>
  <c r="F1000" i="1" s="1"/>
  <c r="D1001" i="1"/>
  <c r="F1001" i="1" s="1"/>
  <c r="D1002" i="1"/>
  <c r="F1002" i="1" s="1"/>
  <c r="D967" i="1"/>
  <c r="F967" i="1" s="1"/>
  <c r="A968" i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I967" i="1"/>
  <c r="G967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A931" i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I930" i="1"/>
  <c r="G930" i="1"/>
  <c r="D839" i="1"/>
  <c r="F839" i="1" s="1"/>
  <c r="D838" i="1"/>
  <c r="F838" i="1" s="1"/>
  <c r="D837" i="1"/>
  <c r="F837" i="1" s="1"/>
  <c r="D836" i="1"/>
  <c r="F836" i="1" s="1"/>
  <c r="D835" i="1"/>
  <c r="F835" i="1" s="1"/>
  <c r="D834" i="1"/>
  <c r="F834" i="1" s="1"/>
  <c r="D833" i="1"/>
  <c r="F833" i="1" s="1"/>
  <c r="D832" i="1"/>
  <c r="F832" i="1" s="1"/>
  <c r="D831" i="1"/>
  <c r="F831" i="1" s="1"/>
  <c r="D830" i="1"/>
  <c r="F830" i="1" s="1"/>
  <c r="D829" i="1"/>
  <c r="F829" i="1" s="1"/>
  <c r="D828" i="1"/>
  <c r="F828" i="1" s="1"/>
  <c r="D827" i="1"/>
  <c r="F827" i="1" s="1"/>
  <c r="D823" i="1"/>
  <c r="F823" i="1" s="1"/>
  <c r="D822" i="1"/>
  <c r="F822" i="1" s="1"/>
  <c r="D821" i="1"/>
  <c r="F821" i="1" s="1"/>
  <c r="D820" i="1"/>
  <c r="F820" i="1" s="1"/>
  <c r="D819" i="1"/>
  <c r="F819" i="1" s="1"/>
  <c r="D818" i="1"/>
  <c r="F818" i="1" s="1"/>
  <c r="D817" i="1"/>
  <c r="F817" i="1" s="1"/>
  <c r="D816" i="1"/>
  <c r="F816" i="1" s="1"/>
  <c r="D815" i="1"/>
  <c r="F815" i="1" s="1"/>
  <c r="D814" i="1"/>
  <c r="F814" i="1" s="1"/>
  <c r="D813" i="1"/>
  <c r="F813" i="1" s="1"/>
  <c r="A813" i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I812" i="1"/>
  <c r="G812" i="1"/>
  <c r="D812" i="1"/>
  <c r="F812" i="1" s="1"/>
  <c r="G783" i="1"/>
  <c r="D810" i="1"/>
  <c r="F810" i="1" s="1"/>
  <c r="D809" i="1"/>
  <c r="F809" i="1" s="1"/>
  <c r="D808" i="1"/>
  <c r="F808" i="1" s="1"/>
  <c r="D807" i="1"/>
  <c r="F807" i="1" s="1"/>
  <c r="D806" i="1"/>
  <c r="F806" i="1" s="1"/>
  <c r="D805" i="1"/>
  <c r="F805" i="1" s="1"/>
  <c r="D804" i="1"/>
  <c r="F804" i="1" s="1"/>
  <c r="D803" i="1"/>
  <c r="F803" i="1" s="1"/>
  <c r="D802" i="1"/>
  <c r="F802" i="1" s="1"/>
  <c r="D801" i="1"/>
  <c r="F801" i="1" s="1"/>
  <c r="D800" i="1"/>
  <c r="F800" i="1" s="1"/>
  <c r="D799" i="1"/>
  <c r="F799" i="1" s="1"/>
  <c r="D798" i="1"/>
  <c r="F798" i="1" s="1"/>
  <c r="D797" i="1"/>
  <c r="F797" i="1" s="1"/>
  <c r="D796" i="1"/>
  <c r="F796" i="1" s="1"/>
  <c r="D795" i="1"/>
  <c r="F795" i="1" s="1"/>
  <c r="D794" i="1"/>
  <c r="F794" i="1" s="1"/>
  <c r="D793" i="1"/>
  <c r="F793" i="1" s="1"/>
  <c r="D792" i="1"/>
  <c r="F792" i="1" s="1"/>
  <c r="D791" i="1"/>
  <c r="F791" i="1" s="1"/>
  <c r="D790" i="1"/>
  <c r="F790" i="1" s="1"/>
  <c r="D789" i="1"/>
  <c r="F789" i="1" s="1"/>
  <c r="D788" i="1"/>
  <c r="F788" i="1" s="1"/>
  <c r="D787" i="1"/>
  <c r="F787" i="1" s="1"/>
  <c r="D786" i="1"/>
  <c r="F786" i="1" s="1"/>
  <c r="D785" i="1"/>
  <c r="F785" i="1" s="1"/>
  <c r="D784" i="1"/>
  <c r="F784" i="1" s="1"/>
  <c r="A784" i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I783" i="1"/>
  <c r="D783" i="1"/>
  <c r="F783" i="1" s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A755" i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I754" i="1"/>
  <c r="G754" i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D751" i="1"/>
  <c r="F751" i="1" s="1"/>
  <c r="D750" i="1"/>
  <c r="F750" i="1" s="1"/>
  <c r="D749" i="1"/>
  <c r="F749" i="1" s="1"/>
  <c r="D748" i="1"/>
  <c r="F748" i="1" s="1"/>
  <c r="D747" i="1"/>
  <c r="F747" i="1" s="1"/>
  <c r="D746" i="1"/>
  <c r="F746" i="1" s="1"/>
  <c r="D744" i="1"/>
  <c r="F744" i="1" s="1"/>
  <c r="D743" i="1"/>
  <c r="F743" i="1" s="1"/>
  <c r="D742" i="1"/>
  <c r="F742" i="1" s="1"/>
  <c r="D741" i="1"/>
  <c r="F741" i="1" s="1"/>
  <c r="D740" i="1"/>
  <c r="F740" i="1" s="1"/>
  <c r="D739" i="1"/>
  <c r="F739" i="1" s="1"/>
  <c r="D738" i="1"/>
  <c r="F738" i="1" s="1"/>
  <c r="D736" i="1"/>
  <c r="F736" i="1" s="1"/>
  <c r="D735" i="1"/>
  <c r="F735" i="1" s="1"/>
  <c r="D734" i="1"/>
  <c r="F734" i="1" s="1"/>
  <c r="D733" i="1"/>
  <c r="F733" i="1" s="1"/>
  <c r="D732" i="1"/>
  <c r="F732" i="1" s="1"/>
  <c r="D731" i="1"/>
  <c r="F731" i="1" s="1"/>
  <c r="D730" i="1"/>
  <c r="F730" i="1" s="1"/>
  <c r="D729" i="1"/>
  <c r="F729" i="1" s="1"/>
  <c r="D728" i="1"/>
  <c r="F728" i="1" s="1"/>
  <c r="D727" i="1"/>
  <c r="F727" i="1" s="1"/>
  <c r="D726" i="1"/>
  <c r="F726" i="1" s="1"/>
  <c r="D725" i="1"/>
  <c r="F725" i="1" s="1"/>
  <c r="D724" i="1"/>
  <c r="F724" i="1" s="1"/>
  <c r="D723" i="1"/>
  <c r="F723" i="1" s="1"/>
  <c r="D722" i="1"/>
  <c r="F722" i="1" s="1"/>
  <c r="D719" i="1"/>
  <c r="F719" i="1" s="1"/>
  <c r="D718" i="1"/>
  <c r="F718" i="1" s="1"/>
  <c r="D717" i="1"/>
  <c r="F717" i="1" s="1"/>
  <c r="A717" i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I716" i="1"/>
  <c r="G716" i="1"/>
  <c r="D716" i="1"/>
  <c r="F716" i="1" s="1"/>
  <c r="D680" i="1"/>
  <c r="F680" i="1" s="1"/>
  <c r="D681" i="1"/>
  <c r="F681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689" i="1"/>
  <c r="F689" i="1" s="1"/>
  <c r="D690" i="1"/>
  <c r="F690" i="1" s="1"/>
  <c r="D691" i="1"/>
  <c r="F691" i="1" s="1"/>
  <c r="D692" i="1"/>
  <c r="F692" i="1" s="1"/>
  <c r="D693" i="1"/>
  <c r="F693" i="1" s="1"/>
  <c r="D694" i="1"/>
  <c r="F694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703" i="1"/>
  <c r="F703" i="1" s="1"/>
  <c r="D704" i="1"/>
  <c r="F704" i="1" s="1"/>
  <c r="D705" i="1"/>
  <c r="F705" i="1" s="1"/>
  <c r="D706" i="1"/>
  <c r="F706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713" i="1"/>
  <c r="F713" i="1" s="1"/>
  <c r="D714" i="1"/>
  <c r="F714" i="1" s="1"/>
  <c r="D679" i="1"/>
  <c r="F679" i="1" s="1"/>
  <c r="A680" i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I679" i="1"/>
  <c r="G679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I642" i="1"/>
  <c r="G642" i="1"/>
  <c r="D638" i="1"/>
  <c r="F638" i="1" s="1"/>
  <c r="D637" i="1"/>
  <c r="F637" i="1" s="1"/>
  <c r="D636" i="1"/>
  <c r="F636" i="1" s="1"/>
  <c r="D635" i="1"/>
  <c r="F635" i="1" s="1"/>
  <c r="D634" i="1"/>
  <c r="F634" i="1" s="1"/>
  <c r="D633" i="1"/>
  <c r="F633" i="1" s="1"/>
  <c r="D632" i="1"/>
  <c r="F632" i="1" s="1"/>
  <c r="D631" i="1"/>
  <c r="F631" i="1" s="1"/>
  <c r="D630" i="1"/>
  <c r="F630" i="1" s="1"/>
  <c r="D629" i="1"/>
  <c r="F629" i="1" s="1"/>
  <c r="D628" i="1"/>
  <c r="F628" i="1" s="1"/>
  <c r="D627" i="1"/>
  <c r="F627" i="1" s="1"/>
  <c r="D626" i="1"/>
  <c r="F626" i="1" s="1"/>
  <c r="D622" i="1"/>
  <c r="F622" i="1" s="1"/>
  <c r="D621" i="1"/>
  <c r="F621" i="1" s="1"/>
  <c r="D620" i="1"/>
  <c r="F620" i="1" s="1"/>
  <c r="D619" i="1"/>
  <c r="F619" i="1" s="1"/>
  <c r="D618" i="1"/>
  <c r="F618" i="1" s="1"/>
  <c r="D617" i="1"/>
  <c r="F617" i="1" s="1"/>
  <c r="D616" i="1"/>
  <c r="F616" i="1" s="1"/>
  <c r="D615" i="1"/>
  <c r="F615" i="1" s="1"/>
  <c r="D614" i="1"/>
  <c r="F614" i="1" s="1"/>
  <c r="D613" i="1"/>
  <c r="F613" i="1" s="1"/>
  <c r="D612" i="1"/>
  <c r="F612" i="1" s="1"/>
  <c r="A612" i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I611" i="1"/>
  <c r="G611" i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D611" i="1"/>
  <c r="F611" i="1" s="1"/>
  <c r="D609" i="1"/>
  <c r="F609" i="1" s="1"/>
  <c r="D608" i="1"/>
  <c r="F608" i="1" s="1"/>
  <c r="D607" i="1"/>
  <c r="F607" i="1" s="1"/>
  <c r="D606" i="1"/>
  <c r="F606" i="1" s="1"/>
  <c r="D605" i="1"/>
  <c r="F605" i="1" s="1"/>
  <c r="D604" i="1"/>
  <c r="F604" i="1" s="1"/>
  <c r="D603" i="1"/>
  <c r="F603" i="1" s="1"/>
  <c r="D602" i="1"/>
  <c r="F602" i="1" s="1"/>
  <c r="D601" i="1"/>
  <c r="F601" i="1" s="1"/>
  <c r="D600" i="1"/>
  <c r="F600" i="1" s="1"/>
  <c r="D599" i="1"/>
  <c r="F599" i="1" s="1"/>
  <c r="D598" i="1"/>
  <c r="F598" i="1" s="1"/>
  <c r="D597" i="1"/>
  <c r="F597" i="1" s="1"/>
  <c r="D596" i="1"/>
  <c r="F596" i="1" s="1"/>
  <c r="D595" i="1"/>
  <c r="F595" i="1" s="1"/>
  <c r="D594" i="1"/>
  <c r="F594" i="1" s="1"/>
  <c r="D593" i="1"/>
  <c r="F593" i="1" s="1"/>
  <c r="D592" i="1"/>
  <c r="F592" i="1" s="1"/>
  <c r="D591" i="1"/>
  <c r="F591" i="1" s="1"/>
  <c r="D590" i="1"/>
  <c r="F590" i="1" s="1"/>
  <c r="D589" i="1"/>
  <c r="F589" i="1" s="1"/>
  <c r="D588" i="1"/>
  <c r="F588" i="1" s="1"/>
  <c r="D587" i="1"/>
  <c r="F587" i="1" s="1"/>
  <c r="D586" i="1"/>
  <c r="F586" i="1" s="1"/>
  <c r="D585" i="1"/>
  <c r="F585" i="1" s="1"/>
  <c r="D584" i="1"/>
  <c r="F584" i="1" s="1"/>
  <c r="D583" i="1"/>
  <c r="F583" i="1" s="1"/>
  <c r="D582" i="1"/>
  <c r="F582" i="1" s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I582" i="1"/>
  <c r="G582" i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A554" i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I553" i="1"/>
  <c r="G553" i="1"/>
  <c r="E357" i="1"/>
  <c r="E356" i="1"/>
  <c r="E355" i="1"/>
  <c r="E354" i="1"/>
  <c r="E353" i="1"/>
  <c r="E352" i="1"/>
  <c r="E351" i="1"/>
  <c r="E350" i="1"/>
  <c r="E349" i="1"/>
  <c r="D357" i="1"/>
  <c r="D356" i="1"/>
  <c r="D355" i="1"/>
  <c r="D354" i="1"/>
  <c r="D353" i="1"/>
  <c r="D352" i="1"/>
  <c r="D351" i="1"/>
  <c r="D350" i="1"/>
  <c r="D349" i="1"/>
  <c r="A350" i="1"/>
  <c r="A351" i="1" s="1"/>
  <c r="A352" i="1" s="1"/>
  <c r="A353" i="1" s="1"/>
  <c r="A354" i="1" s="1"/>
  <c r="A355" i="1" s="1"/>
  <c r="A356" i="1" s="1"/>
  <c r="A357" i="1" s="1"/>
  <c r="G349" i="1"/>
  <c r="G350" i="1" s="1"/>
  <c r="G351" i="1" s="1"/>
  <c r="G352" i="1" s="1"/>
  <c r="G353" i="1" s="1"/>
  <c r="G354" i="1" s="1"/>
  <c r="G355" i="1" s="1"/>
  <c r="G356" i="1" s="1"/>
  <c r="G357" i="1" s="1"/>
  <c r="E345" i="1"/>
  <c r="E344" i="1"/>
  <c r="E343" i="1"/>
  <c r="E342" i="1"/>
  <c r="E341" i="1"/>
  <c r="E340" i="1"/>
  <c r="E339" i="1"/>
  <c r="D345" i="1"/>
  <c r="D344" i="1"/>
  <c r="D343" i="1"/>
  <c r="D342" i="1"/>
  <c r="D341" i="1"/>
  <c r="D340" i="1"/>
  <c r="D339" i="1"/>
  <c r="A340" i="1"/>
  <c r="A341" i="1" s="1"/>
  <c r="A342" i="1" s="1"/>
  <c r="A343" i="1" s="1"/>
  <c r="A344" i="1" s="1"/>
  <c r="A345" i="1" s="1"/>
  <c r="G339" i="1"/>
  <c r="G340" i="1" s="1"/>
  <c r="G341" i="1" s="1"/>
  <c r="G342" i="1" s="1"/>
  <c r="G343" i="1" s="1"/>
  <c r="G344" i="1" s="1"/>
  <c r="G345" i="1" s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G323" i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G276" i="1"/>
  <c r="F935" i="1" l="1"/>
  <c r="F959" i="1"/>
  <c r="F646" i="1"/>
  <c r="F670" i="1"/>
  <c r="F661" i="1"/>
  <c r="F938" i="1"/>
  <c r="F954" i="1"/>
  <c r="F962" i="1"/>
  <c r="F1047" i="1"/>
  <c r="F1055" i="1"/>
  <c r="F667" i="1"/>
  <c r="F936" i="1"/>
  <c r="F960" i="1"/>
  <c r="F1050" i="1"/>
  <c r="F937" i="1"/>
  <c r="F961" i="1"/>
  <c r="F1171" i="1"/>
  <c r="I106" i="1"/>
  <c r="C108" i="1" s="1"/>
  <c r="F1157" i="1"/>
  <c r="F655" i="1"/>
  <c r="F931" i="1"/>
  <c r="F947" i="1"/>
  <c r="F1059" i="1"/>
  <c r="F948" i="1"/>
  <c r="E237" i="1"/>
  <c r="F649" i="1"/>
  <c r="F941" i="1"/>
  <c r="F949" i="1"/>
  <c r="F1145" i="1"/>
  <c r="F658" i="1"/>
  <c r="F674" i="1"/>
  <c r="F942" i="1"/>
  <c r="F950" i="1"/>
  <c r="F777" i="1"/>
  <c r="E250" i="1"/>
  <c r="F1042" i="1"/>
  <c r="F1054" i="1"/>
  <c r="F1170" i="1"/>
  <c r="F1165" i="1"/>
  <c r="E238" i="1"/>
  <c r="C239" i="1"/>
  <c r="C251" i="1"/>
  <c r="F1051" i="1"/>
  <c r="F1139" i="1"/>
  <c r="F1146" i="1"/>
  <c r="F1158" i="1"/>
  <c r="E248" i="1"/>
  <c r="C247" i="1"/>
  <c r="F643" i="1"/>
  <c r="F1132" i="1"/>
  <c r="F1156" i="1"/>
  <c r="F1164" i="1"/>
  <c r="F1147" i="1"/>
  <c r="E239" i="1"/>
  <c r="F1168" i="1"/>
  <c r="F1169" i="1"/>
  <c r="C238" i="1"/>
  <c r="F1144" i="1"/>
  <c r="E235" i="1"/>
  <c r="F765" i="1"/>
  <c r="C235" i="1"/>
  <c r="E246" i="1"/>
  <c r="C248" i="1"/>
  <c r="F965" i="1"/>
  <c r="E251" i="1"/>
  <c r="F759" i="1"/>
  <c r="F1048" i="1"/>
  <c r="F1060" i="1"/>
  <c r="F1163" i="1"/>
  <c r="C237" i="1"/>
  <c r="C246" i="1"/>
  <c r="F579" i="1"/>
  <c r="F1159" i="1"/>
  <c r="F345" i="1"/>
  <c r="F1052" i="1"/>
  <c r="F1064" i="1"/>
  <c r="F1148" i="1"/>
  <c r="F1160" i="1"/>
  <c r="C250" i="1"/>
  <c r="F1053" i="1"/>
  <c r="F642" i="1"/>
  <c r="F1062" i="1"/>
  <c r="E247" i="1"/>
  <c r="C252" i="1"/>
  <c r="E252" i="1"/>
  <c r="F1189" i="1"/>
  <c r="F1183" i="1"/>
  <c r="F1177" i="1"/>
  <c r="F1207" i="1"/>
  <c r="F1195" i="1"/>
  <c r="F1161" i="1"/>
  <c r="F1150" i="1"/>
  <c r="F1162" i="1"/>
  <c r="F1137" i="1"/>
  <c r="F1138" i="1"/>
  <c r="F943" i="1"/>
  <c r="F955" i="1"/>
  <c r="F932" i="1"/>
  <c r="F944" i="1"/>
  <c r="F956" i="1"/>
  <c r="F1066" i="1"/>
  <c r="F1133" i="1"/>
  <c r="F1149" i="1"/>
  <c r="F1155" i="1"/>
  <c r="F1043" i="1"/>
  <c r="F1067" i="1"/>
  <c r="F1134" i="1"/>
  <c r="F578" i="1"/>
  <c r="F1049" i="1"/>
  <c r="F1061" i="1"/>
  <c r="F1045" i="1"/>
  <c r="F566" i="1"/>
  <c r="F334" i="1"/>
  <c r="F1131" i="1"/>
  <c r="F1135" i="1"/>
  <c r="F1140" i="1"/>
  <c r="F1151" i="1"/>
  <c r="F1063" i="1"/>
  <c r="F1136" i="1"/>
  <c r="F1141" i="1"/>
  <c r="F1152" i="1"/>
  <c r="F574" i="1"/>
  <c r="F1065" i="1"/>
  <c r="F1142" i="1"/>
  <c r="F1153" i="1"/>
  <c r="F953" i="1"/>
  <c r="F562" i="1"/>
  <c r="F1143" i="1"/>
  <c r="F1154" i="1"/>
  <c r="F1044" i="1"/>
  <c r="F1056" i="1"/>
  <c r="F1068" i="1"/>
  <c r="F1057" i="1"/>
  <c r="F1069" i="1"/>
  <c r="F1046" i="1"/>
  <c r="F1058" i="1"/>
  <c r="F930" i="1"/>
  <c r="F354" i="1"/>
  <c r="F285" i="1"/>
  <c r="F353" i="1"/>
  <c r="F286" i="1"/>
  <c r="F563" i="1"/>
  <c r="F564" i="1"/>
  <c r="F576" i="1"/>
  <c r="F933" i="1"/>
  <c r="F939" i="1"/>
  <c r="F945" i="1"/>
  <c r="F951" i="1"/>
  <c r="F957" i="1"/>
  <c r="F963" i="1"/>
  <c r="F276" i="1"/>
  <c r="F333" i="1"/>
  <c r="F934" i="1"/>
  <c r="F940" i="1"/>
  <c r="F946" i="1"/>
  <c r="F952" i="1"/>
  <c r="F958" i="1"/>
  <c r="F964" i="1"/>
  <c r="F335" i="1"/>
  <c r="F330" i="1"/>
  <c r="F339" i="1"/>
  <c r="F761" i="1"/>
  <c r="F773" i="1"/>
  <c r="F277" i="1"/>
  <c r="F342" i="1"/>
  <c r="F351" i="1"/>
  <c r="F764" i="1"/>
  <c r="F279" i="1"/>
  <c r="F289" i="1"/>
  <c r="F324" i="1"/>
  <c r="F770" i="1"/>
  <c r="F278" i="1"/>
  <c r="F284" i="1"/>
  <c r="F290" i="1"/>
  <c r="F343" i="1"/>
  <c r="F280" i="1"/>
  <c r="F292" i="1"/>
  <c r="F323" i="1"/>
  <c r="F774" i="1"/>
  <c r="F287" i="1"/>
  <c r="F775" i="1"/>
  <c r="F288" i="1"/>
  <c r="F756" i="1"/>
  <c r="F776" i="1"/>
  <c r="F340" i="1"/>
  <c r="F554" i="1"/>
  <c r="F357" i="1"/>
  <c r="F555" i="1"/>
  <c r="F758" i="1"/>
  <c r="F565" i="1"/>
  <c r="F755" i="1"/>
  <c r="F779" i="1"/>
  <c r="F344" i="1"/>
  <c r="F350" i="1"/>
  <c r="F768" i="1"/>
  <c r="F780" i="1"/>
  <c r="F553" i="1"/>
  <c r="F577" i="1"/>
  <c r="F767" i="1"/>
  <c r="F336" i="1"/>
  <c r="F352" i="1"/>
  <c r="F671" i="1"/>
  <c r="F329" i="1"/>
  <c r="F567" i="1"/>
  <c r="F672" i="1"/>
  <c r="F757" i="1"/>
  <c r="F769" i="1"/>
  <c r="F781" i="1"/>
  <c r="F341" i="1"/>
  <c r="F356" i="1"/>
  <c r="F673" i="1"/>
  <c r="F762" i="1"/>
  <c r="F763" i="1"/>
  <c r="F331" i="1"/>
  <c r="F561" i="1"/>
  <c r="F573" i="1"/>
  <c r="F569" i="1"/>
  <c r="F332" i="1"/>
  <c r="F760" i="1"/>
  <c r="F772" i="1"/>
  <c r="F754" i="1"/>
  <c r="F766" i="1"/>
  <c r="F778" i="1"/>
  <c r="F771" i="1"/>
  <c r="F664" i="1"/>
  <c r="F677" i="1"/>
  <c r="F675" i="1"/>
  <c r="F652" i="1"/>
  <c r="F676" i="1"/>
  <c r="F355" i="1"/>
  <c r="F571" i="1"/>
  <c r="F644" i="1"/>
  <c r="F650" i="1"/>
  <c r="F656" i="1"/>
  <c r="F662" i="1"/>
  <c r="F668" i="1"/>
  <c r="F645" i="1"/>
  <c r="F651" i="1"/>
  <c r="F657" i="1"/>
  <c r="F663" i="1"/>
  <c r="F669" i="1"/>
  <c r="F291" i="1"/>
  <c r="F556" i="1"/>
  <c r="F568" i="1"/>
  <c r="F580" i="1"/>
  <c r="F647" i="1"/>
  <c r="F653" i="1"/>
  <c r="F659" i="1"/>
  <c r="F665" i="1"/>
  <c r="F648" i="1"/>
  <c r="F654" i="1"/>
  <c r="F660" i="1"/>
  <c r="F666" i="1"/>
  <c r="F557" i="1"/>
  <c r="F558" i="1"/>
  <c r="F570" i="1"/>
  <c r="F560" i="1"/>
  <c r="F572" i="1"/>
  <c r="F559" i="1"/>
  <c r="F575" i="1"/>
  <c r="F349" i="1"/>
  <c r="F328" i="1"/>
  <c r="F325" i="1"/>
  <c r="F326" i="1"/>
  <c r="F327" i="1"/>
  <c r="F282" i="1"/>
  <c r="F281" i="1"/>
  <c r="F293" i="1"/>
  <c r="F283" i="1"/>
  <c r="G252" i="1" l="1"/>
  <c r="G251" i="1"/>
  <c r="G247" i="1"/>
  <c r="G235" i="1"/>
  <c r="G237" i="1"/>
  <c r="G248" i="1"/>
  <c r="G246" i="1"/>
  <c r="G238" i="1"/>
  <c r="G250" i="1"/>
  <c r="G239" i="1"/>
  <c r="C212" i="1" l="1"/>
  <c r="B1582" i="1" l="1"/>
  <c r="D927" i="1" l="1"/>
  <c r="F927" i="1" s="1"/>
  <c r="D926" i="1"/>
  <c r="F926" i="1" s="1"/>
  <c r="D925" i="1"/>
  <c r="F925" i="1" s="1"/>
  <c r="D924" i="1"/>
  <c r="F924" i="1" s="1"/>
  <c r="D923" i="1"/>
  <c r="F923" i="1" s="1"/>
  <c r="D922" i="1"/>
  <c r="F922" i="1" s="1"/>
  <c r="D921" i="1"/>
  <c r="F921" i="1" s="1"/>
  <c r="D920" i="1"/>
  <c r="F920" i="1" s="1"/>
  <c r="D919" i="1"/>
  <c r="F919" i="1" s="1"/>
  <c r="D918" i="1"/>
  <c r="F918" i="1" s="1"/>
  <c r="D917" i="1"/>
  <c r="F917" i="1" s="1"/>
  <c r="D916" i="1"/>
  <c r="F916" i="1" s="1"/>
  <c r="D915" i="1"/>
  <c r="F915" i="1" s="1"/>
  <c r="D911" i="1"/>
  <c r="F911" i="1" s="1"/>
  <c r="D910" i="1"/>
  <c r="F910" i="1" s="1"/>
  <c r="D909" i="1"/>
  <c r="F909" i="1" s="1"/>
  <c r="D908" i="1"/>
  <c r="F908" i="1" s="1"/>
  <c r="D907" i="1"/>
  <c r="F907" i="1" s="1"/>
  <c r="D906" i="1"/>
  <c r="F906" i="1" s="1"/>
  <c r="D905" i="1"/>
  <c r="F905" i="1" s="1"/>
  <c r="D904" i="1"/>
  <c r="F904" i="1" s="1"/>
  <c r="D903" i="1"/>
  <c r="F903" i="1" s="1"/>
  <c r="D902" i="1"/>
  <c r="F902" i="1" s="1"/>
  <c r="D901" i="1"/>
  <c r="F901" i="1" s="1"/>
  <c r="A901" i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G900" i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D900" i="1"/>
  <c r="F900" i="1" s="1"/>
  <c r="D898" i="1"/>
  <c r="F898" i="1" s="1"/>
  <c r="D897" i="1"/>
  <c r="F897" i="1" s="1"/>
  <c r="D896" i="1"/>
  <c r="F896" i="1" s="1"/>
  <c r="D895" i="1"/>
  <c r="F895" i="1" s="1"/>
  <c r="D894" i="1"/>
  <c r="F894" i="1" s="1"/>
  <c r="D893" i="1"/>
  <c r="F893" i="1" s="1"/>
  <c r="D892" i="1"/>
  <c r="F892" i="1" s="1"/>
  <c r="D891" i="1"/>
  <c r="F891" i="1" s="1"/>
  <c r="D890" i="1"/>
  <c r="F890" i="1" s="1"/>
  <c r="D889" i="1"/>
  <c r="F889" i="1" s="1"/>
  <c r="D888" i="1"/>
  <c r="F888" i="1" s="1"/>
  <c r="D887" i="1"/>
  <c r="F887" i="1" s="1"/>
  <c r="D886" i="1"/>
  <c r="F886" i="1" s="1"/>
  <c r="D885" i="1"/>
  <c r="F885" i="1" s="1"/>
  <c r="D884" i="1"/>
  <c r="F884" i="1" s="1"/>
  <c r="D883" i="1"/>
  <c r="F883" i="1" s="1"/>
  <c r="D882" i="1"/>
  <c r="F882" i="1" s="1"/>
  <c r="D881" i="1"/>
  <c r="F881" i="1" s="1"/>
  <c r="D880" i="1"/>
  <c r="F880" i="1" s="1"/>
  <c r="D879" i="1"/>
  <c r="F879" i="1" s="1"/>
  <c r="D878" i="1"/>
  <c r="F878" i="1" s="1"/>
  <c r="D877" i="1"/>
  <c r="F877" i="1" s="1"/>
  <c r="D876" i="1"/>
  <c r="F876" i="1" s="1"/>
  <c r="D875" i="1"/>
  <c r="F875" i="1" s="1"/>
  <c r="D874" i="1"/>
  <c r="F874" i="1" s="1"/>
  <c r="D873" i="1"/>
  <c r="F873" i="1" s="1"/>
  <c r="D872" i="1"/>
  <c r="F872" i="1" s="1"/>
  <c r="A872" i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G871" i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D871" i="1"/>
  <c r="F871" i="1" s="1"/>
  <c r="D1287" i="1"/>
  <c r="I842" i="1"/>
  <c r="E869" i="1"/>
  <c r="D869" i="1"/>
  <c r="E868" i="1"/>
  <c r="D868" i="1"/>
  <c r="E867" i="1"/>
  <c r="D867" i="1"/>
  <c r="E866" i="1"/>
  <c r="D866" i="1"/>
  <c r="E865" i="1"/>
  <c r="D865" i="1"/>
  <c r="E864" i="1"/>
  <c r="D864" i="1"/>
  <c r="E863" i="1"/>
  <c r="D863" i="1"/>
  <c r="E862" i="1"/>
  <c r="D862" i="1"/>
  <c r="E861" i="1"/>
  <c r="D861" i="1"/>
  <c r="E860" i="1"/>
  <c r="D860" i="1"/>
  <c r="E859" i="1"/>
  <c r="D859" i="1"/>
  <c r="E858" i="1"/>
  <c r="D858" i="1"/>
  <c r="E857" i="1"/>
  <c r="D857" i="1"/>
  <c r="E856" i="1"/>
  <c r="D856" i="1"/>
  <c r="E855" i="1"/>
  <c r="D855" i="1"/>
  <c r="E854" i="1"/>
  <c r="D854" i="1"/>
  <c r="E853" i="1"/>
  <c r="D853" i="1"/>
  <c r="E852" i="1"/>
  <c r="D852" i="1"/>
  <c r="E851" i="1"/>
  <c r="D851" i="1"/>
  <c r="E850" i="1"/>
  <c r="D850" i="1"/>
  <c r="E849" i="1"/>
  <c r="D849" i="1"/>
  <c r="E848" i="1"/>
  <c r="D848" i="1"/>
  <c r="E847" i="1"/>
  <c r="D847" i="1"/>
  <c r="E846" i="1"/>
  <c r="D846" i="1"/>
  <c r="E845" i="1"/>
  <c r="D845" i="1"/>
  <c r="E844" i="1"/>
  <c r="D844" i="1"/>
  <c r="E843" i="1"/>
  <c r="D843" i="1"/>
  <c r="A843" i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G842" i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E842" i="1"/>
  <c r="D842" i="1"/>
  <c r="E319" i="1"/>
  <c r="E320" i="1"/>
  <c r="E318" i="1"/>
  <c r="D316" i="1"/>
  <c r="E313" i="1"/>
  <c r="E311" i="1"/>
  <c r="E309" i="1"/>
  <c r="E307" i="1"/>
  <c r="E305" i="1"/>
  <c r="E304" i="1"/>
  <c r="E302" i="1"/>
  <c r="E300" i="1"/>
  <c r="E299" i="1"/>
  <c r="E298" i="1"/>
  <c r="E297" i="1"/>
  <c r="E296" i="1"/>
  <c r="E316" i="1"/>
  <c r="E314" i="1"/>
  <c r="E312" i="1"/>
  <c r="E310" i="1"/>
  <c r="E308" i="1"/>
  <c r="E306" i="1"/>
  <c r="E303" i="1"/>
  <c r="E301" i="1"/>
  <c r="D307" i="1"/>
  <c r="D320" i="1"/>
  <c r="D319" i="1"/>
  <c r="D318" i="1"/>
  <c r="D317" i="1"/>
  <c r="D315" i="1"/>
  <c r="D314" i="1"/>
  <c r="D313" i="1"/>
  <c r="D312" i="1"/>
  <c r="D311" i="1"/>
  <c r="D310" i="1"/>
  <c r="D309" i="1"/>
  <c r="D308" i="1"/>
  <c r="D305" i="1"/>
  <c r="D306" i="1"/>
  <c r="D304" i="1"/>
  <c r="D303" i="1"/>
  <c r="D302" i="1"/>
  <c r="D301" i="1"/>
  <c r="D300" i="1"/>
  <c r="D299" i="1"/>
  <c r="D298" i="1"/>
  <c r="D297" i="1"/>
  <c r="D296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A361" i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G360" i="1"/>
  <c r="E360" i="1"/>
  <c r="D360" i="1"/>
  <c r="F852" i="1" l="1"/>
  <c r="F846" i="1"/>
  <c r="F858" i="1"/>
  <c r="F866" i="1"/>
  <c r="F369" i="1"/>
  <c r="F375" i="1"/>
  <c r="F381" i="1"/>
  <c r="F843" i="1"/>
  <c r="F371" i="1"/>
  <c r="F377" i="1"/>
  <c r="E236" i="1"/>
  <c r="C236" i="1"/>
  <c r="E249" i="1"/>
  <c r="C249" i="1"/>
  <c r="F376" i="1"/>
  <c r="C240" i="1"/>
  <c r="E240" i="1"/>
  <c r="F361" i="1"/>
  <c r="F367" i="1"/>
  <c r="F373" i="1"/>
  <c r="F379" i="1"/>
  <c r="F842" i="1"/>
  <c r="F867" i="1"/>
  <c r="F844" i="1"/>
  <c r="F850" i="1"/>
  <c r="F862" i="1"/>
  <c r="F869" i="1"/>
  <c r="F364" i="1"/>
  <c r="F380" i="1"/>
  <c r="F382" i="1"/>
  <c r="F854" i="1"/>
  <c r="F363" i="1"/>
  <c r="F856" i="1"/>
  <c r="F374" i="1"/>
  <c r="F378" i="1"/>
  <c r="F845" i="1"/>
  <c r="F847" i="1"/>
  <c r="F851" i="1"/>
  <c r="F855" i="1"/>
  <c r="F857" i="1"/>
  <c r="F859" i="1"/>
  <c r="F865" i="1"/>
  <c r="F368" i="1"/>
  <c r="F848" i="1"/>
  <c r="F365" i="1"/>
  <c r="F372" i="1"/>
  <c r="F383" i="1"/>
  <c r="F849" i="1"/>
  <c r="F863" i="1"/>
  <c r="F362" i="1"/>
  <c r="F853" i="1"/>
  <c r="F860" i="1"/>
  <c r="F360" i="1"/>
  <c r="F366" i="1"/>
  <c r="F370" i="1"/>
  <c r="F384" i="1"/>
  <c r="F861" i="1"/>
  <c r="F864" i="1"/>
  <c r="F868" i="1"/>
  <c r="E3" i="1"/>
  <c r="G240" i="1" l="1"/>
  <c r="G249" i="1"/>
  <c r="D1490" i="1"/>
  <c r="D1484" i="1"/>
  <c r="D1483" i="1"/>
  <c r="D1497" i="1"/>
  <c r="D1496" i="1"/>
  <c r="D1495" i="1"/>
  <c r="D1494" i="1"/>
  <c r="D1493" i="1"/>
  <c r="D1492" i="1"/>
  <c r="D1491" i="1"/>
  <c r="D1489" i="1"/>
  <c r="D1488" i="1"/>
  <c r="D1487" i="1"/>
  <c r="D1486" i="1"/>
  <c r="D1485" i="1"/>
  <c r="D1482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81" i="1"/>
  <c r="D1458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387" i="1"/>
  <c r="D1273" i="1"/>
  <c r="E1273" i="1"/>
  <c r="E1268" i="1"/>
  <c r="D1268" i="1"/>
  <c r="D264" i="1"/>
  <c r="J216" i="1" l="1"/>
  <c r="J215" i="1"/>
  <c r="J214" i="1"/>
  <c r="J213" i="1"/>
  <c r="D1579" i="1" l="1"/>
  <c r="F1579" i="1" s="1"/>
  <c r="D1578" i="1"/>
  <c r="F1578" i="1" s="1"/>
  <c r="D1577" i="1"/>
  <c r="F1577" i="1" s="1"/>
  <c r="D1576" i="1"/>
  <c r="F1576" i="1" s="1"/>
  <c r="D1575" i="1"/>
  <c r="F1575" i="1" s="1"/>
  <c r="D1574" i="1"/>
  <c r="F1574" i="1" s="1"/>
  <c r="D1573" i="1"/>
  <c r="F1573" i="1" s="1"/>
  <c r="D1572" i="1"/>
  <c r="F1572" i="1" s="1"/>
  <c r="D1571" i="1"/>
  <c r="F1571" i="1" s="1"/>
  <c r="D1568" i="1"/>
  <c r="F1568" i="1" s="1"/>
  <c r="D1567" i="1"/>
  <c r="F1567" i="1" s="1"/>
  <c r="D1566" i="1"/>
  <c r="F1566" i="1" s="1"/>
  <c r="D1565" i="1"/>
  <c r="F1565" i="1" s="1"/>
  <c r="D1564" i="1"/>
  <c r="F1564" i="1" s="1"/>
  <c r="D1563" i="1"/>
  <c r="F1563" i="1" s="1"/>
  <c r="D1561" i="1"/>
  <c r="F1561" i="1" s="1"/>
  <c r="D1560" i="1"/>
  <c r="F1560" i="1" s="1"/>
  <c r="D1559" i="1"/>
  <c r="F1559" i="1" s="1"/>
  <c r="D1558" i="1"/>
  <c r="F1558" i="1" s="1"/>
  <c r="D1557" i="1"/>
  <c r="F1557" i="1" s="1"/>
  <c r="D1556" i="1"/>
  <c r="F1556" i="1" s="1"/>
  <c r="D1555" i="1"/>
  <c r="F1555" i="1" s="1"/>
  <c r="D1554" i="1"/>
  <c r="F1554" i="1" s="1"/>
  <c r="D1553" i="1"/>
  <c r="F1553" i="1" s="1"/>
  <c r="D1552" i="1"/>
  <c r="F1552" i="1" s="1"/>
  <c r="D1551" i="1"/>
  <c r="F1551" i="1" s="1"/>
  <c r="D1550" i="1"/>
  <c r="F1550" i="1" s="1"/>
  <c r="D1549" i="1"/>
  <c r="F1549" i="1" s="1"/>
  <c r="D1548" i="1"/>
  <c r="F1548" i="1" s="1"/>
  <c r="D1547" i="1"/>
  <c r="F1547" i="1" s="1"/>
  <c r="D1546" i="1"/>
  <c r="F1546" i="1" s="1"/>
  <c r="D1543" i="1"/>
  <c r="F1543" i="1" s="1"/>
  <c r="D1542" i="1"/>
  <c r="F1542" i="1" s="1"/>
  <c r="D1541" i="1"/>
  <c r="F1541" i="1" s="1"/>
  <c r="A1541" i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G1540" i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D1540" i="1"/>
  <c r="F1540" i="1" s="1"/>
  <c r="D1501" i="1"/>
  <c r="F1501" i="1" s="1"/>
  <c r="D1502" i="1"/>
  <c r="F1502" i="1" s="1"/>
  <c r="D1503" i="1"/>
  <c r="F1503" i="1" s="1"/>
  <c r="D1504" i="1"/>
  <c r="F1504" i="1" s="1"/>
  <c r="D1505" i="1"/>
  <c r="F1505" i="1" s="1"/>
  <c r="D1506" i="1"/>
  <c r="F1506" i="1" s="1"/>
  <c r="D1507" i="1"/>
  <c r="F1507" i="1" s="1"/>
  <c r="D1508" i="1"/>
  <c r="F1508" i="1" s="1"/>
  <c r="D1509" i="1"/>
  <c r="F1509" i="1" s="1"/>
  <c r="D1510" i="1"/>
  <c r="F1510" i="1" s="1"/>
  <c r="D1511" i="1"/>
  <c r="F1511" i="1" s="1"/>
  <c r="D1512" i="1"/>
  <c r="F1512" i="1" s="1"/>
  <c r="D1513" i="1"/>
  <c r="F1513" i="1" s="1"/>
  <c r="D1514" i="1"/>
  <c r="F1514" i="1" s="1"/>
  <c r="D1515" i="1"/>
  <c r="F1515" i="1" s="1"/>
  <c r="D1516" i="1"/>
  <c r="F1516" i="1" s="1"/>
  <c r="D1517" i="1"/>
  <c r="F1517" i="1" s="1"/>
  <c r="D1518" i="1"/>
  <c r="F1518" i="1" s="1"/>
  <c r="D1519" i="1"/>
  <c r="F1519" i="1" s="1"/>
  <c r="D1520" i="1"/>
  <c r="F1520" i="1" s="1"/>
  <c r="D1521" i="1"/>
  <c r="F1521" i="1" s="1"/>
  <c r="D1522" i="1"/>
  <c r="F1522" i="1" s="1"/>
  <c r="D1523" i="1"/>
  <c r="F1523" i="1" s="1"/>
  <c r="D1524" i="1"/>
  <c r="F1524" i="1" s="1"/>
  <c r="D1525" i="1"/>
  <c r="F1525" i="1" s="1"/>
  <c r="D1526" i="1"/>
  <c r="F1526" i="1" s="1"/>
  <c r="D1527" i="1"/>
  <c r="F1527" i="1" s="1"/>
  <c r="D1528" i="1"/>
  <c r="F1528" i="1" s="1"/>
  <c r="D1529" i="1"/>
  <c r="F1529" i="1" s="1"/>
  <c r="D1530" i="1"/>
  <c r="F1530" i="1" s="1"/>
  <c r="D1531" i="1"/>
  <c r="F1531" i="1" s="1"/>
  <c r="D1532" i="1"/>
  <c r="F1532" i="1" s="1"/>
  <c r="D1533" i="1"/>
  <c r="F1533" i="1" s="1"/>
  <c r="D1534" i="1"/>
  <c r="F1534" i="1" s="1"/>
  <c r="D1535" i="1"/>
  <c r="F1535" i="1" s="1"/>
  <c r="D1536" i="1"/>
  <c r="F1536" i="1" s="1"/>
  <c r="D1537" i="1"/>
  <c r="F1537" i="1" s="1"/>
  <c r="D1538" i="1"/>
  <c r="F1538" i="1" s="1"/>
  <c r="D1500" i="1"/>
  <c r="F1500" i="1" s="1"/>
  <c r="D1499" i="1"/>
  <c r="A1500" i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G1499" i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E1497" i="1"/>
  <c r="F1497" i="1" s="1"/>
  <c r="E1496" i="1"/>
  <c r="F1496" i="1" s="1"/>
  <c r="E1495" i="1"/>
  <c r="F1495" i="1" s="1"/>
  <c r="E1494" i="1"/>
  <c r="E1493" i="1"/>
  <c r="F1493" i="1" s="1"/>
  <c r="E1492" i="1"/>
  <c r="F1492" i="1" s="1"/>
  <c r="E1491" i="1"/>
  <c r="F1491" i="1" s="1"/>
  <c r="E1490" i="1"/>
  <c r="F1490" i="1" s="1"/>
  <c r="E1489" i="1"/>
  <c r="F1489" i="1" s="1"/>
  <c r="E1488" i="1"/>
  <c r="F1488" i="1" s="1"/>
  <c r="E1487" i="1"/>
  <c r="F1487" i="1" s="1"/>
  <c r="E1486" i="1"/>
  <c r="F1486" i="1" s="1"/>
  <c r="E1485" i="1"/>
  <c r="F1485" i="1" s="1"/>
  <c r="E1484" i="1"/>
  <c r="F1484" i="1" s="1"/>
  <c r="E1483" i="1"/>
  <c r="F1483" i="1" s="1"/>
  <c r="E1482" i="1"/>
  <c r="F1482" i="1" s="1"/>
  <c r="E1481" i="1"/>
  <c r="F1481" i="1" s="1"/>
  <c r="E1480" i="1"/>
  <c r="F1480" i="1" s="1"/>
  <c r="E1479" i="1"/>
  <c r="F1479" i="1" s="1"/>
  <c r="E1475" i="1"/>
  <c r="E1476" i="1"/>
  <c r="F1476" i="1" s="1"/>
  <c r="E1472" i="1"/>
  <c r="E1471" i="1"/>
  <c r="F1471" i="1" s="1"/>
  <c r="E1478" i="1"/>
  <c r="F1478" i="1" s="1"/>
  <c r="E1477" i="1"/>
  <c r="F1477" i="1" s="1"/>
  <c r="E1474" i="1"/>
  <c r="F1474" i="1" s="1"/>
  <c r="E1473" i="1"/>
  <c r="F1473" i="1" s="1"/>
  <c r="E1470" i="1"/>
  <c r="F1470" i="1" s="1"/>
  <c r="E1469" i="1"/>
  <c r="F1469" i="1" s="1"/>
  <c r="E1468" i="1"/>
  <c r="F1468" i="1" s="1"/>
  <c r="E1467" i="1"/>
  <c r="F1467" i="1" s="1"/>
  <c r="E1466" i="1"/>
  <c r="F1466" i="1" s="1"/>
  <c r="E1465" i="1"/>
  <c r="F1465" i="1" s="1"/>
  <c r="E1464" i="1"/>
  <c r="F1464" i="1" s="1"/>
  <c r="E1463" i="1"/>
  <c r="F1463" i="1" s="1"/>
  <c r="E1462" i="1"/>
  <c r="E1461" i="1"/>
  <c r="F1461" i="1" s="1"/>
  <c r="E1460" i="1"/>
  <c r="F1460" i="1" s="1"/>
  <c r="E1459" i="1"/>
  <c r="F1459" i="1" s="1"/>
  <c r="E1458" i="1"/>
  <c r="A1459" i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G1458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D413" i="1"/>
  <c r="E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G403" i="1"/>
  <c r="D1423" i="1"/>
  <c r="F1423" i="1" s="1"/>
  <c r="D1455" i="1"/>
  <c r="F1455" i="1" s="1"/>
  <c r="D1454" i="1"/>
  <c r="F1454" i="1" s="1"/>
  <c r="D1453" i="1"/>
  <c r="F1453" i="1" s="1"/>
  <c r="D1452" i="1"/>
  <c r="F1452" i="1" s="1"/>
  <c r="D1451" i="1"/>
  <c r="F1451" i="1" s="1"/>
  <c r="D1450" i="1"/>
  <c r="F1450" i="1" s="1"/>
  <c r="D1448" i="1"/>
  <c r="F1448" i="1" s="1"/>
  <c r="D1447" i="1"/>
  <c r="F1447" i="1" s="1"/>
  <c r="D1446" i="1"/>
  <c r="F1446" i="1" s="1"/>
  <c r="D1445" i="1"/>
  <c r="F1445" i="1" s="1"/>
  <c r="D1444" i="1"/>
  <c r="F1444" i="1" s="1"/>
  <c r="D1443" i="1"/>
  <c r="F1443" i="1" s="1"/>
  <c r="D1441" i="1"/>
  <c r="F1441" i="1" s="1"/>
  <c r="D1440" i="1"/>
  <c r="F1440" i="1" s="1"/>
  <c r="D1439" i="1"/>
  <c r="F1439" i="1" s="1"/>
  <c r="D1438" i="1"/>
  <c r="F1438" i="1" s="1"/>
  <c r="D1437" i="1"/>
  <c r="F1437" i="1" s="1"/>
  <c r="D1436" i="1"/>
  <c r="F1436" i="1" s="1"/>
  <c r="D1435" i="1"/>
  <c r="F1435" i="1" s="1"/>
  <c r="D1434" i="1"/>
  <c r="F1434" i="1" s="1"/>
  <c r="D1433" i="1"/>
  <c r="F1433" i="1" s="1"/>
  <c r="D1432" i="1"/>
  <c r="F1432" i="1" s="1"/>
  <c r="D1431" i="1"/>
  <c r="F1431" i="1" s="1"/>
  <c r="D1430" i="1"/>
  <c r="F1430" i="1" s="1"/>
  <c r="D1429" i="1"/>
  <c r="F1429" i="1" s="1"/>
  <c r="D1428" i="1"/>
  <c r="F1428" i="1" s="1"/>
  <c r="D1427" i="1"/>
  <c r="F1427" i="1" s="1"/>
  <c r="D1426" i="1"/>
  <c r="F1426" i="1" s="1"/>
  <c r="D1422" i="1"/>
  <c r="F1422" i="1" s="1"/>
  <c r="D1421" i="1"/>
  <c r="F1421" i="1" s="1"/>
  <c r="A1421" i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G1420" i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D1420" i="1"/>
  <c r="F1420" i="1" s="1"/>
  <c r="D1384" i="1"/>
  <c r="F1384" i="1" s="1"/>
  <c r="D1385" i="1"/>
  <c r="F1385" i="1" s="1"/>
  <c r="D1386" i="1"/>
  <c r="F1386" i="1" s="1"/>
  <c r="D1387" i="1"/>
  <c r="F1387" i="1" s="1"/>
  <c r="D1388" i="1"/>
  <c r="F1388" i="1" s="1"/>
  <c r="D1389" i="1"/>
  <c r="F1389" i="1" s="1"/>
  <c r="D1390" i="1"/>
  <c r="F1390" i="1" s="1"/>
  <c r="D1391" i="1"/>
  <c r="F1391" i="1" s="1"/>
  <c r="D1392" i="1"/>
  <c r="F1392" i="1" s="1"/>
  <c r="D1393" i="1"/>
  <c r="F1393" i="1" s="1"/>
  <c r="D1394" i="1"/>
  <c r="F1394" i="1" s="1"/>
  <c r="D1395" i="1"/>
  <c r="F1395" i="1" s="1"/>
  <c r="D1396" i="1"/>
  <c r="F1396" i="1" s="1"/>
  <c r="D1397" i="1"/>
  <c r="F1397" i="1" s="1"/>
  <c r="D1398" i="1"/>
  <c r="F1398" i="1" s="1"/>
  <c r="D1399" i="1"/>
  <c r="F1399" i="1" s="1"/>
  <c r="D1400" i="1"/>
  <c r="F1400" i="1" s="1"/>
  <c r="D1401" i="1"/>
  <c r="F1401" i="1" s="1"/>
  <c r="D1402" i="1"/>
  <c r="F1402" i="1" s="1"/>
  <c r="D1403" i="1"/>
  <c r="F1403" i="1" s="1"/>
  <c r="D1404" i="1"/>
  <c r="F1404" i="1" s="1"/>
  <c r="D1405" i="1"/>
  <c r="F1405" i="1" s="1"/>
  <c r="D1406" i="1"/>
  <c r="F1406" i="1" s="1"/>
  <c r="D1407" i="1"/>
  <c r="F1407" i="1" s="1"/>
  <c r="D1408" i="1"/>
  <c r="F1408" i="1" s="1"/>
  <c r="D1409" i="1"/>
  <c r="F1409" i="1" s="1"/>
  <c r="D1410" i="1"/>
  <c r="F1410" i="1" s="1"/>
  <c r="D1411" i="1"/>
  <c r="F1411" i="1" s="1"/>
  <c r="D1412" i="1"/>
  <c r="F1412" i="1" s="1"/>
  <c r="D1413" i="1"/>
  <c r="F1413" i="1" s="1"/>
  <c r="D1414" i="1"/>
  <c r="F1414" i="1" s="1"/>
  <c r="D1415" i="1"/>
  <c r="F1415" i="1" s="1"/>
  <c r="D1416" i="1"/>
  <c r="F1416" i="1" s="1"/>
  <c r="D1417" i="1"/>
  <c r="F1417" i="1" s="1"/>
  <c r="D1418" i="1"/>
  <c r="F1418" i="1" s="1"/>
  <c r="D1383" i="1"/>
  <c r="A1384" i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G1383" i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E1381" i="1"/>
  <c r="E1378" i="1"/>
  <c r="E1377" i="1"/>
  <c r="E1380" i="1"/>
  <c r="E1379" i="1"/>
  <c r="F1379" i="1" s="1"/>
  <c r="E1376" i="1"/>
  <c r="F1376" i="1" s="1"/>
  <c r="E1375" i="1"/>
  <c r="E1374" i="1"/>
  <c r="E1371" i="1"/>
  <c r="F1371" i="1" s="1"/>
  <c r="E1370" i="1"/>
  <c r="F1370" i="1" s="1"/>
  <c r="E1373" i="1"/>
  <c r="E1372" i="1"/>
  <c r="E1369" i="1"/>
  <c r="E1368" i="1"/>
  <c r="E1367" i="1"/>
  <c r="E1364" i="1"/>
  <c r="F1364" i="1" s="1"/>
  <c r="E1363" i="1"/>
  <c r="F1363" i="1" s="1"/>
  <c r="E1359" i="1"/>
  <c r="F1359" i="1" s="1"/>
  <c r="E1360" i="1"/>
  <c r="F1360" i="1" s="1"/>
  <c r="E1366" i="1"/>
  <c r="E1365" i="1"/>
  <c r="E1362" i="1"/>
  <c r="E1361" i="1"/>
  <c r="E1358" i="1"/>
  <c r="E1349" i="1"/>
  <c r="E1357" i="1"/>
  <c r="E1356" i="1"/>
  <c r="E1354" i="1"/>
  <c r="E1353" i="1"/>
  <c r="E1355" i="1"/>
  <c r="E1352" i="1"/>
  <c r="E1351" i="1"/>
  <c r="E1350" i="1"/>
  <c r="E1348" i="1"/>
  <c r="F1348" i="1" s="1"/>
  <c r="E1347" i="1"/>
  <c r="E1346" i="1"/>
  <c r="A1347" i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G1346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D394" i="1"/>
  <c r="E394" i="1"/>
  <c r="E393" i="1"/>
  <c r="D393" i="1"/>
  <c r="E392" i="1"/>
  <c r="D392" i="1"/>
  <c r="E391" i="1"/>
  <c r="D391" i="1"/>
  <c r="D388" i="1"/>
  <c r="E390" i="1"/>
  <c r="D390" i="1"/>
  <c r="E389" i="1"/>
  <c r="D389" i="1"/>
  <c r="E388" i="1"/>
  <c r="E387" i="1"/>
  <c r="A388" i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G387" i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D1343" i="1"/>
  <c r="F1343" i="1" s="1"/>
  <c r="D1342" i="1"/>
  <c r="F1342" i="1" s="1"/>
  <c r="D1341" i="1"/>
  <c r="F1341" i="1" s="1"/>
  <c r="D1340" i="1"/>
  <c r="F1340" i="1" s="1"/>
  <c r="D1339" i="1"/>
  <c r="F1339" i="1" s="1"/>
  <c r="D1338" i="1"/>
  <c r="F1338" i="1" s="1"/>
  <c r="D1337" i="1"/>
  <c r="F1337" i="1" s="1"/>
  <c r="D1336" i="1"/>
  <c r="F1336" i="1" s="1"/>
  <c r="D1335" i="1"/>
  <c r="F1335" i="1" s="1"/>
  <c r="D1334" i="1"/>
  <c r="F1334" i="1" s="1"/>
  <c r="D1333" i="1"/>
  <c r="F1333" i="1" s="1"/>
  <c r="D1332" i="1"/>
  <c r="F1332" i="1" s="1"/>
  <c r="D1331" i="1"/>
  <c r="F1331" i="1" s="1"/>
  <c r="D1327" i="1"/>
  <c r="F1327" i="1" s="1"/>
  <c r="D1326" i="1"/>
  <c r="F1326" i="1" s="1"/>
  <c r="D1325" i="1"/>
  <c r="F1325" i="1" s="1"/>
  <c r="D1324" i="1"/>
  <c r="F1324" i="1" s="1"/>
  <c r="D1323" i="1"/>
  <c r="F1323" i="1" s="1"/>
  <c r="D1322" i="1"/>
  <c r="F1322" i="1" s="1"/>
  <c r="D1321" i="1"/>
  <c r="F1321" i="1" s="1"/>
  <c r="D1320" i="1"/>
  <c r="F1320" i="1" s="1"/>
  <c r="D1319" i="1"/>
  <c r="F1319" i="1" s="1"/>
  <c r="D1318" i="1"/>
  <c r="F1318" i="1" s="1"/>
  <c r="D1317" i="1"/>
  <c r="F1317" i="1" s="1"/>
  <c r="A1317" i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G1316" i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D1316" i="1"/>
  <c r="F1316" i="1" s="1"/>
  <c r="D1293" i="1"/>
  <c r="F1293" i="1" s="1"/>
  <c r="D1294" i="1"/>
  <c r="F1294" i="1" s="1"/>
  <c r="D1295" i="1"/>
  <c r="F1295" i="1" s="1"/>
  <c r="D1296" i="1"/>
  <c r="F1296" i="1" s="1"/>
  <c r="D1297" i="1"/>
  <c r="F1297" i="1" s="1"/>
  <c r="D1298" i="1"/>
  <c r="F1298" i="1" s="1"/>
  <c r="D1299" i="1"/>
  <c r="F1299" i="1" s="1"/>
  <c r="D1300" i="1"/>
  <c r="F1300" i="1" s="1"/>
  <c r="D1301" i="1"/>
  <c r="F1301" i="1" s="1"/>
  <c r="D1302" i="1"/>
  <c r="F1302" i="1" s="1"/>
  <c r="D1303" i="1"/>
  <c r="F1303" i="1" s="1"/>
  <c r="D1304" i="1"/>
  <c r="F1304" i="1" s="1"/>
  <c r="D1305" i="1"/>
  <c r="F1305" i="1" s="1"/>
  <c r="D1306" i="1"/>
  <c r="F1306" i="1" s="1"/>
  <c r="D1307" i="1"/>
  <c r="F1307" i="1" s="1"/>
  <c r="D1308" i="1"/>
  <c r="F1308" i="1" s="1"/>
  <c r="D1309" i="1"/>
  <c r="F1309" i="1" s="1"/>
  <c r="D1310" i="1"/>
  <c r="F1310" i="1" s="1"/>
  <c r="D1311" i="1"/>
  <c r="F1311" i="1" s="1"/>
  <c r="D1312" i="1"/>
  <c r="F1312" i="1" s="1"/>
  <c r="D1313" i="1"/>
  <c r="F1313" i="1" s="1"/>
  <c r="D1314" i="1"/>
  <c r="F1314" i="1" s="1"/>
  <c r="D1292" i="1"/>
  <c r="F1292" i="1" s="1"/>
  <c r="D1289" i="1"/>
  <c r="F1289" i="1" s="1"/>
  <c r="D1288" i="1"/>
  <c r="D1291" i="1"/>
  <c r="F1291" i="1" s="1"/>
  <c r="D1290" i="1"/>
  <c r="F1290" i="1" s="1"/>
  <c r="F1287" i="1"/>
  <c r="A1288" i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G1287" i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E1285" i="1"/>
  <c r="D1285" i="1"/>
  <c r="E1282" i="1"/>
  <c r="D1282" i="1"/>
  <c r="E1281" i="1"/>
  <c r="D1281" i="1"/>
  <c r="E1284" i="1"/>
  <c r="D1284" i="1"/>
  <c r="E1283" i="1"/>
  <c r="D1283" i="1"/>
  <c r="E1280" i="1"/>
  <c r="D1280" i="1"/>
  <c r="E1279" i="1"/>
  <c r="D1279" i="1"/>
  <c r="E1278" i="1"/>
  <c r="D1278" i="1"/>
  <c r="E1277" i="1"/>
  <c r="D1277" i="1"/>
  <c r="E1275" i="1"/>
  <c r="D1275" i="1"/>
  <c r="E1274" i="1"/>
  <c r="D1274" i="1"/>
  <c r="E1276" i="1"/>
  <c r="D1276" i="1"/>
  <c r="E1271" i="1"/>
  <c r="D1271" i="1"/>
  <c r="E1270" i="1"/>
  <c r="D1270" i="1"/>
  <c r="E1272" i="1"/>
  <c r="D1272" i="1"/>
  <c r="E1269" i="1"/>
  <c r="D1269" i="1"/>
  <c r="E1265" i="1"/>
  <c r="D1265" i="1"/>
  <c r="E1267" i="1"/>
  <c r="D1267" i="1"/>
  <c r="E1266" i="1"/>
  <c r="D1266" i="1"/>
  <c r="E1264" i="1"/>
  <c r="D1264" i="1"/>
  <c r="E1263" i="1"/>
  <c r="D1263" i="1"/>
  <c r="E1260" i="1"/>
  <c r="D1260" i="1"/>
  <c r="E1259" i="1"/>
  <c r="D1259" i="1"/>
  <c r="E1262" i="1"/>
  <c r="D1262" i="1"/>
  <c r="E1261" i="1"/>
  <c r="D1261" i="1"/>
  <c r="E1258" i="1"/>
  <c r="D1258" i="1"/>
  <c r="A1259" i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G1258" i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E317" i="1"/>
  <c r="E315" i="1"/>
  <c r="A297" i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G296" i="1"/>
  <c r="D519" i="1"/>
  <c r="F519" i="1" s="1"/>
  <c r="D520" i="1"/>
  <c r="F520" i="1" s="1"/>
  <c r="D521" i="1"/>
  <c r="F521" i="1" s="1"/>
  <c r="D522" i="1"/>
  <c r="F522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531" i="1"/>
  <c r="F531" i="1" s="1"/>
  <c r="D532" i="1"/>
  <c r="F532" i="1" s="1"/>
  <c r="D533" i="1"/>
  <c r="F533" i="1" s="1"/>
  <c r="D534" i="1"/>
  <c r="F534" i="1" s="1"/>
  <c r="D535" i="1"/>
  <c r="F535" i="1" s="1"/>
  <c r="D536" i="1"/>
  <c r="F536" i="1" s="1"/>
  <c r="D538" i="1"/>
  <c r="F538" i="1" s="1"/>
  <c r="D539" i="1"/>
  <c r="F539" i="1" s="1"/>
  <c r="D540" i="1"/>
  <c r="F540" i="1" s="1"/>
  <c r="D541" i="1"/>
  <c r="F541" i="1" s="1"/>
  <c r="D542" i="1"/>
  <c r="F542" i="1" s="1"/>
  <c r="D543" i="1"/>
  <c r="F543" i="1" s="1"/>
  <c r="D544" i="1"/>
  <c r="F544" i="1" s="1"/>
  <c r="D545" i="1"/>
  <c r="F545" i="1" s="1"/>
  <c r="D547" i="1"/>
  <c r="F547" i="1" s="1"/>
  <c r="D548" i="1"/>
  <c r="F548" i="1" s="1"/>
  <c r="D549" i="1"/>
  <c r="F549" i="1" s="1"/>
  <c r="D518" i="1"/>
  <c r="F518" i="1" s="1"/>
  <c r="D516" i="1"/>
  <c r="F516" i="1" s="1"/>
  <c r="D510" i="1"/>
  <c r="D511" i="1"/>
  <c r="D512" i="1"/>
  <c r="D513" i="1"/>
  <c r="D514" i="1"/>
  <c r="D515" i="1"/>
  <c r="F515" i="1" s="1"/>
  <c r="D509" i="1"/>
  <c r="E242" i="1" l="1"/>
  <c r="C253" i="1"/>
  <c r="E253" i="1"/>
  <c r="F1383" i="1"/>
  <c r="C254" i="1"/>
  <c r="E254" i="1"/>
  <c r="F1499" i="1"/>
  <c r="E255" i="1"/>
  <c r="C255" i="1"/>
  <c r="E241" i="1"/>
  <c r="F408" i="1"/>
  <c r="F1288" i="1"/>
  <c r="F319" i="1"/>
  <c r="F1265" i="1"/>
  <c r="F1274" i="1"/>
  <c r="F394" i="1"/>
  <c r="F395" i="1"/>
  <c r="F399" i="1"/>
  <c r="F1281" i="1"/>
  <c r="F391" i="1"/>
  <c r="F1261" i="1"/>
  <c r="F1279" i="1"/>
  <c r="F405" i="1"/>
  <c r="F409" i="1"/>
  <c r="F417" i="1"/>
  <c r="F390" i="1"/>
  <c r="F1475" i="1"/>
  <c r="F1260" i="1"/>
  <c r="F1267" i="1"/>
  <c r="C241" i="1"/>
  <c r="F1351" i="1"/>
  <c r="F1354" i="1"/>
  <c r="C242" i="1"/>
  <c r="F396" i="1"/>
  <c r="F1347" i="1"/>
  <c r="F1352" i="1"/>
  <c r="F1356" i="1"/>
  <c r="F1361" i="1"/>
  <c r="F1367" i="1"/>
  <c r="F1373" i="1"/>
  <c r="F1375" i="1"/>
  <c r="F393" i="1"/>
  <c r="F298" i="1"/>
  <c r="F302" i="1"/>
  <c r="F306" i="1"/>
  <c r="F310" i="1"/>
  <c r="F314" i="1"/>
  <c r="F318" i="1"/>
  <c r="F388" i="1"/>
  <c r="F406" i="1"/>
  <c r="F387" i="1"/>
  <c r="F1350" i="1"/>
  <c r="F1369" i="1"/>
  <c r="F407" i="1"/>
  <c r="F419" i="1"/>
  <c r="F392" i="1"/>
  <c r="F400" i="1"/>
  <c r="F300" i="1"/>
  <c r="F304" i="1"/>
  <c r="F308" i="1"/>
  <c r="F312" i="1"/>
  <c r="F1262" i="1"/>
  <c r="F1264" i="1"/>
  <c r="F1268" i="1"/>
  <c r="F1271" i="1"/>
  <c r="F1275" i="1"/>
  <c r="F1280" i="1"/>
  <c r="F1282" i="1"/>
  <c r="F1346" i="1"/>
  <c r="F1358" i="1"/>
  <c r="F1366" i="1"/>
  <c r="F1372" i="1"/>
  <c r="F1374" i="1"/>
  <c r="F1380" i="1"/>
  <c r="F416" i="1"/>
  <c r="F1494" i="1"/>
  <c r="F305" i="1"/>
  <c r="F1272" i="1"/>
  <c r="F1276" i="1"/>
  <c r="F1278" i="1"/>
  <c r="F1284" i="1"/>
  <c r="F398" i="1"/>
  <c r="F1353" i="1"/>
  <c r="F1365" i="1"/>
  <c r="F1381" i="1"/>
  <c r="F412" i="1"/>
  <c r="F315" i="1"/>
  <c r="F1270" i="1"/>
  <c r="F413" i="1"/>
  <c r="F410" i="1"/>
  <c r="F414" i="1"/>
  <c r="F418" i="1"/>
  <c r="F320" i="1"/>
  <c r="F389" i="1"/>
  <c r="F1377" i="1"/>
  <c r="F301" i="1"/>
  <c r="F309" i="1"/>
  <c r="F317" i="1"/>
  <c r="F1259" i="1"/>
  <c r="F1266" i="1"/>
  <c r="F1269" i="1"/>
  <c r="F1273" i="1"/>
  <c r="F1277" i="1"/>
  <c r="F1283" i="1"/>
  <c r="F1285" i="1"/>
  <c r="F397" i="1"/>
  <c r="F1355" i="1"/>
  <c r="F1357" i="1"/>
  <c r="F1362" i="1"/>
  <c r="F1378" i="1"/>
  <c r="F415" i="1"/>
  <c r="F1472" i="1"/>
  <c r="F1462" i="1"/>
  <c r="F1458" i="1"/>
  <c r="F411" i="1"/>
  <c r="F404" i="1"/>
  <c r="F403" i="1"/>
  <c r="F1368" i="1"/>
  <c r="F1349" i="1"/>
  <c r="F296" i="1"/>
  <c r="F1263" i="1"/>
  <c r="F313" i="1"/>
  <c r="F299" i="1"/>
  <c r="F307" i="1"/>
  <c r="F311" i="1"/>
  <c r="F1258" i="1"/>
  <c r="F316" i="1"/>
  <c r="F303" i="1"/>
  <c r="F297" i="1"/>
  <c r="D475" i="1"/>
  <c r="F475" i="1" s="1"/>
  <c r="D476" i="1"/>
  <c r="F476" i="1" s="1"/>
  <c r="D477" i="1"/>
  <c r="F477" i="1" s="1"/>
  <c r="D478" i="1"/>
  <c r="F478" i="1" s="1"/>
  <c r="D479" i="1"/>
  <c r="F479" i="1" s="1"/>
  <c r="D480" i="1"/>
  <c r="F480" i="1" s="1"/>
  <c r="D481" i="1"/>
  <c r="F481" i="1" s="1"/>
  <c r="D482" i="1"/>
  <c r="F482" i="1" s="1"/>
  <c r="D483" i="1"/>
  <c r="F483" i="1" s="1"/>
  <c r="D484" i="1"/>
  <c r="F484" i="1" s="1"/>
  <c r="D485" i="1"/>
  <c r="F485" i="1" s="1"/>
  <c r="D486" i="1"/>
  <c r="F486" i="1" s="1"/>
  <c r="D487" i="1"/>
  <c r="F487" i="1" s="1"/>
  <c r="D488" i="1"/>
  <c r="F488" i="1" s="1"/>
  <c r="D489" i="1"/>
  <c r="F489" i="1" s="1"/>
  <c r="D490" i="1"/>
  <c r="F490" i="1" s="1"/>
  <c r="D491" i="1"/>
  <c r="F491" i="1" s="1"/>
  <c r="D492" i="1"/>
  <c r="F492" i="1" s="1"/>
  <c r="D493" i="1"/>
  <c r="F493" i="1" s="1"/>
  <c r="D494" i="1"/>
  <c r="F494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502" i="1"/>
  <c r="F502" i="1" s="1"/>
  <c r="D503" i="1"/>
  <c r="F503" i="1" s="1"/>
  <c r="D504" i="1"/>
  <c r="F504" i="1" s="1"/>
  <c r="D505" i="1"/>
  <c r="F505" i="1" s="1"/>
  <c r="D506" i="1"/>
  <c r="F506" i="1" s="1"/>
  <c r="D507" i="1"/>
  <c r="F507" i="1" s="1"/>
  <c r="D473" i="1"/>
  <c r="F473" i="1" s="1"/>
  <c r="D474" i="1"/>
  <c r="F474" i="1" s="1"/>
  <c r="D468" i="1"/>
  <c r="F468" i="1" s="1"/>
  <c r="D469" i="1"/>
  <c r="F469" i="1" s="1"/>
  <c r="D470" i="1"/>
  <c r="F470" i="1" s="1"/>
  <c r="D471" i="1"/>
  <c r="F471" i="1" s="1"/>
  <c r="D472" i="1"/>
  <c r="F472" i="1" s="1"/>
  <c r="D467" i="1"/>
  <c r="F467" i="1" s="1"/>
  <c r="A468" i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I467" i="1"/>
  <c r="G467" i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D464" i="1"/>
  <c r="E464" i="1"/>
  <c r="E463" i="1"/>
  <c r="D463" i="1"/>
  <c r="E465" i="1"/>
  <c r="D465" i="1"/>
  <c r="E462" i="1"/>
  <c r="D462" i="1"/>
  <c r="D461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D450" i="1"/>
  <c r="E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D443" i="1"/>
  <c r="E443" i="1"/>
  <c r="E442" i="1"/>
  <c r="D442" i="1"/>
  <c r="E441" i="1"/>
  <c r="D441" i="1"/>
  <c r="D440" i="1"/>
  <c r="E440" i="1"/>
  <c r="E439" i="1"/>
  <c r="D439" i="1"/>
  <c r="E243" i="1" l="1"/>
  <c r="C243" i="1"/>
  <c r="G236" i="1"/>
  <c r="G242" i="1"/>
  <c r="G254" i="1"/>
  <c r="G255" i="1"/>
  <c r="G241" i="1"/>
  <c r="E256" i="1"/>
  <c r="G253" i="1"/>
  <c r="C256" i="1"/>
  <c r="E436" i="1"/>
  <c r="D436" i="1"/>
  <c r="E435" i="1"/>
  <c r="D435" i="1"/>
  <c r="E438" i="1"/>
  <c r="D438" i="1"/>
  <c r="E437" i="1"/>
  <c r="D437" i="1"/>
  <c r="E434" i="1"/>
  <c r="D434" i="1"/>
  <c r="E433" i="1"/>
  <c r="D433" i="1"/>
  <c r="E432" i="1"/>
  <c r="D432" i="1"/>
  <c r="E430" i="1"/>
  <c r="D430" i="1"/>
  <c r="E431" i="1"/>
  <c r="D431" i="1"/>
  <c r="E429" i="1"/>
  <c r="D429" i="1"/>
  <c r="E428" i="1"/>
  <c r="D428" i="1"/>
  <c r="E427" i="1"/>
  <c r="D427" i="1"/>
  <c r="E426" i="1"/>
  <c r="D426" i="1"/>
  <c r="E425" i="1"/>
  <c r="D425" i="1"/>
  <c r="I425" i="1"/>
  <c r="F442" i="1"/>
  <c r="F443" i="1"/>
  <c r="F449" i="1"/>
  <c r="F451" i="1"/>
  <c r="F455" i="1"/>
  <c r="F458" i="1"/>
  <c r="F459" i="1"/>
  <c r="F462" i="1"/>
  <c r="F463" i="1"/>
  <c r="F465" i="1"/>
  <c r="F464" i="1"/>
  <c r="F461" i="1"/>
  <c r="F460" i="1"/>
  <c r="F457" i="1"/>
  <c r="F456" i="1"/>
  <c r="F454" i="1"/>
  <c r="F453" i="1"/>
  <c r="F452" i="1"/>
  <c r="I452" i="1" s="1"/>
  <c r="F450" i="1"/>
  <c r="F448" i="1"/>
  <c r="F447" i="1"/>
  <c r="F446" i="1"/>
  <c r="F445" i="1"/>
  <c r="F444" i="1"/>
  <c r="F441" i="1"/>
  <c r="F440" i="1"/>
  <c r="F439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E257" i="1" l="1"/>
  <c r="C257" i="1"/>
  <c r="G256" i="1"/>
  <c r="G243" i="1"/>
  <c r="F436" i="1"/>
  <c r="F434" i="1"/>
  <c r="F272" i="1"/>
  <c r="F438" i="1"/>
  <c r="F433" i="1"/>
  <c r="F435" i="1"/>
  <c r="F269" i="1"/>
  <c r="F437" i="1"/>
  <c r="F431" i="1"/>
  <c r="F432" i="1"/>
  <c r="F271" i="1"/>
  <c r="F514" i="1"/>
  <c r="F513" i="1"/>
  <c r="F512" i="1"/>
  <c r="F511" i="1"/>
  <c r="F510" i="1"/>
  <c r="F509" i="1"/>
  <c r="F430" i="1"/>
  <c r="F429" i="1"/>
  <c r="F428" i="1"/>
  <c r="F426" i="1"/>
  <c r="F425" i="1"/>
  <c r="F427" i="1"/>
  <c r="G257" i="1" l="1"/>
  <c r="F265" i="1"/>
  <c r="F266" i="1"/>
  <c r="F267" i="1"/>
  <c r="F268" i="1"/>
  <c r="F270" i="1"/>
  <c r="F264" i="1"/>
  <c r="O509" i="1"/>
  <c r="P509" i="1"/>
  <c r="B1583" i="1" l="1"/>
  <c r="E2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J13" i="6"/>
  <c r="J12" i="6"/>
  <c r="J11" i="6"/>
  <c r="J10" i="6"/>
  <c r="L14" i="8"/>
  <c r="L13" i="8"/>
  <c r="L12" i="8"/>
  <c r="L11" i="8"/>
  <c r="D1604" i="1"/>
  <c r="G509" i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425" i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A426" i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265" i="1"/>
  <c r="A266" i="1" s="1"/>
  <c r="A267" i="1" s="1"/>
  <c r="A268" i="1" s="1"/>
  <c r="A269" i="1" s="1"/>
  <c r="A270" i="1" s="1"/>
  <c r="A271" i="1" s="1"/>
  <c r="A272" i="1" s="1"/>
  <c r="G264" i="1"/>
  <c r="G265" i="1" s="1"/>
  <c r="G266" i="1" s="1"/>
  <c r="G267" i="1" s="1"/>
  <c r="G268" i="1" s="1"/>
  <c r="G269" i="1" s="1"/>
  <c r="G270" i="1" s="1"/>
  <c r="G271" i="1" s="1"/>
  <c r="G272" i="1" s="1"/>
  <c r="F232" i="1"/>
  <c r="J202" i="1"/>
  <c r="J201" i="1"/>
  <c r="J200" i="1"/>
  <c r="J199" i="1"/>
  <c r="J188" i="1"/>
  <c r="J187" i="1"/>
  <c r="J186" i="1"/>
  <c r="J185" i="1"/>
  <c r="J75" i="1"/>
  <c r="J74" i="1"/>
  <c r="J73" i="1"/>
  <c r="J72" i="1"/>
  <c r="D58" i="1"/>
  <c r="D52" i="1"/>
  <c r="G47" i="1"/>
  <c r="G48" i="1" s="1"/>
  <c r="C47" i="1"/>
  <c r="E41" i="1"/>
  <c r="E42" i="1" s="1"/>
  <c r="E25" i="1"/>
  <c r="E23" i="1"/>
  <c r="C14" i="1"/>
  <c r="E7" i="1"/>
  <c r="I4" i="8"/>
  <c r="H65" i="1"/>
  <c r="H3" i="6"/>
  <c r="H178" i="1"/>
  <c r="H192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J77" i="1" s="1"/>
  <c r="C69" i="1" s="1"/>
  <c r="E68" i="1" s="1"/>
  <c r="D76" i="1"/>
  <c r="D72" i="1"/>
  <c r="D74" i="1"/>
  <c r="D197" i="1"/>
  <c r="J195" i="1"/>
  <c r="D204" i="1"/>
  <c r="D202" i="1"/>
  <c r="D200" i="1"/>
  <c r="D198" i="1"/>
  <c r="J196" i="1"/>
  <c r="C195" i="1" s="1"/>
  <c r="D195" i="1" s="1"/>
  <c r="J194" i="1"/>
  <c r="J197" i="1"/>
  <c r="J198" i="1" s="1"/>
  <c r="J203" i="1" s="1"/>
  <c r="J204" i="1" s="1"/>
  <c r="C196" i="1" s="1"/>
  <c r="D203" i="1"/>
  <c r="D201" i="1"/>
  <c r="D199" i="1"/>
  <c r="J183" i="1"/>
  <c r="J184" i="1" s="1"/>
  <c r="J189" i="1" s="1"/>
  <c r="J190" i="1" s="1"/>
  <c r="C182" i="1" s="1"/>
  <c r="D189" i="1"/>
  <c r="D187" i="1"/>
  <c r="D185" i="1"/>
  <c r="D183" i="1"/>
  <c r="J181" i="1"/>
  <c r="D190" i="1"/>
  <c r="J182" i="1"/>
  <c r="C181" i="1" s="1"/>
  <c r="D181" i="1" s="1"/>
  <c r="D184" i="1"/>
  <c r="D186" i="1"/>
  <c r="D188" i="1"/>
  <c r="J180" i="1"/>
  <c r="N509" i="1"/>
  <c r="O510" i="1"/>
  <c r="P510" i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C9" i="8"/>
  <c r="D9" i="8" s="1"/>
  <c r="L7" i="8"/>
  <c r="D16" i="8"/>
  <c r="D14" i="8"/>
  <c r="D12" i="8"/>
  <c r="D10" i="8"/>
  <c r="L8" i="8"/>
  <c r="C7" i="8" s="1"/>
  <c r="L6" i="8"/>
  <c r="D13" i="8"/>
  <c r="L9" i="8"/>
  <c r="L10" i="8" s="1"/>
  <c r="L15" i="8" s="1"/>
  <c r="L16" i="8" s="1"/>
  <c r="C8" i="8" s="1"/>
  <c r="D15" i="8"/>
  <c r="D11" i="8"/>
  <c r="D14" i="6"/>
  <c r="D12" i="6"/>
  <c r="D10" i="6"/>
  <c r="C8" i="6"/>
  <c r="D8" i="6" s="1"/>
  <c r="J6" i="6"/>
  <c r="D15" i="6"/>
  <c r="D13" i="6"/>
  <c r="D11" i="6"/>
  <c r="D9" i="6"/>
  <c r="J7" i="6"/>
  <c r="C6" i="6" s="1"/>
  <c r="D6" i="6" s="1"/>
  <c r="J5" i="6"/>
  <c r="J8" i="6"/>
  <c r="J9" i="6" s="1"/>
  <c r="J14" i="6" s="1"/>
  <c r="J15" i="6" s="1"/>
  <c r="C7" i="6" s="1"/>
  <c r="E181" i="1" l="1"/>
  <c r="I177" i="1" s="1"/>
  <c r="C179" i="1" s="1"/>
  <c r="D182" i="1"/>
  <c r="E195" i="1"/>
  <c r="I191" i="1" s="1"/>
  <c r="C193" i="1" s="1"/>
  <c r="D196" i="1"/>
  <c r="E6" i="6"/>
  <c r="D7" i="6"/>
  <c r="F7" i="8"/>
  <c r="D8" i="8"/>
  <c r="I64" i="1"/>
  <c r="C66" i="1" s="1"/>
  <c r="D69" i="1"/>
  <c r="H7" i="8"/>
  <c r="H18" i="8" s="1"/>
  <c r="G6" i="6"/>
  <c r="G17" i="6" s="1"/>
  <c r="G195" i="1"/>
  <c r="G181" i="1"/>
  <c r="N510" i="1"/>
  <c r="O511" i="1"/>
  <c r="D7" i="8"/>
  <c r="G68" i="1"/>
  <c r="D62" i="1" s="1"/>
  <c r="H206" i="1"/>
  <c r="D217" i="1" l="1"/>
  <c r="D213" i="1"/>
  <c r="J209" i="1"/>
  <c r="D216" i="1"/>
  <c r="D212" i="1"/>
  <c r="J211" i="1"/>
  <c r="J212" i="1" s="1"/>
  <c r="J217" i="1" s="1"/>
  <c r="D215" i="1"/>
  <c r="D211" i="1"/>
  <c r="D218" i="1"/>
  <c r="D214" i="1"/>
  <c r="J210" i="1"/>
  <c r="C209" i="1" s="1"/>
  <c r="D209" i="1" s="1"/>
  <c r="J208" i="1"/>
  <c r="F63" i="1"/>
  <c r="D63" i="1"/>
  <c r="N511" i="1"/>
  <c r="O512" i="1"/>
  <c r="K3" i="8"/>
  <c r="C5" i="8" s="1"/>
  <c r="F18" i="8"/>
  <c r="E17" i="6"/>
  <c r="I2" i="6"/>
  <c r="C4" i="6" s="1"/>
  <c r="J218" i="1" l="1"/>
  <c r="E209" i="1"/>
  <c r="N512" i="1"/>
  <c r="O513" i="1"/>
  <c r="I205" i="1" l="1"/>
  <c r="C207" i="1" s="1"/>
  <c r="G209" i="1"/>
  <c r="D210" i="1"/>
  <c r="N513" i="1"/>
  <c r="O514" i="1"/>
  <c r="N514" i="1" l="1"/>
  <c r="O515" i="1"/>
  <c r="N515" i="1" l="1"/>
  <c r="O516" i="1"/>
  <c r="O517" i="1" l="1"/>
  <c r="N516" i="1"/>
  <c r="N517" i="1" l="1"/>
  <c r="O518" i="1"/>
  <c r="O519" i="1" s="1"/>
  <c r="O520" i="1" l="1"/>
  <c r="N519" i="1"/>
  <c r="N518" i="1"/>
  <c r="N520" i="1" l="1"/>
  <c r="O521" i="1"/>
  <c r="N521" i="1" l="1"/>
  <c r="O522" i="1"/>
  <c r="O523" i="1" l="1"/>
  <c r="N522" i="1"/>
  <c r="N523" i="1" l="1"/>
  <c r="O524" i="1"/>
  <c r="N524" i="1" l="1"/>
  <c r="O525" i="1"/>
  <c r="N525" i="1" l="1"/>
  <c r="O526" i="1"/>
  <c r="O527" i="1" l="1"/>
  <c r="N526" i="1"/>
  <c r="N527" i="1" l="1"/>
  <c r="O528" i="1"/>
  <c r="O529" i="1" l="1"/>
  <c r="N528" i="1"/>
  <c r="O530" i="1" l="1"/>
  <c r="N529" i="1"/>
  <c r="N530" i="1" l="1"/>
  <c r="O531" i="1"/>
  <c r="N531" i="1" l="1"/>
  <c r="O532" i="1"/>
  <c r="N532" i="1" l="1"/>
  <c r="O533" i="1"/>
  <c r="O534" i="1" l="1"/>
  <c r="N533" i="1"/>
  <c r="O535" i="1" l="1"/>
  <c r="N534" i="1"/>
  <c r="N535" i="1" l="1"/>
  <c r="O536" i="1"/>
  <c r="O537" i="1" l="1"/>
  <c r="N536" i="1"/>
  <c r="O538" i="1" l="1"/>
  <c r="N537" i="1"/>
  <c r="N538" i="1" l="1"/>
  <c r="O539" i="1"/>
  <c r="N539" i="1" l="1"/>
  <c r="O540" i="1"/>
  <c r="N540" i="1" l="1"/>
  <c r="O541" i="1"/>
  <c r="N541" i="1" l="1"/>
  <c r="O542" i="1"/>
  <c r="N542" i="1" l="1"/>
  <c r="O543" i="1"/>
  <c r="O544" i="1" l="1"/>
  <c r="N543" i="1"/>
  <c r="N544" i="1" l="1"/>
  <c r="O545" i="1"/>
  <c r="N545" i="1" l="1"/>
  <c r="O546" i="1"/>
  <c r="O547" i="1" l="1"/>
  <c r="N546" i="1"/>
  <c r="N547" i="1" l="1"/>
  <c r="O548" i="1"/>
  <c r="N548" i="1" l="1"/>
  <c r="O549" i="1"/>
  <c r="N549" i="1" s="1"/>
</calcChain>
</file>

<file path=xl/sharedStrings.xml><?xml version="1.0" encoding="utf-8"?>
<sst xmlns="http://schemas.openxmlformats.org/spreadsheetml/2006/main" count="2060" uniqueCount="258">
  <si>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</si>
  <si>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</si>
  <si>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</si>
  <si>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</si>
  <si>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</si>
  <si>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</si>
  <si>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</si>
  <si>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</si>
  <si>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</si>
  <si>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</si>
  <si>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</si>
  <si>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</si>
  <si>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</si>
  <si>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</si>
  <si>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</si>
  <si>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</si>
  <si>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</si>
  <si>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</si>
  <si>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</si>
  <si>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</si>
  <si>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</si>
  <si>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</si>
  <si>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</si>
  <si>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</si>
  <si>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</si>
  <si>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</si>
  <si>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</si>
  <si>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</si>
  <si>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</si>
  <si>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</si>
  <si>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</si>
  <si>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</si>
  <si>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</si>
  <si>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</si>
  <si>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</si>
  <si>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</si>
  <si>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</si>
  <si>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</si>
  <si>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</si>
  <si>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</si>
  <si>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</si>
  <si>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</si>
  <si>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</si>
  <si>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</si>
  <si>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</si>
  <si>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</si>
  <si>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</si>
  <si>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</si>
  <si>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</si>
  <si>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</si>
  <si>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</si>
  <si>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</si>
  <si>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</si>
  <si>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</si>
  <si>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</si>
  <si>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</si>
  <si>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</si>
  <si>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</si>
  <si>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</si>
  <si>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</si>
  <si>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</si>
  <si>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</si>
  <si>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</si>
  <si>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</si>
  <si>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</si>
  <si>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</si>
  <si>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</si>
  <si>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</si>
  <si>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</si>
  <si>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</si>
  <si>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</si>
  <si>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</si>
  <si>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</si>
  <si>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</si>
  <si>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</si>
  <si>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</si>
  <si>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</si>
  <si>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</si>
  <si>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</si>
  <si>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</si>
  <si>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</si>
  <si>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</si>
  <si>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</si>
  <si>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</si>
  <si>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</si>
  <si>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</si>
  <si>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</si>
  <si>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</si>
  <si>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</si>
  <si>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</si>
  <si>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</si>
  <si>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</si>
  <si>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</si>
  <si>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</si>
  <si>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</si>
  <si>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</si>
  <si>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</si>
  <si>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</si>
  <si>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</si>
  <si>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</si>
  <si>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</si>
  <si>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</si>
  <si>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</si>
  <si>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</si>
  <si>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</si>
  <si>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</si>
  <si>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</si>
  <si>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</si>
  <si>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</si>
  <si>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</si>
  <si>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</si>
  <si>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</si>
  <si>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</si>
  <si>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</si>
  <si>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</si>
  <si>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</si>
  <si>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</si>
  <si>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</si>
  <si>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</si>
  <si>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</si>
  <si>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</si>
  <si>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</si>
  <si>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</si>
  <si>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</si>
  <si>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</si>
  <si>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</si>
  <si>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</si>
  <si>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</si>
  <si>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</si>
  <si>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</si>
  <si>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</si>
  <si>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</si>
  <si>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</si>
  <si>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</si>
  <si>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</si>
  <si>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</si>
  <si>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</si>
  <si>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</si>
  <si>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</si>
  <si>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</si>
  <si>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</si>
  <si>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</si>
  <si>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</si>
  <si>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</si>
  <si>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</si>
  <si>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</si>
  <si>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</si>
  <si>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</si>
  <si>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</si>
  <si>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</si>
  <si>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</si>
  <si>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</si>
  <si>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</si>
  <si>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</si>
  <si>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Add 14 Black Row in OLD APF format</t>
  </si>
  <si>
    <t>Piling Work in process</t>
  </si>
  <si>
    <t>Basement</t>
  </si>
  <si>
    <t>Basement 2</t>
  </si>
  <si>
    <t>Basement 3</t>
  </si>
  <si>
    <t>Basement 4</t>
  </si>
  <si>
    <t xml:space="preserve"> Building No.  = G + 20th Floor</t>
  </si>
  <si>
    <t>Basement 1</t>
  </si>
  <si>
    <t>Plinth in process</t>
  </si>
  <si>
    <t xml:space="preserve">Violations Observed if any : </t>
  </si>
  <si>
    <t>Saleable area Loading :</t>
  </si>
  <si>
    <t>Total</t>
  </si>
  <si>
    <t>Sector lV, Building No. 17</t>
  </si>
  <si>
    <t>Shop</t>
  </si>
  <si>
    <t>Ground Floor for Commercial &amp; Parking</t>
  </si>
  <si>
    <t>1st Floor for Residential</t>
  </si>
  <si>
    <t>Attached Loft area</t>
  </si>
  <si>
    <t xml:space="preserve">2nd to 7th, 9th to 11th, 13rd to 15th, 17th to 19th, 21st to 23rd Floor </t>
  </si>
  <si>
    <t>Refuge Area</t>
  </si>
  <si>
    <t>8th, 12th, 16th &amp; 20th Floor (Part refuge area)</t>
  </si>
  <si>
    <t>Axis Goregaon</t>
  </si>
  <si>
    <t>M/s.Conceptual Advisory Services LLP</t>
  </si>
  <si>
    <t>Suraksha Smart City - Phase I</t>
  </si>
  <si>
    <t>Approved Plans, CC, Sale Plans.</t>
  </si>
  <si>
    <t>P99000023396</t>
  </si>
  <si>
    <t>Survey No</t>
  </si>
  <si>
    <t>3, S.No. 4, S.No. 5, Hiss No. 1,2,3,4…, others</t>
  </si>
  <si>
    <t>Rajavali</t>
  </si>
  <si>
    <t>Vasai</t>
  </si>
  <si>
    <t>Palghar</t>
  </si>
  <si>
    <t>3.5 km from Vasai
Railway Station</t>
  </si>
  <si>
    <t xml:space="preserve">Internal road </t>
  </si>
  <si>
    <t xml:space="preserve">Vasai </t>
  </si>
  <si>
    <t>Schwon Lake</t>
  </si>
  <si>
    <t>Open Plot</t>
  </si>
  <si>
    <t>VVCMC/TP/AMEND/VP/PMAY-1/102/2021-22</t>
  </si>
  <si>
    <t>VVCMC/TP/RDP/VP-PMAY-1/102/2021-22</t>
  </si>
  <si>
    <t>Building No. 17</t>
  </si>
  <si>
    <t>Building No. 18</t>
  </si>
  <si>
    <t>Building No. 19</t>
  </si>
  <si>
    <t>Building No. 20</t>
  </si>
  <si>
    <t>Building No. 18 = G/St + 1st to 23rd Floor.</t>
  </si>
  <si>
    <t>Building No. 19 = G/St + 1st to 23rd Floor.</t>
  </si>
  <si>
    <t>We considered Gross carpet area = Net carpet + Enclose balcony + C.B Area + A.F Area.</t>
  </si>
  <si>
    <t>1,50,000/-</t>
  </si>
  <si>
    <t>We have updated Revised Approved plan &amp; C.C (on 20/12/2021).</t>
  </si>
  <si>
    <t>1BHK</t>
  </si>
  <si>
    <t>As per RERA, Project consists of Building No. 17 to 20. But as per Axis Bank, only Building No. 18 to 20 to be done for apf.</t>
  </si>
  <si>
    <t>Location Link</t>
  </si>
  <si>
    <t>https://goo.gl/maps/EyUdxkNpeCrDoFX89</t>
  </si>
  <si>
    <t>Latitude, Longitude</t>
  </si>
  <si>
    <t>Ground Floor for Entrance Lobby, Meter Room, Society Office, Commercial &amp; Parking</t>
  </si>
  <si>
    <t>Building No. 14</t>
  </si>
  <si>
    <t>We have updated Revised Approved plan &amp; C.C of Building No. 14 (on 16/05/2023).</t>
  </si>
  <si>
    <t>Sector lVB, Building No. 19</t>
  </si>
  <si>
    <t>Sector lVB Building No. 20</t>
  </si>
  <si>
    <t xml:space="preserve">Commencement Certificate No.
Valid Up to: </t>
  </si>
  <si>
    <t>Sector lVA</t>
  </si>
  <si>
    <t xml:space="preserve">DC </t>
  </si>
  <si>
    <t>nikhil</t>
  </si>
  <si>
    <t>cost sheet</t>
  </si>
  <si>
    <t>On Site, we meet Mr. Pradeep Yadav : 9699477577.</t>
  </si>
  <si>
    <t>*</t>
  </si>
  <si>
    <t>Sector IVA (Building No. 8, 9, 10, 14, 15, 16)
Sector IVB (Building No. 17 to 20)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</si>
  <si>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        E mail : vsjcapf@gmail.com. Web site : www.vsjadon.com</t>
  </si>
  <si>
    <t>19.387046,72.847225</t>
  </si>
  <si>
    <t>We have updated Approved floor plan &amp; C.C of Building No. 8, 9, 10, 15, 16, 17 (on 17/10/2023).</t>
  </si>
  <si>
    <t>Sector IVA (Building No.8 to 10 &amp; 14 to 16) = G/St + 1st to 23rd Floor.
Sector IVB (Building No. 17 to 20) = G/St + 1st to 23rd Floor.</t>
  </si>
  <si>
    <t>Vitrified tiles flooring, Kitchen Platform, Decorative Entrance, etc .</t>
  </si>
  <si>
    <t>Building No. 8</t>
  </si>
  <si>
    <t>Building No. 15</t>
  </si>
  <si>
    <t>Building No. 16</t>
  </si>
  <si>
    <t>Sector lVB</t>
  </si>
  <si>
    <t>8th, 12th, 16th &amp; 20th Floor (Part Refuge Area)</t>
  </si>
  <si>
    <t>Building No. 9</t>
  </si>
  <si>
    <t>Gound Floor For Entrance Lobby, Meter Room, Letter Box, Fire Control Room &amp; Parking</t>
  </si>
  <si>
    <t>Building No. 10</t>
  </si>
  <si>
    <t>Grand Total</t>
  </si>
  <si>
    <t>Flats - 7423, Shops - 129</t>
  </si>
  <si>
    <t>Site Meet Person Contact Details ( Name &amp; Contact No.)</t>
  </si>
  <si>
    <t>10 Buildings</t>
  </si>
  <si>
    <t>Documents Provided</t>
  </si>
  <si>
    <t>As per RERA - 31/12/2026</t>
  </si>
  <si>
    <t>Sector IVA (Building No. 8, 9, 10, 14 to 16) = G/St + 1st to 23rd Floor.
Sector IVB (Building No. 17 to 20) = G/St + 1st to 23rd Floor.</t>
  </si>
  <si>
    <t>Mr. Pradeep : 7208008001</t>
  </si>
  <si>
    <t>Building No. 10  = G/St + 1st to 23rd Floor.</t>
  </si>
  <si>
    <t>Building No. 20 = G/St + 1st to 23rd Floor.</t>
  </si>
  <si>
    <t>Part I =Building 17 = G/St + 1st to 23rd Floor.</t>
  </si>
  <si>
    <t>Part II = Building 17 = G/St + 1st to 23rd Floor.</t>
  </si>
  <si>
    <t>Average Progress</t>
  </si>
  <si>
    <t>Average Disbursement</t>
  </si>
  <si>
    <t>Building No. 14 = G/St + 1st to 23rd Floor.</t>
  </si>
  <si>
    <t>1st Slab completed</t>
  </si>
  <si>
    <t>stage was given more than actual stage</t>
  </si>
  <si>
    <t>Sector IVA (Building No.8 to 10 &amp; 14 to 16) = G/St + 1st to 23rd Floor.</t>
  </si>
  <si>
    <t>Sector IVB (Building No. 17 to 20) = G/St + 1st to 23rd Floor.</t>
  </si>
  <si>
    <t>Building No. 9  = G/St + 1st to 23rd Floor.</t>
  </si>
  <si>
    <t>Building No. 8 = G/St + 1st to 23rd Floor.</t>
  </si>
  <si>
    <t>Building No. 16 = G/St + 1st to 23rd Floor.</t>
  </si>
  <si>
    <t>Building No. 15 = G/St + 1st to 23rd Floor.</t>
  </si>
  <si>
    <t>Bldg No. 8, 9, 14 to 20 = Construction work is in process at the time of visit. Internal photographs was not allowed.
Bldg No. 10 = Work is same as last visit (30/08/2024).</t>
  </si>
  <si>
    <t>Mr. Vivek Gaikwad 9930269031</t>
  </si>
  <si>
    <t>Navnath Bhatkar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</si>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</sst>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02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1" applyFont="1" applyBorder="1" applyAlignment="1" applyProtection="1">
      <alignment horizont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17" fillId="0" borderId="0" xfId="0" applyNumberFormat="1" applyFont="1" applyBorder="1" applyProtection="1">
      <protection hidden="1"/>
    </xf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15" fillId="0" borderId="0" xfId="1" applyFont="1" applyBorder="1" applyAlignment="1" applyProtection="1">
      <alignment horizontal="center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3" xfId="0" applyNumberFormat="1" applyFont="1" applyBorder="1" applyProtection="1">
      <protection hidden="1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0" fillId="0" borderId="0" xfId="0" applyBorder="1"/>
    <xf numFmtId="0" fontId="17" fillId="0" borderId="14" xfId="0" applyFont="1" applyFill="1" applyBorder="1" applyProtection="1">
      <protection hidden="1"/>
    </xf>
    <xf numFmtId="2" fontId="0" fillId="0" borderId="0" xfId="0" applyNumberFormat="1"/>
    <xf numFmtId="2" fontId="0" fillId="0" borderId="0" xfId="0" applyNumberFormat="1" applyBorder="1"/>
    <xf numFmtId="2" fontId="17" fillId="0" borderId="0" xfId="0" applyNumberFormat="1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165" fontId="0" fillId="0" borderId="0" xfId="0" applyNumberFormat="1"/>
    <xf numFmtId="0" fontId="12" fillId="0" borderId="4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9" fontId="7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9" fontId="7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Border="1" applyProtection="1">
      <protection hidden="1"/>
    </xf>
    <xf numFmtId="0" fontId="7" fillId="0" borderId="0" xfId="1" applyFont="1" applyBorder="1"/>
    <xf numFmtId="0" fontId="17" fillId="0" borderId="0" xfId="0" applyNumberFormat="1" applyFont="1" applyBorder="1" applyProtection="1">
      <protection hidden="1"/>
    </xf>
    <xf numFmtId="1" fontId="0" fillId="0" borderId="0" xfId="0" applyNumberFormat="1" applyBorder="1"/>
    <xf numFmtId="1" fontId="0" fillId="0" borderId="0" xfId="0" applyNumberFormat="1" applyBorder="1" applyAlignment="1">
      <alignment horizontal="right"/>
    </xf>
    <xf numFmtId="0" fontId="15" fillId="0" borderId="9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6" fillId="3" borderId="0" xfId="1" applyFont="1" applyFill="1"/>
    <xf numFmtId="14" fontId="16" fillId="3" borderId="0" xfId="1" applyNumberFormat="1" applyFont="1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3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left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36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2" xfId="1" applyFont="1" applyFill="1" applyBorder="1" applyAlignment="1" applyProtection="1">
      <alignment horizontal="left" vertical="top" wrapText="1"/>
      <protection locked="0"/>
    </xf>
    <xf numFmtId="0" fontId="13" fillId="0" borderId="37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3" fillId="0" borderId="18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26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9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1" xfId="9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1" fontId="4" fillId="0" borderId="1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vertical="top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9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9" xfId="1" applyFont="1" applyFill="1" applyBorder="1" applyAlignment="1" applyProtection="1">
      <alignment horizontal="center" vertical="top" wrapText="1"/>
      <protection locked="0"/>
    </xf>
    <xf numFmtId="0" fontId="0" fillId="3" borderId="0" xfId="0" applyFill="1" applyAlignment="1">
      <alignment horizontal="center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33" xfId="1" applyFont="1" applyBorder="1" applyAlignment="1" applyProtection="1">
      <alignment horizontal="center" vertical="top" wrapText="1"/>
      <protection locked="0"/>
    </xf>
    <xf numFmtId="0" fontId="7" fillId="0" borderId="24" xfId="1" applyFont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5" xfId="1" applyFont="1" applyFill="1" applyBorder="1" applyAlignment="1" applyProtection="1">
      <alignment horizontal="center" vertical="top" wrapText="1"/>
      <protection locked="0"/>
    </xf>
    <xf numFmtId="0" fontId="8" fillId="0" borderId="17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34" xfId="1" applyFont="1" applyFill="1" applyBorder="1" applyAlignment="1" applyProtection="1">
      <alignment horizontal="center" vertical="top" wrapText="1"/>
      <protection locked="0"/>
    </xf>
    <xf numFmtId="0" fontId="8" fillId="0" borderId="2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26" xfId="1" applyFont="1" applyFill="1" applyBorder="1" applyAlignment="1" applyProtection="1">
      <alignment horizontal="left" vertical="top" wrapText="1"/>
      <protection locked="0"/>
    </xf>
    <xf numFmtId="9" fontId="7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3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0" xfId="1" applyFont="1" applyFill="1" applyBorder="1" applyAlignment="1" applyProtection="1">
      <alignment horizontal="center" vertical="top" wrapText="1"/>
      <protection locked="0"/>
    </xf>
    <xf numFmtId="0" fontId="7" fillId="0" borderId="30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9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9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5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9" xfId="1" applyFont="1" applyFill="1" applyBorder="1" applyAlignment="1" applyProtection="1">
      <alignment horizontal="left" vertical="top" wrapText="1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30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190502</xdr:colOff>
      <xdr:row>1651</xdr:row>
      <xdr:rowOff>0</xdr:rowOff>
    </xdr:from>
    <xdr:to>
      <xdr:col>6</xdr:col>
      <xdr:colOff>646893</xdr:colOff>
      <xdr:row>1665</xdr:row>
      <xdr:rowOff>124060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8531" y="153139588"/>
          <a:ext cx="4927538" cy="29479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0</xdr:colOff>
      <xdr:row>1627</xdr:row>
      <xdr:rowOff>0</xdr:rowOff>
    </xdr:from>
    <xdr:to>
      <xdr:col>2</xdr:col>
      <xdr:colOff>304800</xdr:colOff>
      <xdr:row>1628</xdr:row>
      <xdr:rowOff>104776</xdr:rowOff>
    </xdr:to>
    <xdr:sp macro="" textlink="">
      <xdr:nvSpPr>
        <xdr:cNvPr id="1025" name="AutoShape 1" descr="blob:https://web.whatsapp.com/3a80b615-fbc8-4b29-9eed-6bd009fb4e81"/>
        <xdr:cNvSpPr>
          <a:spLocks noChangeAspect="1" noChangeArrowheads="1"/>
        </xdr:cNvSpPr>
      </xdr:nvSpPr>
      <xdr:spPr bwMode="auto">
        <a:xfrm>
          <a:off x="1562100" y="11302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1629</xdr:row>
      <xdr:rowOff>0</xdr:rowOff>
    </xdr:from>
    <xdr:to>
      <xdr:col>3</xdr:col>
      <xdr:colOff>304800</xdr:colOff>
      <xdr:row>1630</xdr:row>
      <xdr:rowOff>104775</xdr:rowOff>
    </xdr:to>
    <xdr:sp macro="" textlink="">
      <xdr:nvSpPr>
        <xdr:cNvPr id="1026" name="AutoShape 2" descr="blob:https://web.whatsapp.com/3a80b615-fbc8-4b29-9eed-6bd009fb4e81"/>
        <xdr:cNvSpPr>
          <a:spLocks noChangeAspect="1" noChangeArrowheads="1"/>
        </xdr:cNvSpPr>
      </xdr:nvSpPr>
      <xdr:spPr bwMode="auto">
        <a:xfrm>
          <a:off x="2409825" y="11342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1625</xdr:row>
      <xdr:rowOff>0</xdr:rowOff>
    </xdr:from>
    <xdr:to>
      <xdr:col>9</xdr:col>
      <xdr:colOff>304800</xdr:colOff>
      <xdr:row>1626</xdr:row>
      <xdr:rowOff>104775</xdr:rowOff>
    </xdr:to>
    <xdr:sp macro="" textlink="">
      <xdr:nvSpPr>
        <xdr:cNvPr id="1027" name="AutoShape 3" descr="blob:https://web.whatsapp.com/3a80b615-fbc8-4b29-9eed-6bd009fb4e81"/>
        <xdr:cNvSpPr>
          <a:spLocks noChangeAspect="1" noChangeArrowheads="1"/>
        </xdr:cNvSpPr>
      </xdr:nvSpPr>
      <xdr:spPr bwMode="auto">
        <a:xfrm>
          <a:off x="7686675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521898</xdr:colOff>
      <xdr:row>1666</xdr:row>
      <xdr:rowOff>28574</xdr:rowOff>
    </xdr:from>
    <xdr:to>
      <xdr:col>5</xdr:col>
      <xdr:colOff>96381</xdr:colOff>
      <xdr:row>1682</xdr:row>
      <xdr:rowOff>28573</xdr:rowOff>
    </xdr:to>
    <xdr:pic>
      <xdr:nvPicPr>
        <xdr:cNvPr id="32" name="Picture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4050" b="18847"/>
        <a:stretch/>
      </xdr:blipFill>
      <xdr:spPr>
        <a:xfrm>
          <a:off x="2083998" y="144503774"/>
          <a:ext cx="2146233" cy="3200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528638</xdr:colOff>
      <xdr:row>1668</xdr:row>
      <xdr:rowOff>52388</xdr:rowOff>
    </xdr:from>
    <xdr:to>
      <xdr:col>5</xdr:col>
      <xdr:colOff>109538</xdr:colOff>
      <xdr:row>1672</xdr:row>
      <xdr:rowOff>176213</xdr:rowOff>
    </xdr:to>
    <xdr:sp macro="" textlink="">
      <xdr:nvSpPr>
        <xdr:cNvPr id="5" name="TextBox 4"/>
        <xdr:cNvSpPr txBox="1"/>
      </xdr:nvSpPr>
      <xdr:spPr>
        <a:xfrm rot="4477639">
          <a:off x="3600450" y="145208626"/>
          <a:ext cx="923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FF00"/>
              </a:solidFill>
            </a:rPr>
            <a:t>Factory</a:t>
          </a:r>
        </a:p>
      </xdr:txBody>
    </xdr:sp>
    <xdr:clientData/>
  </xdr:twoCellAnchor>
  <xdr:twoCellAnchor>
    <xdr:from>
      <xdr:col>2</xdr:col>
      <xdr:colOff>736211</xdr:colOff>
      <xdr:row>1672</xdr:row>
      <xdr:rowOff>4761</xdr:rowOff>
    </xdr:from>
    <xdr:to>
      <xdr:col>3</xdr:col>
      <xdr:colOff>812411</xdr:colOff>
      <xdr:row>1673</xdr:row>
      <xdr:rowOff>166686</xdr:rowOff>
    </xdr:to>
    <xdr:sp macro="" textlink="">
      <xdr:nvSpPr>
        <xdr:cNvPr id="35" name="TextBox 34"/>
        <xdr:cNvSpPr txBox="1"/>
      </xdr:nvSpPr>
      <xdr:spPr>
        <a:xfrm>
          <a:off x="2298311" y="145680111"/>
          <a:ext cx="923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FF00"/>
              </a:solidFill>
            </a:rPr>
            <a:t>Site</a:t>
          </a:r>
        </a:p>
      </xdr:txBody>
    </xdr:sp>
    <xdr:clientData/>
  </xdr:twoCellAnchor>
  <xdr:oneCellAnchor>
    <xdr:from>
      <xdr:col>2</xdr:col>
      <xdr:colOff>0</xdr:colOff>
      <xdr:row>1649</xdr:row>
      <xdr:rowOff>0</xdr:rowOff>
    </xdr:from>
    <xdr:ext cx="304800" cy="304801"/>
    <xdr:sp macro="" textlink="">
      <xdr:nvSpPr>
        <xdr:cNvPr id="33" name="AutoShape 1" descr="blob:https://web.whatsapp.com/3a80b615-fbc8-4b29-9eed-6bd009fb4e81"/>
        <xdr:cNvSpPr>
          <a:spLocks noChangeAspect="1" noChangeArrowheads="1"/>
        </xdr:cNvSpPr>
      </xdr:nvSpPr>
      <xdr:spPr bwMode="auto">
        <a:xfrm>
          <a:off x="1562100" y="28120657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1649</xdr:row>
      <xdr:rowOff>0</xdr:rowOff>
    </xdr:from>
    <xdr:ext cx="304800" cy="304800"/>
    <xdr:sp macro="" textlink="">
      <xdr:nvSpPr>
        <xdr:cNvPr id="34" name="AutoShape 2" descr="blob:https://web.whatsapp.com/3a80b615-fbc8-4b29-9eed-6bd009fb4e81"/>
        <xdr:cNvSpPr>
          <a:spLocks noChangeAspect="1" noChangeArrowheads="1"/>
        </xdr:cNvSpPr>
      </xdr:nvSpPr>
      <xdr:spPr bwMode="auto">
        <a:xfrm>
          <a:off x="2409825" y="2816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1649</xdr:row>
      <xdr:rowOff>0</xdr:rowOff>
    </xdr:from>
    <xdr:ext cx="304800" cy="304800"/>
    <xdr:sp macro="" textlink="">
      <xdr:nvSpPr>
        <xdr:cNvPr id="36" name="AutoShape 3" descr="blob:https://web.whatsapp.com/3a80b615-fbc8-4b29-9eed-6bd009fb4e81"/>
        <xdr:cNvSpPr>
          <a:spLocks noChangeAspect="1" noChangeArrowheads="1"/>
        </xdr:cNvSpPr>
      </xdr:nvSpPr>
      <xdr:spPr bwMode="auto">
        <a:xfrm>
          <a:off x="8201025" y="28080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1143000</xdr:colOff>
      <xdr:row>45</xdr:row>
      <xdr:rowOff>82550</xdr:rowOff>
    </xdr:from>
    <xdr:to>
      <xdr:col>19</xdr:col>
      <xdr:colOff>300950</xdr:colOff>
      <xdr:row>53</xdr:row>
      <xdr:rowOff>18670</xdr:rowOff>
    </xdr:to>
    <xdr:pic>
      <xdr:nvPicPr>
        <xdr:cNvPr id="54" name="Picture 5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28050" y="9988550"/>
          <a:ext cx="5400000" cy="243802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1143000</xdr:colOff>
      <xdr:row>53</xdr:row>
      <xdr:rowOff>248694</xdr:rowOff>
    </xdr:from>
    <xdr:to>
      <xdr:col>19</xdr:col>
      <xdr:colOff>300950</xdr:colOff>
      <xdr:row>58</xdr:row>
      <xdr:rowOff>85797</xdr:rowOff>
    </xdr:to>
    <xdr:pic>
      <xdr:nvPicPr>
        <xdr:cNvPr id="57" name="Picture 5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28050" y="12656594"/>
          <a:ext cx="5400000" cy="102455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305235</xdr:colOff>
      <xdr:row>1605</xdr:row>
      <xdr:rowOff>0</xdr:rowOff>
    </xdr:from>
    <xdr:to>
      <xdr:col>10</xdr:col>
      <xdr:colOff>82551</xdr:colOff>
      <xdr:row>1606</xdr:row>
      <xdr:rowOff>57150</xdr:rowOff>
    </xdr:to>
    <xdr:sp macro="" textlink="">
      <xdr:nvSpPr>
        <xdr:cNvPr id="44" name="TextBox 43"/>
        <xdr:cNvSpPr txBox="1"/>
      </xdr:nvSpPr>
      <xdr:spPr>
        <a:xfrm>
          <a:off x="8909485" y="287337500"/>
          <a:ext cx="577416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Bld 10</a:t>
          </a:r>
        </a:p>
      </xdr:txBody>
    </xdr:sp>
    <xdr:clientData/>
  </xdr:twoCellAnchor>
  <xdr:twoCellAnchor>
    <xdr:from>
      <xdr:col>9</xdr:col>
      <xdr:colOff>593943</xdr:colOff>
      <xdr:row>1606</xdr:row>
      <xdr:rowOff>57150</xdr:rowOff>
    </xdr:from>
    <xdr:to>
      <xdr:col>9</xdr:col>
      <xdr:colOff>762000</xdr:colOff>
      <xdr:row>1609</xdr:row>
      <xdr:rowOff>139700</xdr:rowOff>
    </xdr:to>
    <xdr:cxnSp macro="">
      <xdr:nvCxnSpPr>
        <xdr:cNvPr id="3" name="Straight Arrow Connector 2"/>
        <xdr:cNvCxnSpPr>
          <a:stCxn id="44" idx="2"/>
        </xdr:cNvCxnSpPr>
      </xdr:nvCxnSpPr>
      <xdr:spPr>
        <a:xfrm>
          <a:off x="9198193" y="287591500"/>
          <a:ext cx="168057" cy="666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97284</xdr:colOff>
      <xdr:row>1611</xdr:row>
      <xdr:rowOff>0</xdr:rowOff>
    </xdr:from>
    <xdr:to>
      <xdr:col>17</xdr:col>
      <xdr:colOff>37203</xdr:colOff>
      <xdr:row>1612</xdr:row>
      <xdr:rowOff>49608</xdr:rowOff>
    </xdr:to>
    <xdr:sp macro="" textlink="">
      <xdr:nvSpPr>
        <xdr:cNvPr id="51" name="TextBox 50"/>
        <xdr:cNvSpPr txBox="1"/>
      </xdr:nvSpPr>
      <xdr:spPr>
        <a:xfrm>
          <a:off x="11800334" y="288759900"/>
          <a:ext cx="581269" cy="24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Bld 19</a:t>
          </a:r>
        </a:p>
      </xdr:txBody>
    </xdr:sp>
    <xdr:clientData/>
  </xdr:twoCellAnchor>
  <xdr:twoCellAnchor>
    <xdr:from>
      <xdr:col>10</xdr:col>
      <xdr:colOff>0</xdr:colOff>
      <xdr:row>1607</xdr:row>
      <xdr:rowOff>0</xdr:rowOff>
    </xdr:from>
    <xdr:to>
      <xdr:col>11</xdr:col>
      <xdr:colOff>141959</xdr:colOff>
      <xdr:row>1608</xdr:row>
      <xdr:rowOff>95250</xdr:rowOff>
    </xdr:to>
    <xdr:sp macro="" textlink="">
      <xdr:nvSpPr>
        <xdr:cNvPr id="45" name="TextBox 44"/>
        <xdr:cNvSpPr txBox="1"/>
      </xdr:nvSpPr>
      <xdr:spPr>
        <a:xfrm>
          <a:off x="9404350" y="293395400"/>
          <a:ext cx="878559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Bldg No.10</a:t>
          </a:r>
        </a:p>
      </xdr:txBody>
    </xdr:sp>
    <xdr:clientData/>
  </xdr:twoCellAnchor>
  <xdr:twoCellAnchor>
    <xdr:from>
      <xdr:col>9</xdr:col>
      <xdr:colOff>0</xdr:colOff>
      <xdr:row>1610</xdr:row>
      <xdr:rowOff>0</xdr:rowOff>
    </xdr:from>
    <xdr:to>
      <xdr:col>10</xdr:col>
      <xdr:colOff>82011</xdr:colOff>
      <xdr:row>1611</xdr:row>
      <xdr:rowOff>95316</xdr:rowOff>
    </xdr:to>
    <xdr:sp macro="" textlink="">
      <xdr:nvSpPr>
        <xdr:cNvPr id="42" name="TextBox 41"/>
        <xdr:cNvSpPr txBox="1"/>
      </xdr:nvSpPr>
      <xdr:spPr>
        <a:xfrm>
          <a:off x="8604250" y="294874950"/>
          <a:ext cx="882111" cy="292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Bldg No.15</a:t>
          </a:r>
        </a:p>
      </xdr:txBody>
    </xdr:sp>
    <xdr:clientData/>
  </xdr:twoCellAnchor>
  <xdr:twoCellAnchor>
    <xdr:from>
      <xdr:col>9</xdr:col>
      <xdr:colOff>359470</xdr:colOff>
      <xdr:row>1612</xdr:row>
      <xdr:rowOff>122103</xdr:rowOff>
    </xdr:from>
    <xdr:to>
      <xdr:col>10</xdr:col>
      <xdr:colOff>441481</xdr:colOff>
      <xdr:row>1614</xdr:row>
      <xdr:rowOff>20569</xdr:rowOff>
    </xdr:to>
    <xdr:sp macro="" textlink="">
      <xdr:nvSpPr>
        <xdr:cNvPr id="46" name="TextBox 45"/>
        <xdr:cNvSpPr txBox="1"/>
      </xdr:nvSpPr>
      <xdr:spPr>
        <a:xfrm>
          <a:off x="8963720" y="295390753"/>
          <a:ext cx="882111" cy="292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Bldg No.16</a:t>
          </a:r>
        </a:p>
      </xdr:txBody>
    </xdr:sp>
    <xdr:clientData/>
  </xdr:twoCellAnchor>
  <xdr:twoCellAnchor>
    <xdr:from>
      <xdr:col>0</xdr:col>
      <xdr:colOff>482600</xdr:colOff>
      <xdr:row>1604</xdr:row>
      <xdr:rowOff>63500</xdr:rowOff>
    </xdr:from>
    <xdr:to>
      <xdr:col>7</xdr:col>
      <xdr:colOff>931319</xdr:colOff>
      <xdr:row>1647</xdr:row>
      <xdr:rowOff>38770</xdr:rowOff>
    </xdr:to>
    <xdr:grpSp>
      <xdr:nvGrpSpPr>
        <xdr:cNvPr id="4" name="Group 3"/>
        <xdr:cNvGrpSpPr/>
      </xdr:nvGrpSpPr>
      <xdr:grpSpPr>
        <a:xfrm>
          <a:off x="482600" y="293763700"/>
          <a:ext cx="6424069" cy="8433470"/>
          <a:chOff x="482600" y="293763700"/>
          <a:chExt cx="6424069" cy="8433470"/>
        </a:xfrm>
      </xdr:grpSpPr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601" y="293763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6898" y="293763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6806" y="2937637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601" y="2966124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6898" y="2966124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1195" y="296612435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600" y="29946117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6897" y="29946117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1194" y="29946117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0" name="TextBox 69"/>
          <xdr:cNvSpPr txBox="1"/>
        </xdr:nvSpPr>
        <xdr:spPr>
          <a:xfrm>
            <a:off x="1111251" y="295236900"/>
            <a:ext cx="878559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No.8</a:t>
            </a:r>
          </a:p>
        </xdr:txBody>
      </xdr:sp>
      <xdr:sp macro="" textlink="">
        <xdr:nvSpPr>
          <xdr:cNvPr id="71" name="TextBox 70"/>
          <xdr:cNvSpPr txBox="1"/>
        </xdr:nvSpPr>
        <xdr:spPr>
          <a:xfrm>
            <a:off x="3270148" y="296024300"/>
            <a:ext cx="878559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No.9</a:t>
            </a:r>
          </a:p>
        </xdr:txBody>
      </xdr:sp>
      <xdr:sp macro="" textlink="">
        <xdr:nvSpPr>
          <xdr:cNvPr id="72" name="TextBox 71"/>
          <xdr:cNvSpPr txBox="1"/>
        </xdr:nvSpPr>
        <xdr:spPr>
          <a:xfrm>
            <a:off x="5447356" y="295636950"/>
            <a:ext cx="878559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No.14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>
            <a:off x="1689101" y="298365034"/>
            <a:ext cx="878559" cy="4786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No.15 &amp; 16</a:t>
            </a:r>
          </a:p>
        </xdr:txBody>
      </xdr:sp>
      <xdr:sp macro="" textlink="">
        <xdr:nvSpPr>
          <xdr:cNvPr id="74" name="TextBox 73"/>
          <xdr:cNvSpPr txBox="1"/>
        </xdr:nvSpPr>
        <xdr:spPr>
          <a:xfrm>
            <a:off x="3403498" y="298987335"/>
            <a:ext cx="878559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No.17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3581299" y="298130085"/>
            <a:ext cx="571602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Part I</a:t>
            </a:r>
          </a:p>
        </xdr:txBody>
      </xdr:sp>
      <xdr:sp macro="" textlink="">
        <xdr:nvSpPr>
          <xdr:cNvPr id="76" name="TextBox 75"/>
          <xdr:cNvSpPr txBox="1"/>
        </xdr:nvSpPr>
        <xdr:spPr>
          <a:xfrm>
            <a:off x="2730399" y="298250735"/>
            <a:ext cx="571602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Part II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>
            <a:off x="5536994" y="298504735"/>
            <a:ext cx="946355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No.18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>
            <a:off x="1003300" y="301658270"/>
            <a:ext cx="946355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No.19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>
            <a:off x="3352697" y="301683670"/>
            <a:ext cx="946355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Bldg No.20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yUdxkNpeCrDoFX8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693"/>
  <sheetViews>
    <sheetView tabSelected="1" view="pageBreakPreview" topLeftCell="A1619" zoomScaleNormal="100" zoomScaleSheetLayoutView="100" workbookViewId="0">
      <selection activeCell="I1627" sqref="I1627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4.1796875" style="13" customWidth="1"/>
    <col min="5" max="7" width="11.7265625" style="13" customWidth="1"/>
    <col min="8" max="8" width="20.1796875" style="13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234" t="s">
        <v>218</v>
      </c>
      <c r="B1" s="234"/>
      <c r="C1" s="234"/>
      <c r="D1" s="234"/>
      <c r="E1" s="234"/>
      <c r="F1" s="234"/>
      <c r="G1" s="234"/>
      <c r="H1" s="234"/>
    </row>
    <row r="2" spans="1:8" ht="16.5" customHeight="1" x14ac:dyDescent="0.35">
      <c r="A2" s="235" t="s">
        <v>0</v>
      </c>
      <c r="B2" s="235"/>
      <c r="C2" s="235"/>
      <c r="D2" s="235"/>
      <c r="E2" s="235"/>
      <c r="F2" s="235"/>
      <c r="G2" s="235"/>
      <c r="H2" s="235"/>
    </row>
    <row r="3" spans="1:8" x14ac:dyDescent="0.35">
      <c r="A3" s="194" t="s">
        <v>1</v>
      </c>
      <c r="B3" s="194"/>
      <c r="C3" s="194"/>
      <c r="D3" s="194"/>
      <c r="E3" s="233" t="str">
        <f ca="1">TEXT(TODAY(),"DD/MM/YYYY")</f>
        <v>01/10/2025</v>
      </c>
      <c r="F3" s="233"/>
      <c r="G3" s="233"/>
      <c r="H3" s="233"/>
    </row>
    <row r="4" spans="1:8" ht="15" customHeight="1" x14ac:dyDescent="0.35">
      <c r="A4" s="194" t="s">
        <v>2</v>
      </c>
      <c r="B4" s="194"/>
      <c r="C4" s="194"/>
      <c r="D4" s="194"/>
      <c r="E4" s="237" t="s">
        <v>174</v>
      </c>
      <c r="F4" s="237"/>
      <c r="G4" s="237"/>
      <c r="H4" s="237"/>
    </row>
    <row r="5" spans="1:8" x14ac:dyDescent="0.35">
      <c r="A5" s="194" t="s">
        <v>3</v>
      </c>
      <c r="B5" s="194"/>
      <c r="C5" s="194"/>
      <c r="D5" s="194"/>
      <c r="E5" s="233">
        <v>45931</v>
      </c>
      <c r="F5" s="233"/>
      <c r="G5" s="233"/>
      <c r="H5" s="233"/>
    </row>
    <row r="6" spans="1:8" ht="16.5" customHeight="1" x14ac:dyDescent="0.35">
      <c r="A6" s="194" t="s">
        <v>4</v>
      </c>
      <c r="B6" s="194"/>
      <c r="C6" s="194"/>
      <c r="D6" s="194"/>
      <c r="E6" s="222" t="s">
        <v>175</v>
      </c>
      <c r="F6" s="222"/>
      <c r="G6" s="222"/>
      <c r="H6" s="222"/>
    </row>
    <row r="7" spans="1:8" ht="15" customHeight="1" x14ac:dyDescent="0.35">
      <c r="A7" s="194" t="s">
        <v>5</v>
      </c>
      <c r="B7" s="194"/>
      <c r="C7" s="194"/>
      <c r="D7" s="194"/>
      <c r="E7" s="222" t="str">
        <f>E6</f>
        <v>M/s.Conceptual Advisory Services LLP</v>
      </c>
      <c r="F7" s="222"/>
      <c r="G7" s="222"/>
      <c r="H7" s="222"/>
    </row>
    <row r="8" spans="1:8" x14ac:dyDescent="0.35">
      <c r="A8" s="194" t="s">
        <v>6</v>
      </c>
      <c r="B8" s="194"/>
      <c r="C8" s="194"/>
      <c r="D8" s="194"/>
      <c r="E8" s="236" t="s">
        <v>176</v>
      </c>
      <c r="F8" s="236"/>
      <c r="G8" s="236"/>
      <c r="H8" s="236"/>
    </row>
    <row r="9" spans="1:8" x14ac:dyDescent="0.35">
      <c r="A9" s="194" t="s">
        <v>134</v>
      </c>
      <c r="B9" s="194"/>
      <c r="C9" s="194"/>
      <c r="D9" s="194"/>
      <c r="E9" s="194" t="s">
        <v>255</v>
      </c>
      <c r="F9" s="194"/>
      <c r="G9" s="194"/>
      <c r="H9" s="194"/>
    </row>
    <row r="10" spans="1:8" x14ac:dyDescent="0.35">
      <c r="A10" s="194" t="s">
        <v>233</v>
      </c>
      <c r="B10" s="194"/>
      <c r="C10" s="194"/>
      <c r="D10" s="194"/>
      <c r="E10" s="194" t="s">
        <v>238</v>
      </c>
      <c r="F10" s="194"/>
      <c r="G10" s="194"/>
      <c r="H10" s="194"/>
    </row>
    <row r="11" spans="1:8" ht="30.75" customHeight="1" x14ac:dyDescent="0.35">
      <c r="A11" s="231" t="s">
        <v>7</v>
      </c>
      <c r="B11" s="231"/>
      <c r="C11" s="231"/>
      <c r="D11" s="231"/>
      <c r="E11" s="232" t="s">
        <v>217</v>
      </c>
      <c r="F11" s="231"/>
      <c r="G11" s="231"/>
      <c r="H11" s="231"/>
    </row>
    <row r="12" spans="1:8" x14ac:dyDescent="0.35">
      <c r="A12" s="194" t="s">
        <v>235</v>
      </c>
      <c r="B12" s="194"/>
      <c r="C12" s="194"/>
      <c r="D12" s="194"/>
      <c r="E12" s="232" t="s">
        <v>177</v>
      </c>
      <c r="F12" s="232"/>
      <c r="G12" s="232"/>
      <c r="H12" s="232"/>
    </row>
    <row r="13" spans="1:8" x14ac:dyDescent="0.35">
      <c r="A13" s="194" t="s">
        <v>8</v>
      </c>
      <c r="B13" s="194"/>
      <c r="C13" s="194"/>
      <c r="D13" s="194"/>
      <c r="E13" s="232" t="s">
        <v>178</v>
      </c>
      <c r="F13" s="231"/>
      <c r="G13" s="231"/>
      <c r="H13" s="231"/>
    </row>
    <row r="14" spans="1:8" ht="33.75" customHeight="1" x14ac:dyDescent="0.35">
      <c r="A14" s="222" t="s">
        <v>9</v>
      </c>
      <c r="B14" s="222"/>
      <c r="C14" s="22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Suraksha Smart City - Phase I, Survey No.3, S.No. 4, S.No. 5, Hiss No. 1,2,3,4…, others, near Schwon Lake, Internal road , Rajavali, Vasai , Vasai, Palghar.</v>
      </c>
      <c r="D14" s="222"/>
      <c r="E14" s="222"/>
      <c r="F14" s="222"/>
      <c r="G14" s="222"/>
      <c r="H14" s="222"/>
    </row>
    <row r="15" spans="1:8" x14ac:dyDescent="0.35">
      <c r="A15" s="213" t="s">
        <v>179</v>
      </c>
      <c r="B15" s="213"/>
      <c r="C15" s="206" t="s">
        <v>180</v>
      </c>
      <c r="D15" s="206"/>
      <c r="E15" s="206"/>
      <c r="F15" s="206"/>
      <c r="G15" s="206"/>
      <c r="H15" s="206"/>
    </row>
    <row r="16" spans="1:8" ht="15.75" customHeight="1" x14ac:dyDescent="0.35">
      <c r="A16" s="213" t="s">
        <v>10</v>
      </c>
      <c r="B16" s="213"/>
      <c r="C16" s="208" t="s">
        <v>185</v>
      </c>
      <c r="D16" s="208"/>
      <c r="E16" s="213" t="s">
        <v>76</v>
      </c>
      <c r="F16" s="213"/>
      <c r="G16" s="206" t="s">
        <v>181</v>
      </c>
      <c r="H16" s="206"/>
    </row>
    <row r="17" spans="1:8" x14ac:dyDescent="0.35">
      <c r="A17" s="193" t="s">
        <v>12</v>
      </c>
      <c r="B17" s="193"/>
      <c r="C17" s="206" t="s">
        <v>186</v>
      </c>
      <c r="D17" s="206"/>
      <c r="E17" s="213" t="s">
        <v>11</v>
      </c>
      <c r="F17" s="213"/>
      <c r="G17" s="238" t="s">
        <v>183</v>
      </c>
      <c r="H17" s="238"/>
    </row>
    <row r="18" spans="1:8" x14ac:dyDescent="0.35">
      <c r="A18" s="193" t="s">
        <v>77</v>
      </c>
      <c r="B18" s="193"/>
      <c r="C18" s="206" t="s">
        <v>182</v>
      </c>
      <c r="D18" s="206"/>
      <c r="E18" s="213" t="s">
        <v>13</v>
      </c>
      <c r="F18" s="213"/>
      <c r="G18" s="206">
        <v>401208</v>
      </c>
      <c r="H18" s="206"/>
    </row>
    <row r="19" spans="1:8" ht="32.25" customHeight="1" x14ac:dyDescent="0.35">
      <c r="A19" s="193" t="s">
        <v>135</v>
      </c>
      <c r="B19" s="193"/>
      <c r="C19" s="239" t="s">
        <v>187</v>
      </c>
      <c r="D19" s="239"/>
      <c r="E19" s="213" t="s">
        <v>14</v>
      </c>
      <c r="F19" s="213"/>
      <c r="G19" s="206" t="s">
        <v>184</v>
      </c>
      <c r="H19" s="206"/>
    </row>
    <row r="20" spans="1:8" ht="15" customHeight="1" x14ac:dyDescent="0.35">
      <c r="A20" s="213" t="s">
        <v>81</v>
      </c>
      <c r="B20" s="213"/>
      <c r="C20" s="213"/>
      <c r="D20" s="213"/>
      <c r="E20" s="208" t="s">
        <v>15</v>
      </c>
      <c r="F20" s="208"/>
      <c r="G20" s="208"/>
      <c r="H20" s="208"/>
    </row>
    <row r="21" spans="1:8" ht="18.75" customHeight="1" x14ac:dyDescent="0.35">
      <c r="A21" s="213"/>
      <c r="B21" s="213"/>
      <c r="C21" s="213"/>
      <c r="D21" s="213"/>
      <c r="E21" s="208"/>
      <c r="F21" s="208"/>
      <c r="G21" s="208"/>
      <c r="H21" s="208"/>
    </row>
    <row r="22" spans="1:8" ht="15" customHeight="1" x14ac:dyDescent="0.35">
      <c r="A22" s="213" t="s">
        <v>16</v>
      </c>
      <c r="B22" s="213"/>
      <c r="C22" s="213"/>
      <c r="D22" s="213"/>
      <c r="E22" s="206" t="s">
        <v>17</v>
      </c>
      <c r="F22" s="206"/>
      <c r="G22" s="206"/>
      <c r="H22" s="206"/>
    </row>
    <row r="23" spans="1:8" ht="15" customHeight="1" x14ac:dyDescent="0.35">
      <c r="A23" s="193" t="s">
        <v>18</v>
      </c>
      <c r="B23" s="193"/>
      <c r="C23" s="193"/>
      <c r="D23" s="193"/>
      <c r="E23" s="206" t="str">
        <f>IF(AND(G17="Mumbai"),"Upper Class","Middle Class")</f>
        <v>Middle Class</v>
      </c>
      <c r="F23" s="206"/>
      <c r="G23" s="206"/>
      <c r="H23" s="206"/>
    </row>
    <row r="24" spans="1:8" x14ac:dyDescent="0.35">
      <c r="A24" s="193" t="s">
        <v>19</v>
      </c>
      <c r="B24" s="193"/>
      <c r="C24" s="193"/>
      <c r="D24" s="193"/>
      <c r="E24" s="206" t="s">
        <v>20</v>
      </c>
      <c r="F24" s="206"/>
      <c r="G24" s="206"/>
      <c r="H24" s="206"/>
    </row>
    <row r="25" spans="1:8" ht="15.75" customHeight="1" x14ac:dyDescent="0.35">
      <c r="A25" s="193" t="s">
        <v>21</v>
      </c>
      <c r="B25" s="193"/>
      <c r="C25" s="193"/>
      <c r="D25" s="193"/>
      <c r="E25" s="206" t="str">
        <f>IF(AND(G17="Mumbai"),"Developed","Developing")</f>
        <v>Developing</v>
      </c>
      <c r="F25" s="206"/>
      <c r="G25" s="206"/>
      <c r="H25" s="206"/>
    </row>
    <row r="26" spans="1:8" x14ac:dyDescent="0.35">
      <c r="A26" s="193" t="s">
        <v>22</v>
      </c>
      <c r="B26" s="193"/>
      <c r="C26" s="193"/>
      <c r="D26" s="193"/>
      <c r="E26" s="206" t="s">
        <v>23</v>
      </c>
      <c r="F26" s="206"/>
      <c r="G26" s="206"/>
      <c r="H26" s="206"/>
    </row>
    <row r="27" spans="1:8" x14ac:dyDescent="0.35">
      <c r="A27" s="193" t="s">
        <v>88</v>
      </c>
      <c r="B27" s="193"/>
      <c r="C27" s="193"/>
      <c r="D27" s="193"/>
      <c r="E27" s="206" t="s">
        <v>89</v>
      </c>
      <c r="F27" s="206"/>
      <c r="G27" s="206"/>
      <c r="H27" s="206"/>
    </row>
    <row r="28" spans="1:8" ht="15" customHeight="1" x14ac:dyDescent="0.35">
      <c r="A28" s="213" t="s">
        <v>32</v>
      </c>
      <c r="B28" s="213"/>
      <c r="C28" s="213"/>
      <c r="D28" s="213"/>
      <c r="E28" s="237" t="str">
        <f>IF(ISNUMBER(SEARCH("Shops",D53)),"Residential + Commercial",IF(SEARCH("Offices",D53),"Residential + Commercial",IF(SEARCH("Flats",D53),"Residential","")))</f>
        <v>Residential + Commercial</v>
      </c>
      <c r="F28" s="237"/>
      <c r="G28" s="237"/>
      <c r="H28" s="237"/>
    </row>
    <row r="29" spans="1:8" x14ac:dyDescent="0.35">
      <c r="A29" s="213" t="s">
        <v>100</v>
      </c>
      <c r="B29" s="213"/>
      <c r="C29" s="213"/>
      <c r="D29" s="213"/>
      <c r="E29" s="213" t="s">
        <v>33</v>
      </c>
      <c r="F29" s="213"/>
      <c r="G29" s="213"/>
      <c r="H29" s="213"/>
    </row>
    <row r="30" spans="1:8" s="6" customFormat="1" x14ac:dyDescent="0.35">
      <c r="A30" s="246" t="s">
        <v>101</v>
      </c>
      <c r="B30" s="246"/>
      <c r="C30" s="245" t="s">
        <v>28</v>
      </c>
      <c r="D30" s="245"/>
      <c r="E30" s="245"/>
      <c r="F30" s="245" t="s">
        <v>30</v>
      </c>
      <c r="G30" s="245"/>
      <c r="H30" s="245"/>
    </row>
    <row r="31" spans="1:8" s="6" customFormat="1" x14ac:dyDescent="0.35">
      <c r="A31" s="241" t="s">
        <v>24</v>
      </c>
      <c r="B31" s="241" t="s">
        <v>29</v>
      </c>
      <c r="C31" s="242" t="s">
        <v>29</v>
      </c>
      <c r="D31" s="242"/>
      <c r="E31" s="242"/>
      <c r="F31" s="242" t="s">
        <v>10</v>
      </c>
      <c r="G31" s="242"/>
      <c r="H31" s="242"/>
    </row>
    <row r="32" spans="1:8" x14ac:dyDescent="0.35">
      <c r="A32" s="241" t="s">
        <v>25</v>
      </c>
      <c r="B32" s="241" t="s">
        <v>29</v>
      </c>
      <c r="C32" s="242" t="s">
        <v>29</v>
      </c>
      <c r="D32" s="242"/>
      <c r="E32" s="242"/>
      <c r="F32" s="242" t="s">
        <v>188</v>
      </c>
      <c r="G32" s="242"/>
      <c r="H32" s="242"/>
    </row>
    <row r="33" spans="1:8" s="6" customFormat="1" x14ac:dyDescent="0.35">
      <c r="A33" s="241" t="s">
        <v>27</v>
      </c>
      <c r="B33" s="241" t="s">
        <v>29</v>
      </c>
      <c r="C33" s="242" t="s">
        <v>29</v>
      </c>
      <c r="D33" s="242"/>
      <c r="E33" s="242"/>
      <c r="F33" s="242" t="s">
        <v>10</v>
      </c>
      <c r="G33" s="242"/>
      <c r="H33" s="242"/>
    </row>
    <row r="34" spans="1:8" x14ac:dyDescent="0.35">
      <c r="A34" s="241" t="s">
        <v>26</v>
      </c>
      <c r="B34" s="241" t="s">
        <v>29</v>
      </c>
      <c r="C34" s="242" t="s">
        <v>29</v>
      </c>
      <c r="D34" s="242"/>
      <c r="E34" s="242"/>
      <c r="F34" s="242" t="s">
        <v>10</v>
      </c>
      <c r="G34" s="242"/>
      <c r="H34" s="242"/>
    </row>
    <row r="35" spans="1:8" x14ac:dyDescent="0.35">
      <c r="A35" s="193" t="s">
        <v>31</v>
      </c>
      <c r="B35" s="193"/>
      <c r="C35" s="193"/>
      <c r="D35" s="193"/>
      <c r="E35" s="193"/>
      <c r="F35" s="193"/>
      <c r="G35" s="193"/>
      <c r="H35" s="193"/>
    </row>
    <row r="36" spans="1:8" ht="15.75" customHeight="1" x14ac:dyDescent="0.35">
      <c r="A36" s="177" t="s">
        <v>204</v>
      </c>
      <c r="B36" s="177"/>
      <c r="C36" s="249" t="s">
        <v>219</v>
      </c>
      <c r="D36" s="250"/>
      <c r="E36" s="250"/>
      <c r="F36" s="250"/>
      <c r="G36" s="250"/>
      <c r="H36" s="251"/>
    </row>
    <row r="37" spans="1:8" ht="15.75" customHeight="1" x14ac:dyDescent="0.35">
      <c r="A37" s="177" t="s">
        <v>202</v>
      </c>
      <c r="B37" s="177"/>
      <c r="C37" s="247" t="s">
        <v>203</v>
      </c>
      <c r="D37" s="248"/>
      <c r="E37" s="248"/>
      <c r="F37" s="248"/>
      <c r="G37" s="248"/>
      <c r="H37" s="248"/>
    </row>
    <row r="38" spans="1:8" x14ac:dyDescent="0.35">
      <c r="A38" s="221" t="s">
        <v>34</v>
      </c>
      <c r="B38" s="221"/>
      <c r="C38" s="221"/>
      <c r="D38" s="221"/>
      <c r="E38" s="221"/>
      <c r="F38" s="221"/>
      <c r="G38" s="221"/>
      <c r="H38" s="221"/>
    </row>
    <row r="39" spans="1:8" x14ac:dyDescent="0.35">
      <c r="A39" s="193" t="s">
        <v>35</v>
      </c>
      <c r="B39" s="193"/>
      <c r="C39" s="193"/>
      <c r="D39" s="193"/>
      <c r="E39" s="244">
        <v>816269.08</v>
      </c>
      <c r="F39" s="244"/>
      <c r="G39" s="244"/>
      <c r="H39" s="244"/>
    </row>
    <row r="40" spans="1:8" x14ac:dyDescent="0.35">
      <c r="A40" s="193" t="s">
        <v>36</v>
      </c>
      <c r="B40" s="193"/>
      <c r="C40" s="193"/>
      <c r="D40" s="193"/>
      <c r="E40" s="192">
        <v>2.5</v>
      </c>
      <c r="F40" s="192"/>
      <c r="G40" s="192"/>
      <c r="H40" s="192"/>
    </row>
    <row r="41" spans="1:8" x14ac:dyDescent="0.35">
      <c r="A41" s="193" t="s">
        <v>37</v>
      </c>
      <c r="B41" s="193"/>
      <c r="C41" s="193"/>
      <c r="D41" s="193"/>
      <c r="E41" s="192">
        <f>E43/E39-E40</f>
        <v>9.4999984563914008E-2</v>
      </c>
      <c r="F41" s="192"/>
      <c r="G41" s="192"/>
      <c r="H41" s="192"/>
    </row>
    <row r="42" spans="1:8" x14ac:dyDescent="0.35">
      <c r="A42" s="193" t="s">
        <v>38</v>
      </c>
      <c r="B42" s="193"/>
      <c r="C42" s="193"/>
      <c r="D42" s="193"/>
      <c r="E42" s="192">
        <f>E40+E41</f>
        <v>2.594999984563914</v>
      </c>
      <c r="F42" s="192"/>
      <c r="G42" s="192"/>
      <c r="H42" s="192"/>
    </row>
    <row r="43" spans="1:8" x14ac:dyDescent="0.35">
      <c r="A43" s="193" t="s">
        <v>99</v>
      </c>
      <c r="B43" s="193"/>
      <c r="C43" s="193"/>
      <c r="D43" s="193"/>
      <c r="E43" s="243">
        <v>2118218.25</v>
      </c>
      <c r="F43" s="243"/>
      <c r="G43" s="243"/>
      <c r="H43" s="243"/>
    </row>
    <row r="44" spans="1:8" x14ac:dyDescent="0.35">
      <c r="A44" s="208" t="s">
        <v>39</v>
      </c>
      <c r="B44" s="208"/>
      <c r="C44" s="208"/>
      <c r="D44" s="208"/>
      <c r="E44" s="208" t="s">
        <v>234</v>
      </c>
      <c r="F44" s="208"/>
      <c r="G44" s="208"/>
      <c r="H44" s="208"/>
    </row>
    <row r="45" spans="1:8" x14ac:dyDescent="0.35">
      <c r="A45" s="147" t="s">
        <v>40</v>
      </c>
      <c r="B45" s="147"/>
      <c r="C45" s="147"/>
      <c r="D45" s="147"/>
      <c r="E45" s="147"/>
      <c r="F45" s="147"/>
      <c r="G45" s="147"/>
      <c r="H45" s="147"/>
    </row>
    <row r="46" spans="1:8" ht="35.25" customHeight="1" x14ac:dyDescent="0.35">
      <c r="A46" s="206" t="s">
        <v>41</v>
      </c>
      <c r="B46" s="206"/>
      <c r="C46" s="209" t="s">
        <v>189</v>
      </c>
      <c r="D46" s="209"/>
      <c r="E46" s="209"/>
      <c r="F46" s="129" t="s">
        <v>42</v>
      </c>
      <c r="G46" s="207">
        <v>44316</v>
      </c>
      <c r="H46" s="207"/>
    </row>
    <row r="47" spans="1:8" ht="35.25" customHeight="1" x14ac:dyDescent="0.35">
      <c r="A47" s="208" t="s">
        <v>43</v>
      </c>
      <c r="B47" s="208"/>
      <c r="C47" s="209" t="str">
        <f>C46</f>
        <v>VVCMC/TP/AMEND/VP/PMAY-1/102/2021-22</v>
      </c>
      <c r="D47" s="209"/>
      <c r="E47" s="209"/>
      <c r="F47" s="92" t="s">
        <v>42</v>
      </c>
      <c r="G47" s="207">
        <f>G46</f>
        <v>44316</v>
      </c>
      <c r="H47" s="207"/>
    </row>
    <row r="48" spans="1:8" s="5" customFormat="1" ht="31.5" customHeight="1" x14ac:dyDescent="0.35">
      <c r="A48" s="206" t="s">
        <v>210</v>
      </c>
      <c r="B48" s="206"/>
      <c r="C48" s="209" t="s">
        <v>190</v>
      </c>
      <c r="D48" s="191"/>
      <c r="E48" s="191"/>
      <c r="F48" s="8" t="s">
        <v>42</v>
      </c>
      <c r="G48" s="207">
        <f>G47</f>
        <v>44316</v>
      </c>
      <c r="H48" s="207"/>
    </row>
    <row r="49" spans="1:14" s="5" customFormat="1" ht="33.75" customHeight="1" x14ac:dyDescent="0.35">
      <c r="A49" s="206"/>
      <c r="B49" s="206"/>
      <c r="C49" s="215" t="s">
        <v>237</v>
      </c>
      <c r="D49" s="216"/>
      <c r="E49" s="216"/>
      <c r="F49" s="216"/>
      <c r="G49" s="216"/>
      <c r="H49" s="217"/>
    </row>
    <row r="50" spans="1:14" x14ac:dyDescent="0.35">
      <c r="A50" s="148" t="s">
        <v>44</v>
      </c>
      <c r="B50" s="148"/>
      <c r="C50" s="211" t="s">
        <v>116</v>
      </c>
      <c r="D50" s="204"/>
      <c r="E50" s="204" t="s">
        <v>45</v>
      </c>
      <c r="F50" s="96" t="s">
        <v>42</v>
      </c>
      <c r="G50" s="214" t="s">
        <v>29</v>
      </c>
      <c r="H50" s="214"/>
    </row>
    <row r="51" spans="1:14" x14ac:dyDescent="0.35">
      <c r="A51" s="212" t="s">
        <v>47</v>
      </c>
      <c r="B51" s="212"/>
      <c r="C51" s="212"/>
      <c r="D51" s="212"/>
      <c r="E51" s="212"/>
      <c r="F51" s="212"/>
      <c r="G51" s="212"/>
      <c r="H51" s="212"/>
    </row>
    <row r="52" spans="1:14" x14ac:dyDescent="0.35">
      <c r="A52" s="213" t="s">
        <v>98</v>
      </c>
      <c r="B52" s="213"/>
      <c r="C52" s="213"/>
      <c r="D52" s="208">
        <f>E43</f>
        <v>2118218.25</v>
      </c>
      <c r="E52" s="208"/>
      <c r="F52" s="208"/>
      <c r="G52" s="208"/>
      <c r="H52" s="208"/>
    </row>
    <row r="53" spans="1:14" x14ac:dyDescent="0.35">
      <c r="A53" s="206" t="s">
        <v>48</v>
      </c>
      <c r="B53" s="208"/>
      <c r="C53" s="208"/>
      <c r="D53" s="208" t="s">
        <v>232</v>
      </c>
      <c r="E53" s="208"/>
      <c r="F53" s="208"/>
      <c r="G53" s="208"/>
      <c r="H53" s="208"/>
      <c r="I53" s="49"/>
    </row>
    <row r="54" spans="1:14" ht="31.5" customHeight="1" x14ac:dyDescent="0.35">
      <c r="A54" s="226" t="s">
        <v>49</v>
      </c>
      <c r="B54" s="227"/>
      <c r="C54" s="228"/>
      <c r="D54" s="225" t="s">
        <v>221</v>
      </c>
      <c r="E54" s="210"/>
      <c r="F54" s="210"/>
      <c r="G54" s="210"/>
      <c r="H54" s="210"/>
      <c r="I54" s="50"/>
    </row>
    <row r="55" spans="1:14" ht="15.75" customHeight="1" x14ac:dyDescent="0.35">
      <c r="A55" s="206" t="s">
        <v>96</v>
      </c>
      <c r="B55" s="206"/>
      <c r="C55" s="206"/>
      <c r="D55" s="210" t="s">
        <v>248</v>
      </c>
      <c r="E55" s="210"/>
      <c r="F55" s="210"/>
      <c r="G55" s="210"/>
      <c r="H55" s="210"/>
      <c r="I55" s="50"/>
    </row>
    <row r="56" spans="1:14" ht="15.75" customHeight="1" x14ac:dyDescent="0.35">
      <c r="A56" s="206"/>
      <c r="B56" s="206"/>
      <c r="C56" s="206"/>
      <c r="D56" s="210" t="s">
        <v>249</v>
      </c>
      <c r="E56" s="210"/>
      <c r="F56" s="210"/>
      <c r="G56" s="210"/>
      <c r="H56" s="210"/>
      <c r="I56" s="50"/>
    </row>
    <row r="57" spans="1:14" ht="15.75" customHeight="1" x14ac:dyDescent="0.35">
      <c r="A57" s="193" t="s">
        <v>46</v>
      </c>
      <c r="B57" s="193"/>
      <c r="C57" s="193"/>
      <c r="D57" s="206" t="s">
        <v>236</v>
      </c>
      <c r="E57" s="206"/>
      <c r="F57" s="206"/>
      <c r="G57" s="206"/>
      <c r="H57" s="206"/>
      <c r="J57" s="48"/>
      <c r="K57" s="49"/>
      <c r="N57" s="49"/>
    </row>
    <row r="58" spans="1:14" ht="15.75" customHeight="1" x14ac:dyDescent="0.35">
      <c r="A58" s="193" t="s">
        <v>94</v>
      </c>
      <c r="B58" s="193"/>
      <c r="C58" s="193"/>
      <c r="D58" s="240" t="str">
        <f>(IF(G50="NA","60 Years After Completion",IF(G50&lt;&gt;"NA",""&amp;60-ROUNDDOWN((E3-G50)/360,0)&amp;" Years"," ")))</f>
        <v>60 Years After Completion</v>
      </c>
      <c r="E58" s="240"/>
      <c r="F58" s="240"/>
      <c r="G58" s="240"/>
      <c r="H58" s="240"/>
      <c r="N58" s="49"/>
    </row>
    <row r="59" spans="1:14" ht="15.75" customHeight="1" x14ac:dyDescent="0.35">
      <c r="A59" s="193" t="s">
        <v>95</v>
      </c>
      <c r="B59" s="193"/>
      <c r="C59" s="193"/>
      <c r="D59" s="213" t="s">
        <v>23</v>
      </c>
      <c r="E59" s="213"/>
      <c r="F59" s="213"/>
      <c r="G59" s="213"/>
      <c r="H59" s="213"/>
      <c r="J59" s="15"/>
      <c r="K59" s="15"/>
    </row>
    <row r="60" spans="1:14" x14ac:dyDescent="0.35">
      <c r="A60" s="193" t="s">
        <v>78</v>
      </c>
      <c r="B60" s="193"/>
      <c r="C60" s="193"/>
      <c r="D60" s="206" t="s">
        <v>222</v>
      </c>
      <c r="E60" s="213"/>
      <c r="F60" s="213"/>
      <c r="G60" s="213"/>
      <c r="H60" s="213"/>
      <c r="J60" s="112"/>
    </row>
    <row r="61" spans="1:14" x14ac:dyDescent="0.35">
      <c r="A61" s="213" t="s">
        <v>163</v>
      </c>
      <c r="B61" s="213"/>
      <c r="C61" s="213"/>
      <c r="D61" s="213" t="s">
        <v>29</v>
      </c>
      <c r="E61" s="213"/>
      <c r="F61" s="213"/>
      <c r="G61" s="213"/>
      <c r="H61" s="213"/>
      <c r="I61" s="88"/>
      <c r="J61" s="111"/>
      <c r="K61" s="88"/>
      <c r="L61" s="88"/>
      <c r="M61" s="88"/>
      <c r="N61" s="88"/>
    </row>
    <row r="62" spans="1:14" ht="15.75" customHeight="1" x14ac:dyDescent="0.35">
      <c r="A62" s="229" t="s">
        <v>93</v>
      </c>
      <c r="B62" s="229"/>
      <c r="C62" s="229"/>
      <c r="D62" s="225" t="str">
        <f ca="1">(IF(G68&gt;95%,"Nothing",IF(G68&gt;0%,"Cement, Aggregate, Steel, etc",IF(G68=0%,"Work not yet Started"))))</f>
        <v>Cement, Aggregate, Steel, etc</v>
      </c>
      <c r="E62" s="225"/>
      <c r="F62" s="225"/>
      <c r="G62" s="225"/>
      <c r="H62" s="225"/>
      <c r="J62" s="15"/>
    </row>
    <row r="63" spans="1:14" ht="33.75" customHeight="1" thickBot="1" x14ac:dyDescent="0.4">
      <c r="A63" s="230" t="s">
        <v>129</v>
      </c>
      <c r="B63" s="230"/>
      <c r="C63" s="230"/>
      <c r="D63" s="225" t="str">
        <f ca="1">(IF(D62="Nothing","Yes",IF(D62="Cement, Aggregate, Steel, etc","Under Construction",IF(D62="Work not yet Started","Work not yet Started"))))</f>
        <v>Under Construction</v>
      </c>
      <c r="E63" s="225"/>
      <c r="F63" s="225" t="str">
        <f ca="1">(IF(D62="Nothing","Yes",IF(D62="Cement, Aggregate, Steel, etc","Under Construction",IF(D62="Work not yet Started","Work not yet Started"))))</f>
        <v>Under Construction</v>
      </c>
      <c r="G63" s="225"/>
      <c r="H63" s="225"/>
      <c r="J63" s="113"/>
      <c r="K63" s="113"/>
    </row>
    <row r="64" spans="1:14" ht="15.75" customHeight="1" x14ac:dyDescent="0.35">
      <c r="A64" s="154" t="s">
        <v>153</v>
      </c>
      <c r="B64" s="155"/>
      <c r="C64" s="156" t="s">
        <v>251</v>
      </c>
      <c r="D64" s="157"/>
      <c r="E64" s="157"/>
      <c r="F64" s="157"/>
      <c r="G64" s="157"/>
      <c r="H64" s="158"/>
      <c r="I64" s="5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Excavation work Completed. Plinth work completed, RCC upto 18 Slab, Brickwork upto 17 Floor, Internal Plaster upto 12.75 Floor, External Plaster upto 11.9 Floor Completed</v>
      </c>
      <c r="J64" s="18"/>
    </row>
    <row r="65" spans="1:10" x14ac:dyDescent="0.35">
      <c r="A65" s="66" t="s">
        <v>156</v>
      </c>
      <c r="B65" s="95">
        <v>0</v>
      </c>
      <c r="C65" s="95" t="s">
        <v>75</v>
      </c>
      <c r="D65" s="95">
        <v>1</v>
      </c>
      <c r="E65" s="95" t="s">
        <v>74</v>
      </c>
      <c r="F65" s="95">
        <v>0</v>
      </c>
      <c r="G65" s="95" t="s">
        <v>87</v>
      </c>
      <c r="H65" s="69">
        <f ca="1">--TRIM(RIGHT(SUBSTITUTE(LEFT(C64,_xlfn.AGGREGATE(16,6,FIND({0,1,2,3,4,5,6,7,8,9},C64,ROW(INDIRECT("1:"&amp;LEN(C64)))),1))," ",REPT(" ",LEN(C64))),LEN(C64)))</f>
        <v>23</v>
      </c>
      <c r="I65" s="55"/>
      <c r="J65" s="19"/>
    </row>
    <row r="66" spans="1:10" ht="48.75" customHeight="1" x14ac:dyDescent="0.35">
      <c r="A66" s="146" t="s">
        <v>97</v>
      </c>
      <c r="B66" s="147"/>
      <c r="C66" s="148" t="str">
        <f ca="1">I64</f>
        <v>Excavation work Completed. Plinth work completed, RCC upto 18 Slab, Brickwork upto 17 Floor, Internal Plaster upto 12.75 Floor, External Plaster upto 11.9 Floor Completed</v>
      </c>
      <c r="D66" s="148"/>
      <c r="E66" s="148"/>
      <c r="F66" s="148"/>
      <c r="G66" s="148"/>
      <c r="H66" s="149"/>
      <c r="I66" s="55" t="s">
        <v>115</v>
      </c>
      <c r="J66" s="19"/>
    </row>
    <row r="67" spans="1:10" ht="15.75" customHeight="1" x14ac:dyDescent="0.35">
      <c r="A67" s="150" t="s">
        <v>50</v>
      </c>
      <c r="B67" s="151"/>
      <c r="C67" s="97" t="s">
        <v>152</v>
      </c>
      <c r="D67" s="98" t="s">
        <v>90</v>
      </c>
      <c r="E67" s="151" t="s">
        <v>92</v>
      </c>
      <c r="F67" s="151"/>
      <c r="G67" s="151" t="s">
        <v>91</v>
      </c>
      <c r="H67" s="152"/>
      <c r="I67" s="47" t="s">
        <v>155</v>
      </c>
      <c r="J67" s="20">
        <f ca="1">H65*25%</f>
        <v>5.75</v>
      </c>
    </row>
    <row r="68" spans="1:10" x14ac:dyDescent="0.35">
      <c r="A68" s="151" t="s">
        <v>141</v>
      </c>
      <c r="B68" s="151"/>
      <c r="C68" s="99">
        <f ca="1">J69</f>
        <v>23</v>
      </c>
      <c r="D68" s="126">
        <f ca="1">((100/H65)*C68)/100</f>
        <v>1</v>
      </c>
      <c r="E68" s="153">
        <f ca="1">(((C69/H65*10)+(40/(D65+F65+H65)*C70)+(7.5/(H65)*C71)+(7.5/(H65)*C72)+(10/H65*C73)+(10/H65*C74)+(5/H65*C75)+(5/H65*C76)+(5/H65*C77))/100)</f>
        <v>0.54874999999999996</v>
      </c>
      <c r="F68" s="153"/>
      <c r="G68" s="153">
        <f ca="1">((((C68/H65)*20)+((C69/H65)*25)+(30/(H65+F65+D65)*C70)+(5/H65*C71)+(5/H65*C72)+(5/H65*C73)+(5/H65*C74)+(0/H65*C75)+(0/H65*C76)+(5/H65*C77))/100)</f>
        <v>0.76554347826086955</v>
      </c>
      <c r="H68" s="153"/>
      <c r="I68" s="47" t="s">
        <v>110</v>
      </c>
      <c r="J68" s="53">
        <f ca="1">H65*50%</f>
        <v>11.5</v>
      </c>
    </row>
    <row r="69" spans="1:10" x14ac:dyDescent="0.35">
      <c r="A69" s="151" t="s">
        <v>51</v>
      </c>
      <c r="B69" s="151"/>
      <c r="C69" s="100">
        <f ca="1">J77</f>
        <v>23</v>
      </c>
      <c r="D69" s="126">
        <f ca="1">((100/H65)*C69)/100</f>
        <v>1</v>
      </c>
      <c r="E69" s="153"/>
      <c r="F69" s="153"/>
      <c r="G69" s="153"/>
      <c r="H69" s="153"/>
      <c r="I69" s="47" t="s">
        <v>111</v>
      </c>
      <c r="J69" s="53">
        <f ca="1">H65</f>
        <v>23</v>
      </c>
    </row>
    <row r="70" spans="1:10" ht="15.75" customHeight="1" x14ac:dyDescent="0.35">
      <c r="A70" s="151" t="s">
        <v>142</v>
      </c>
      <c r="B70" s="151"/>
      <c r="C70" s="100">
        <v>18</v>
      </c>
      <c r="D70" s="126">
        <f ca="1">((100/(D65+F65+H65))*C70)/100</f>
        <v>0.75</v>
      </c>
      <c r="E70" s="153"/>
      <c r="F70" s="153"/>
      <c r="G70" s="153"/>
      <c r="H70" s="153"/>
      <c r="I70" s="47" t="s">
        <v>112</v>
      </c>
      <c r="J70" s="62">
        <f ca="1">(IF(B65&gt;1,(H65/(B65+2)),H65/4))</f>
        <v>5.75</v>
      </c>
    </row>
    <row r="71" spans="1:10" ht="15.75" customHeight="1" x14ac:dyDescent="0.35">
      <c r="A71" s="151" t="s">
        <v>149</v>
      </c>
      <c r="B71" s="151" t="s">
        <v>143</v>
      </c>
      <c r="C71" s="100">
        <f>C70-1</f>
        <v>17</v>
      </c>
      <c r="D71" s="126">
        <f ca="1">((100/H65)*C71)/100</f>
        <v>0.73913043478260865</v>
      </c>
      <c r="E71" s="153"/>
      <c r="F71" s="153"/>
      <c r="G71" s="153"/>
      <c r="H71" s="153"/>
      <c r="I71" s="47" t="s">
        <v>113</v>
      </c>
      <c r="J71" s="62">
        <f ca="1">(IF(B65&gt;1,(H65/(B65+2)+J70),H65/4+J70))</f>
        <v>11.5</v>
      </c>
    </row>
    <row r="72" spans="1:10" ht="15.75" customHeight="1" x14ac:dyDescent="0.35">
      <c r="A72" s="151" t="s">
        <v>150</v>
      </c>
      <c r="B72" s="151" t="s">
        <v>143</v>
      </c>
      <c r="C72" s="100">
        <f>C71*0.75</f>
        <v>12.75</v>
      </c>
      <c r="D72" s="126">
        <f ca="1">((100/H65)*C72)/100</f>
        <v>0.55434782608695654</v>
      </c>
      <c r="E72" s="153"/>
      <c r="F72" s="153"/>
      <c r="G72" s="153"/>
      <c r="H72" s="153"/>
      <c r="I72" s="47" t="s">
        <v>161</v>
      </c>
      <c r="J72" s="62">
        <f>(IF(B65&gt;1,(H65/(B65+2)+J71),0))</f>
        <v>0</v>
      </c>
    </row>
    <row r="73" spans="1:10" ht="15" customHeight="1" x14ac:dyDescent="0.35">
      <c r="A73" s="151" t="s">
        <v>148</v>
      </c>
      <c r="B73" s="151" t="s">
        <v>145</v>
      </c>
      <c r="C73" s="100">
        <f>C71*0.7</f>
        <v>11.899999999999999</v>
      </c>
      <c r="D73" s="126">
        <f ca="1">((100/(H65))*C73)/100</f>
        <v>0.51739130434782599</v>
      </c>
      <c r="E73" s="153"/>
      <c r="F73" s="153"/>
      <c r="G73" s="153"/>
      <c r="H73" s="153"/>
      <c r="I73" s="47" t="s">
        <v>157</v>
      </c>
      <c r="J73" s="62">
        <f>(IF(B65&gt;2,(H65/(B65+2)+J72),0))</f>
        <v>0</v>
      </c>
    </row>
    <row r="74" spans="1:10" ht="15.75" customHeight="1" x14ac:dyDescent="0.35">
      <c r="A74" s="151" t="s">
        <v>144</v>
      </c>
      <c r="B74" s="151" t="s">
        <v>144</v>
      </c>
      <c r="C74" s="99">
        <v>0</v>
      </c>
      <c r="D74" s="126">
        <f ca="1">((100/H65)*C74)/100</f>
        <v>0</v>
      </c>
      <c r="E74" s="153"/>
      <c r="F74" s="153"/>
      <c r="G74" s="153"/>
      <c r="H74" s="153"/>
      <c r="I74" s="47" t="s">
        <v>158</v>
      </c>
      <c r="J74" s="63">
        <f>(IF(B65&gt;3,(H65/(B65+2)+J73),0))</f>
        <v>0</v>
      </c>
    </row>
    <row r="75" spans="1:10" ht="15.75" customHeight="1" x14ac:dyDescent="0.35">
      <c r="A75" s="151" t="s">
        <v>151</v>
      </c>
      <c r="B75" s="151"/>
      <c r="C75" s="99">
        <v>0</v>
      </c>
      <c r="D75" s="126">
        <f ca="1">((100/H65)*C75)/100</f>
        <v>0</v>
      </c>
      <c r="E75" s="153"/>
      <c r="F75" s="153"/>
      <c r="G75" s="153"/>
      <c r="H75" s="153"/>
      <c r="I75" s="47" t="s">
        <v>159</v>
      </c>
      <c r="J75" s="62">
        <f>(IF(B65&gt;4,(H65/(B65+2)+J74),0))</f>
        <v>0</v>
      </c>
    </row>
    <row r="76" spans="1:10" ht="15.75" customHeight="1" x14ac:dyDescent="0.35">
      <c r="A76" s="151" t="s">
        <v>146</v>
      </c>
      <c r="B76" s="151" t="s">
        <v>146</v>
      </c>
      <c r="C76" s="99">
        <v>0</v>
      </c>
      <c r="D76" s="126">
        <f ca="1">((100/(H65))*C76)/100</f>
        <v>0</v>
      </c>
      <c r="E76" s="153"/>
      <c r="F76" s="153"/>
      <c r="G76" s="153"/>
      <c r="H76" s="153"/>
      <c r="I76" s="47" t="s">
        <v>162</v>
      </c>
      <c r="J76" s="62">
        <f ca="1">(IF(B65=1,(H65/(B65+3)+J71),IF(B65=0,(H65/4+J71),IF(B65&gt;1,0))))</f>
        <v>17.25</v>
      </c>
    </row>
    <row r="77" spans="1:10" ht="16" thickBot="1" x14ac:dyDescent="0.4">
      <c r="A77" s="151" t="s">
        <v>147</v>
      </c>
      <c r="B77" s="151"/>
      <c r="C77" s="99">
        <v>0</v>
      </c>
      <c r="D77" s="126">
        <f ca="1">((100/(H65))*C77)/100</f>
        <v>0</v>
      </c>
      <c r="E77" s="153"/>
      <c r="F77" s="153"/>
      <c r="G77" s="153"/>
      <c r="H77" s="153"/>
      <c r="I77" s="58" t="s">
        <v>114</v>
      </c>
      <c r="J77" s="64">
        <f ca="1">(IF(B65&gt;1.5,(H65/(B65+2)+J71+MAX(0,J72-J71)+MAX(0,J73-J72)+MAX(0,J74-J73)+MAX(0,J75-J74)+MAX(0,J76-J75)),IF(B65=1,(H65/(B65+3)+J76),IF(B65=0,H65/4+J76))))</f>
        <v>23</v>
      </c>
    </row>
    <row r="78" spans="1:10" ht="15.75" customHeight="1" x14ac:dyDescent="0.35">
      <c r="A78" s="148" t="s">
        <v>153</v>
      </c>
      <c r="B78" s="148"/>
      <c r="C78" s="148" t="s">
        <v>250</v>
      </c>
      <c r="D78" s="148"/>
      <c r="E78" s="148"/>
      <c r="F78" s="148"/>
      <c r="G78" s="148"/>
      <c r="H78" s="148"/>
      <c r="I78" s="54" t="str">
        <f ca="1"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upto 17 Slab, Brickwork upto 16 Floor, Internal Plaster upto 12 Floor, External Plaster upto 11.2 Floor Completed</v>
      </c>
      <c r="J78" s="18"/>
    </row>
    <row r="79" spans="1:10" x14ac:dyDescent="0.35">
      <c r="A79" s="130" t="s">
        <v>156</v>
      </c>
      <c r="B79" s="130">
        <v>0</v>
      </c>
      <c r="C79" s="130" t="s">
        <v>75</v>
      </c>
      <c r="D79" s="130">
        <v>1</v>
      </c>
      <c r="E79" s="130" t="s">
        <v>74</v>
      </c>
      <c r="F79" s="130">
        <v>0</v>
      </c>
      <c r="G79" s="130" t="s">
        <v>87</v>
      </c>
      <c r="H79" s="130">
        <f ca="1">--TRIM(RIGHT(SUBSTITUTE(LEFT(C78,_xlfn.AGGREGATE(16,6,FIND({0,1,2,3,4,5,6,7,8,9},C78,ROW(INDIRECT("1:"&amp;LEN(C78)))),1))," ",REPT(" ",LEN(C78))),LEN(C78)))</f>
        <v>23</v>
      </c>
      <c r="I79" s="55"/>
      <c r="J79" s="19"/>
    </row>
    <row r="80" spans="1:10" ht="48" customHeight="1" x14ac:dyDescent="0.35">
      <c r="A80" s="147" t="s">
        <v>97</v>
      </c>
      <c r="B80" s="147"/>
      <c r="C80" s="148" t="str">
        <f ca="1">I78</f>
        <v>Excavation work Completed. Plinth work completed, RCC upto 17 Slab, Brickwork upto 16 Floor, Internal Plaster upto 12 Floor, External Plaster upto 11.2 Floor Completed</v>
      </c>
      <c r="D80" s="148"/>
      <c r="E80" s="148"/>
      <c r="F80" s="148"/>
      <c r="G80" s="148"/>
      <c r="H80" s="148"/>
      <c r="I80" s="55" t="s">
        <v>115</v>
      </c>
      <c r="J80" s="19"/>
    </row>
    <row r="81" spans="1:10" ht="15.75" customHeight="1" x14ac:dyDescent="0.35">
      <c r="A81" s="151" t="s">
        <v>50</v>
      </c>
      <c r="B81" s="151"/>
      <c r="C81" s="97" t="s">
        <v>152</v>
      </c>
      <c r="D81" s="125" t="s">
        <v>90</v>
      </c>
      <c r="E81" s="151" t="s">
        <v>92</v>
      </c>
      <c r="F81" s="151"/>
      <c r="G81" s="151" t="s">
        <v>91</v>
      </c>
      <c r="H81" s="151"/>
      <c r="I81" s="47" t="s">
        <v>155</v>
      </c>
      <c r="J81" s="20">
        <f ca="1">H79*25%</f>
        <v>5.75</v>
      </c>
    </row>
    <row r="82" spans="1:10" x14ac:dyDescent="0.35">
      <c r="A82" s="151" t="s">
        <v>141</v>
      </c>
      <c r="B82" s="151"/>
      <c r="C82" s="99">
        <f ca="1">J83</f>
        <v>23</v>
      </c>
      <c r="D82" s="126">
        <f ca="1">((100/H79)*C82)/100</f>
        <v>1</v>
      </c>
      <c r="E82" s="153">
        <f ca="1">(((C83/H79*10)+(40/(D79+F79+H79)*C84)+(7.5/(H79)*C85)+(7.5/(H79)*C86)+(10/H79*C87)+(10/H79*C88)+(5/H79*C89)+(5/H79*C90)+(5/H79*C91))/100)</f>
        <v>0.52333333333333332</v>
      </c>
      <c r="F82" s="153"/>
      <c r="G82" s="153">
        <f ca="1">((((C82/H79)*20)+((C83/H79)*25)+(30/(H79+F79+D79)*C84)+(5/H79*C85)+(5/H79*C86)+(5/H79*C87)+(5/H79*C88)+(0/H79*C89)+(0/H79*C90)+(5/H79*C91))/100)</f>
        <v>0.74771739130434778</v>
      </c>
      <c r="H82" s="153"/>
      <c r="I82" s="47" t="s">
        <v>110</v>
      </c>
      <c r="J82" s="53">
        <f ca="1">H79*50%</f>
        <v>11.5</v>
      </c>
    </row>
    <row r="83" spans="1:10" x14ac:dyDescent="0.35">
      <c r="A83" s="151" t="s">
        <v>51</v>
      </c>
      <c r="B83" s="151"/>
      <c r="C83" s="100">
        <f ca="1">J91</f>
        <v>23</v>
      </c>
      <c r="D83" s="126">
        <f ca="1">((100/H79)*C83)/100</f>
        <v>1</v>
      </c>
      <c r="E83" s="153"/>
      <c r="F83" s="153"/>
      <c r="G83" s="153"/>
      <c r="H83" s="153"/>
      <c r="I83" s="47" t="s">
        <v>111</v>
      </c>
      <c r="J83" s="53">
        <f ca="1">H79</f>
        <v>23</v>
      </c>
    </row>
    <row r="84" spans="1:10" ht="15.75" customHeight="1" x14ac:dyDescent="0.35">
      <c r="A84" s="151" t="s">
        <v>142</v>
      </c>
      <c r="B84" s="151"/>
      <c r="C84" s="100">
        <v>17</v>
      </c>
      <c r="D84" s="126">
        <f ca="1">((100/(D79+F79+H79))*C84)/100</f>
        <v>0.70833333333333348</v>
      </c>
      <c r="E84" s="153"/>
      <c r="F84" s="153"/>
      <c r="G84" s="153"/>
      <c r="H84" s="153"/>
      <c r="I84" s="47" t="s">
        <v>112</v>
      </c>
      <c r="J84" s="62">
        <f ca="1">(IF(B79&gt;1,(H79/(B79+2)),H79/4))</f>
        <v>5.75</v>
      </c>
    </row>
    <row r="85" spans="1:10" ht="15.75" customHeight="1" x14ac:dyDescent="0.35">
      <c r="A85" s="151" t="s">
        <v>149</v>
      </c>
      <c r="B85" s="151" t="s">
        <v>143</v>
      </c>
      <c r="C85" s="100">
        <f>C84-1</f>
        <v>16</v>
      </c>
      <c r="D85" s="126">
        <f ca="1">((100/H79)*C85)/100</f>
        <v>0.69565217391304346</v>
      </c>
      <c r="E85" s="153"/>
      <c r="F85" s="153"/>
      <c r="G85" s="153"/>
      <c r="H85" s="153"/>
      <c r="I85" s="47" t="s">
        <v>113</v>
      </c>
      <c r="J85" s="62">
        <f ca="1">(IF(B79&gt;1,(H79/(B79+2)+J84),H79/4+J84))</f>
        <v>11.5</v>
      </c>
    </row>
    <row r="86" spans="1:10" ht="15.75" customHeight="1" x14ac:dyDescent="0.35">
      <c r="A86" s="151" t="s">
        <v>150</v>
      </c>
      <c r="B86" s="151" t="s">
        <v>143</v>
      </c>
      <c r="C86" s="100">
        <f>C85*0.75</f>
        <v>12</v>
      </c>
      <c r="D86" s="126">
        <f ca="1">((100/H79)*C86)/100</f>
        <v>0.52173913043478259</v>
      </c>
      <c r="E86" s="153"/>
      <c r="F86" s="153"/>
      <c r="G86" s="153"/>
      <c r="H86" s="153"/>
      <c r="I86" s="47" t="s">
        <v>161</v>
      </c>
      <c r="J86" s="62">
        <f>(IF(B79&gt;1,(H79/(B79+2)+J85),0))</f>
        <v>0</v>
      </c>
    </row>
    <row r="87" spans="1:10" ht="15" customHeight="1" x14ac:dyDescent="0.35">
      <c r="A87" s="151" t="s">
        <v>148</v>
      </c>
      <c r="B87" s="151" t="s">
        <v>145</v>
      </c>
      <c r="C87" s="100">
        <f>C85*0.7</f>
        <v>11.2</v>
      </c>
      <c r="D87" s="126">
        <f ca="1">((100/(H79))*C87)/100</f>
        <v>0.4869565217391304</v>
      </c>
      <c r="E87" s="153"/>
      <c r="F87" s="153"/>
      <c r="G87" s="153"/>
      <c r="H87" s="153"/>
      <c r="I87" s="47" t="s">
        <v>157</v>
      </c>
      <c r="J87" s="62">
        <f>(IF(B79&gt;2,(H79/(B79+2)+J86),0))</f>
        <v>0</v>
      </c>
    </row>
    <row r="88" spans="1:10" ht="15.75" customHeight="1" x14ac:dyDescent="0.35">
      <c r="A88" s="151" t="s">
        <v>144</v>
      </c>
      <c r="B88" s="151" t="s">
        <v>144</v>
      </c>
      <c r="C88" s="99">
        <v>0</v>
      </c>
      <c r="D88" s="126">
        <f ca="1">((100/H79)*C88)/100</f>
        <v>0</v>
      </c>
      <c r="E88" s="153"/>
      <c r="F88" s="153"/>
      <c r="G88" s="153"/>
      <c r="H88" s="153"/>
      <c r="I88" s="47" t="s">
        <v>158</v>
      </c>
      <c r="J88" s="63">
        <f>(IF(B79&gt;3,(H79/(B79+2)+J87),0))</f>
        <v>0</v>
      </c>
    </row>
    <row r="89" spans="1:10" ht="15.75" customHeight="1" x14ac:dyDescent="0.35">
      <c r="A89" s="151" t="s">
        <v>151</v>
      </c>
      <c r="B89" s="151"/>
      <c r="C89" s="99">
        <v>0</v>
      </c>
      <c r="D89" s="126">
        <f ca="1">((100/H79)*C89)/100</f>
        <v>0</v>
      </c>
      <c r="E89" s="153"/>
      <c r="F89" s="153"/>
      <c r="G89" s="153"/>
      <c r="H89" s="153"/>
      <c r="I89" s="47" t="s">
        <v>159</v>
      </c>
      <c r="J89" s="62">
        <f>(IF(B79&gt;4,(H79/(B79+2)+J88),0))</f>
        <v>0</v>
      </c>
    </row>
    <row r="90" spans="1:10" ht="15.75" customHeight="1" x14ac:dyDescent="0.35">
      <c r="A90" s="151" t="s">
        <v>146</v>
      </c>
      <c r="B90" s="151" t="s">
        <v>146</v>
      </c>
      <c r="C90" s="99">
        <v>0</v>
      </c>
      <c r="D90" s="126">
        <f ca="1">((100/(H79))*C90)/100</f>
        <v>0</v>
      </c>
      <c r="E90" s="153"/>
      <c r="F90" s="153"/>
      <c r="G90" s="153"/>
      <c r="H90" s="153"/>
      <c r="I90" s="47" t="s">
        <v>162</v>
      </c>
      <c r="J90" s="62">
        <f ca="1">(IF(B79=1,(H79/(B79+3)+J85),IF(B79=0,(H79/4+J85),IF(B79&gt;1,0))))</f>
        <v>17.25</v>
      </c>
    </row>
    <row r="91" spans="1:10" ht="16" thickBot="1" x14ac:dyDescent="0.4">
      <c r="A91" s="151" t="s">
        <v>147</v>
      </c>
      <c r="B91" s="151"/>
      <c r="C91" s="99">
        <v>0</v>
      </c>
      <c r="D91" s="126">
        <f ca="1">((100/(H79))*C91)/100</f>
        <v>0</v>
      </c>
      <c r="E91" s="153"/>
      <c r="F91" s="153"/>
      <c r="G91" s="153"/>
      <c r="H91" s="153"/>
      <c r="I91" s="58" t="s">
        <v>114</v>
      </c>
      <c r="J91" s="64">
        <f ca="1">(IF(B79&gt;1.5,(H79/(B79+2)+J85+MAX(0,J86-J85)+MAX(0,J87-J86)+MAX(0,J88-J87)+MAX(0,J89-J88)+MAX(0,J90-J89)),IF(B79=1,(H79/(B79+3)+J90),IF(B79=0,H79/4+J90))))</f>
        <v>23</v>
      </c>
    </row>
    <row r="92" spans="1:10" ht="15.75" customHeight="1" x14ac:dyDescent="0.35">
      <c r="A92" s="148" t="s">
        <v>153</v>
      </c>
      <c r="B92" s="148"/>
      <c r="C92" s="148" t="s">
        <v>239</v>
      </c>
      <c r="D92" s="148"/>
      <c r="E92" s="148"/>
      <c r="F92" s="148"/>
      <c r="G92" s="148"/>
      <c r="H92" s="148"/>
      <c r="I92" s="54" t="str">
        <f ca="1"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upto 5 Slab, Brickwork upto 4 Floor, Internal Plaster upto 3 Floor, External Plaster upto 2.8 Floor Completed</v>
      </c>
      <c r="J92" s="18"/>
    </row>
    <row r="93" spans="1:10" x14ac:dyDescent="0.35">
      <c r="A93" s="124" t="s">
        <v>156</v>
      </c>
      <c r="B93" s="124">
        <v>0</v>
      </c>
      <c r="C93" s="124" t="s">
        <v>75</v>
      </c>
      <c r="D93" s="124">
        <v>1</v>
      </c>
      <c r="E93" s="124" t="s">
        <v>74</v>
      </c>
      <c r="F93" s="124">
        <v>0</v>
      </c>
      <c r="G93" s="124" t="s">
        <v>87</v>
      </c>
      <c r="H93" s="124">
        <f ca="1">--TRIM(RIGHT(SUBSTITUTE(LEFT(C92,_xlfn.AGGREGATE(16,6,FIND({0,1,2,3,4,5,6,7,8,9},C92,ROW(INDIRECT("1:"&amp;LEN(C92)))),1))," ",REPT(" ",LEN(C92))),LEN(C92)))</f>
        <v>23</v>
      </c>
      <c r="I93" s="55"/>
      <c r="J93" s="19"/>
    </row>
    <row r="94" spans="1:10" ht="30.65" customHeight="1" x14ac:dyDescent="0.35">
      <c r="A94" s="147" t="s">
        <v>97</v>
      </c>
      <c r="B94" s="147"/>
      <c r="C94" s="148" t="str">
        <f ca="1">I92</f>
        <v>Excavation work Completed. Plinth work completed, RCC upto 5 Slab, Brickwork upto 4 Floor, Internal Plaster upto 3 Floor, External Plaster upto 2.8 Floor Completed</v>
      </c>
      <c r="D94" s="148"/>
      <c r="E94" s="148"/>
      <c r="F94" s="148"/>
      <c r="G94" s="148"/>
      <c r="H94" s="148"/>
      <c r="I94" s="55" t="s">
        <v>115</v>
      </c>
      <c r="J94" s="19"/>
    </row>
    <row r="95" spans="1:10" ht="15.75" customHeight="1" x14ac:dyDescent="0.35">
      <c r="A95" s="150" t="s">
        <v>50</v>
      </c>
      <c r="B95" s="151"/>
      <c r="C95" s="97" t="s">
        <v>152</v>
      </c>
      <c r="D95" s="114" t="s">
        <v>90</v>
      </c>
      <c r="E95" s="151" t="s">
        <v>92</v>
      </c>
      <c r="F95" s="151"/>
      <c r="G95" s="151" t="s">
        <v>91</v>
      </c>
      <c r="H95" s="152"/>
      <c r="I95" s="47" t="s">
        <v>155</v>
      </c>
      <c r="J95" s="20">
        <f ca="1">H93*25%</f>
        <v>5.75</v>
      </c>
    </row>
    <row r="96" spans="1:10" x14ac:dyDescent="0.35">
      <c r="A96" s="150" t="s">
        <v>141</v>
      </c>
      <c r="B96" s="151"/>
      <c r="C96" s="99">
        <f ca="1">J97</f>
        <v>23</v>
      </c>
      <c r="D96" s="115">
        <f ca="1">((100/H93)*C96)/100</f>
        <v>1</v>
      </c>
      <c r="E96" s="153">
        <f ca="1">(((C97/H93*10)+(40/(D93+F93+H93)*C98)+(7.5/(H93)*C99)+(7.5/(H93)*C100)+(10/H93*C101)+(10/H93*C102)+(5/H93*C103)+(5/H93*C104)+(5/H93*C105))/100)</f>
        <v>0.21833333333333335</v>
      </c>
      <c r="F96" s="153"/>
      <c r="G96" s="153">
        <f ca="1">((((C96/H93)*20)+((C97/H93)*25)+(30/(H93+F93+D93)*C98)+(5/H93*C99)+(5/H93*C100)+(5/H93*C101)+(5/H93*C102)+(0/H93*C103)+(0/H93*C104)+(5/H93*C105))/100)</f>
        <v>0.53380434782608699</v>
      </c>
      <c r="H96" s="264"/>
      <c r="I96" s="47" t="s">
        <v>110</v>
      </c>
      <c r="J96" s="53">
        <f ca="1">H93*50%</f>
        <v>11.5</v>
      </c>
    </row>
    <row r="97" spans="1:11" x14ac:dyDescent="0.35">
      <c r="A97" s="150" t="s">
        <v>51</v>
      </c>
      <c r="B97" s="151"/>
      <c r="C97" s="100">
        <f ca="1">J105</f>
        <v>23</v>
      </c>
      <c r="D97" s="115">
        <f ca="1">((100/H93)*C97)/100</f>
        <v>1</v>
      </c>
      <c r="E97" s="153"/>
      <c r="F97" s="153"/>
      <c r="G97" s="153"/>
      <c r="H97" s="264"/>
      <c r="I97" s="47" t="s">
        <v>111</v>
      </c>
      <c r="J97" s="53">
        <f ca="1">H93</f>
        <v>23</v>
      </c>
    </row>
    <row r="98" spans="1:11" ht="15.75" customHeight="1" x14ac:dyDescent="0.35">
      <c r="A98" s="150" t="s">
        <v>142</v>
      </c>
      <c r="B98" s="151"/>
      <c r="C98" s="100">
        <v>5</v>
      </c>
      <c r="D98" s="115">
        <f ca="1">((100/(D93+F93+H93))*C98)/100</f>
        <v>0.20833333333333337</v>
      </c>
      <c r="E98" s="153"/>
      <c r="F98" s="153"/>
      <c r="G98" s="153"/>
      <c r="H98" s="264"/>
      <c r="I98" s="47" t="s">
        <v>112</v>
      </c>
      <c r="J98" s="62">
        <f ca="1">(IF(B93&gt;1,(H93/(B93+2)),H93/4))</f>
        <v>5.75</v>
      </c>
      <c r="K98" s="6" t="s">
        <v>246</v>
      </c>
    </row>
    <row r="99" spans="1:11" ht="15.75" customHeight="1" x14ac:dyDescent="0.35">
      <c r="A99" s="150" t="s">
        <v>149</v>
      </c>
      <c r="B99" s="151" t="s">
        <v>143</v>
      </c>
      <c r="C99" s="100">
        <f>C98-1</f>
        <v>4</v>
      </c>
      <c r="D99" s="115">
        <f ca="1">((100/H93)*C99)/100</f>
        <v>0.17391304347826086</v>
      </c>
      <c r="E99" s="153"/>
      <c r="F99" s="153"/>
      <c r="G99" s="153"/>
      <c r="H99" s="264"/>
      <c r="I99" s="47" t="s">
        <v>113</v>
      </c>
      <c r="J99" s="62">
        <f ca="1">(IF(B93&gt;1,(H93/(B93+2)+J98),H93/4+J98))</f>
        <v>11.5</v>
      </c>
      <c r="K99" s="6" t="s">
        <v>247</v>
      </c>
    </row>
    <row r="100" spans="1:11" ht="15.75" customHeight="1" x14ac:dyDescent="0.35">
      <c r="A100" s="150" t="s">
        <v>150</v>
      </c>
      <c r="B100" s="151" t="s">
        <v>143</v>
      </c>
      <c r="C100" s="100">
        <f>C99*0.75</f>
        <v>3</v>
      </c>
      <c r="D100" s="115">
        <f ca="1">((100/H93)*C100)/100</f>
        <v>0.13043478260869565</v>
      </c>
      <c r="E100" s="153"/>
      <c r="F100" s="153"/>
      <c r="G100" s="153"/>
      <c r="H100" s="264"/>
      <c r="I100" s="47" t="s">
        <v>161</v>
      </c>
      <c r="J100" s="62">
        <f>(IF(B93&gt;1,(H93/(B93+2)+J99),0))</f>
        <v>0</v>
      </c>
    </row>
    <row r="101" spans="1:11" ht="15" customHeight="1" x14ac:dyDescent="0.35">
      <c r="A101" s="150" t="s">
        <v>148</v>
      </c>
      <c r="B101" s="151" t="s">
        <v>145</v>
      </c>
      <c r="C101" s="100">
        <f>C99*0.7</f>
        <v>2.8</v>
      </c>
      <c r="D101" s="115">
        <f ca="1">((100/(H93))*C101)/100</f>
        <v>0.1217391304347826</v>
      </c>
      <c r="E101" s="153"/>
      <c r="F101" s="153"/>
      <c r="G101" s="153"/>
      <c r="H101" s="264"/>
      <c r="I101" s="47" t="s">
        <v>157</v>
      </c>
      <c r="J101" s="62">
        <f>(IF(B93&gt;2,(H93/(B93+2)+J100),0))</f>
        <v>0</v>
      </c>
    </row>
    <row r="102" spans="1:11" ht="15.75" customHeight="1" x14ac:dyDescent="0.35">
      <c r="A102" s="150" t="s">
        <v>144</v>
      </c>
      <c r="B102" s="151" t="s">
        <v>144</v>
      </c>
      <c r="C102" s="99">
        <v>0</v>
      </c>
      <c r="D102" s="115">
        <f ca="1">((100/H93)*C102)/100</f>
        <v>0</v>
      </c>
      <c r="E102" s="153"/>
      <c r="F102" s="153"/>
      <c r="G102" s="153"/>
      <c r="H102" s="264"/>
      <c r="I102" s="47" t="s">
        <v>158</v>
      </c>
      <c r="J102" s="63">
        <f>(IF(B93&gt;3,(H93/(B93+2)+J101),0))</f>
        <v>0</v>
      </c>
    </row>
    <row r="103" spans="1:11" ht="15.75" customHeight="1" x14ac:dyDescent="0.35">
      <c r="A103" s="150" t="s">
        <v>151</v>
      </c>
      <c r="B103" s="151"/>
      <c r="C103" s="99">
        <v>0</v>
      </c>
      <c r="D103" s="115">
        <f ca="1">((100/H93)*C103)/100</f>
        <v>0</v>
      </c>
      <c r="E103" s="153"/>
      <c r="F103" s="153"/>
      <c r="G103" s="153"/>
      <c r="H103" s="264"/>
      <c r="I103" s="47" t="s">
        <v>159</v>
      </c>
      <c r="J103" s="62">
        <f>(IF(B93&gt;4,(H93/(B93+2)+J102),0))</f>
        <v>0</v>
      </c>
    </row>
    <row r="104" spans="1:11" ht="15.75" customHeight="1" x14ac:dyDescent="0.35">
      <c r="A104" s="150" t="s">
        <v>146</v>
      </c>
      <c r="B104" s="151" t="s">
        <v>146</v>
      </c>
      <c r="C104" s="99">
        <v>0</v>
      </c>
      <c r="D104" s="115">
        <f ca="1">((100/(H93))*C104)/100</f>
        <v>0</v>
      </c>
      <c r="E104" s="153"/>
      <c r="F104" s="153"/>
      <c r="G104" s="153"/>
      <c r="H104" s="264"/>
      <c r="I104" s="47" t="s">
        <v>162</v>
      </c>
      <c r="J104" s="62">
        <f ca="1">(IF(B93=1,(H93/(B93+3)+J99),IF(B93=0,(H93/4+J99),IF(B93&gt;1,0))))</f>
        <v>17.25</v>
      </c>
    </row>
    <row r="105" spans="1:11" ht="16" thickBot="1" x14ac:dyDescent="0.4">
      <c r="A105" s="258" t="s">
        <v>147</v>
      </c>
      <c r="B105" s="259"/>
      <c r="C105" s="101">
        <v>0</v>
      </c>
      <c r="D105" s="116">
        <f ca="1">((100/(H93))*C105)/100</f>
        <v>0</v>
      </c>
      <c r="E105" s="263"/>
      <c r="F105" s="263"/>
      <c r="G105" s="263"/>
      <c r="H105" s="265"/>
      <c r="I105" s="58" t="s">
        <v>114</v>
      </c>
      <c r="J105" s="64">
        <f ca="1">(IF(B93&gt;1.5,(H93/(B93+2)+J99+MAX(0,J100-J99)+MAX(0,J101-J100)+MAX(0,J102-J101)+MAX(0,J103-J102)+MAX(0,J104-J103)),IF(B93=1,(H93/(B93+3)+J104),IF(B93=0,H93/4+J104))))</f>
        <v>23</v>
      </c>
    </row>
    <row r="106" spans="1:11" ht="15.75" customHeight="1" x14ac:dyDescent="0.35">
      <c r="A106" s="154" t="s">
        <v>153</v>
      </c>
      <c r="B106" s="155"/>
      <c r="C106" s="156" t="s">
        <v>245</v>
      </c>
      <c r="D106" s="157"/>
      <c r="E106" s="157"/>
      <c r="F106" s="157"/>
      <c r="G106" s="157"/>
      <c r="H106" s="158"/>
      <c r="I106" s="54" t="str">
        <f ca="1">(IF(E110&gt;99%,"All work completed. Please provide OC.",IF(E110&gt;89.8%,"Plinth, RCC, Brick, Plaster, Flooring, Painting work Completed. Finishing work is in process.",IF(E110&lt;94%,(IF(C110=0,"Work not yet Started.",IF(D110=25%,"Piling work in process",IF(D110=50%,"Excavation work in process",IF(D110=100%,"Excavation work Completed. ","0")))&amp;(IF(C111=0%,"",IF(C111=J112,"Footing work is process",IF(C111=J113,"Footing work Completed",IF(C111=J114,"1st Basement Completed",IF(C111=J115,"1st &amp; 2nd Basement Completed",IF(C111=J116,"1st to 3rd Basement Completed",IF(C111=J117,"1st to 4th Basement Completed",IF(C111=J118,"Plinth work is process",IF(C111=J119,"Plinth work completed","0")))))))))))&amp;(IF(C112=(D107+F107+H107),", RCC Slab",IF(C112&gt;0,", RCC upto "&amp;C112&amp;" Slab",""))&amp;(IF(C113=H107,", Brickwork",IF(C113&gt;0,", Brickwork upto "&amp;C113&amp;" Floor",""))&amp;(IF(C114=H107,", Internal Plaster",IF(C114&gt;0,", Internal Plaster upto "&amp;C114&amp;" Floor",""))&amp;(IF(C115=H107,", External Plaster",IF(C115&gt;0,", External Plaster upto "&amp;C115&amp;" Floor",""))&amp;(IF(C116=H107,", Flooring",IF(C116&gt;0,", Flooring upto "&amp;C116&amp;" Floor",""))&amp;(IF(C117=H107,", Painting",IF(C117&gt;0,", Painting upto "&amp;C117&amp;" Floor",""))&amp;(IF(C118&gt;0,", Finishing upto "&amp;C118&amp;" Floor","")&amp;(IF(C112&gt;0.5," Completed",""))))))))))))))</f>
        <v>Excavation work Completed. Plinth work completed, RCC upto 23 Slab, Brickwork upto 22 Floor, Internal Plaster upto 17 Floor, External Plaster upto 15 Floor Completed</v>
      </c>
      <c r="J106" s="18"/>
    </row>
    <row r="107" spans="1:11" x14ac:dyDescent="0.35">
      <c r="A107" s="66" t="s">
        <v>156</v>
      </c>
      <c r="B107" s="110">
        <v>0</v>
      </c>
      <c r="C107" s="110" t="s">
        <v>75</v>
      </c>
      <c r="D107" s="110">
        <v>1</v>
      </c>
      <c r="E107" s="110" t="s">
        <v>74</v>
      </c>
      <c r="F107" s="110">
        <v>0</v>
      </c>
      <c r="G107" s="110" t="s">
        <v>87</v>
      </c>
      <c r="H107" s="69">
        <f ca="1">--TRIM(RIGHT(SUBSTITUTE(LEFT(C106,_xlfn.AGGREGATE(16,6,FIND({0,1,2,3,4,5,6,7,8,9},C106,ROW(INDIRECT("1:"&amp;LEN(C106)))),1))," ",REPT(" ",LEN(C106))),LEN(C106)))</f>
        <v>23</v>
      </c>
      <c r="I107" s="55"/>
      <c r="J107" s="19"/>
    </row>
    <row r="108" spans="1:11" ht="48" customHeight="1" x14ac:dyDescent="0.35">
      <c r="A108" s="146" t="s">
        <v>97</v>
      </c>
      <c r="B108" s="147"/>
      <c r="C108" s="148" t="str">
        <f ca="1">I106</f>
        <v>Excavation work Completed. Plinth work completed, RCC upto 23 Slab, Brickwork upto 22 Floor, Internal Plaster upto 17 Floor, External Plaster upto 15 Floor Completed</v>
      </c>
      <c r="D108" s="148"/>
      <c r="E108" s="148"/>
      <c r="F108" s="148"/>
      <c r="G108" s="148"/>
      <c r="H108" s="149"/>
      <c r="I108" s="55" t="s">
        <v>115</v>
      </c>
      <c r="J108" s="19"/>
    </row>
    <row r="109" spans="1:11" ht="15.75" customHeight="1" x14ac:dyDescent="0.35">
      <c r="A109" s="151" t="s">
        <v>50</v>
      </c>
      <c r="B109" s="151"/>
      <c r="C109" s="97" t="s">
        <v>152</v>
      </c>
      <c r="D109" s="139" t="s">
        <v>90</v>
      </c>
      <c r="E109" s="151" t="s">
        <v>92</v>
      </c>
      <c r="F109" s="151"/>
      <c r="G109" s="151" t="s">
        <v>91</v>
      </c>
      <c r="H109" s="151"/>
      <c r="I109" s="47" t="s">
        <v>155</v>
      </c>
      <c r="J109" s="20">
        <f ca="1">H107*25%</f>
        <v>5.75</v>
      </c>
    </row>
    <row r="110" spans="1:11" x14ac:dyDescent="0.35">
      <c r="A110" s="151" t="s">
        <v>141</v>
      </c>
      <c r="B110" s="151"/>
      <c r="C110" s="99">
        <f ca="1">J111</f>
        <v>23</v>
      </c>
      <c r="D110" s="140">
        <f ca="1">((100/H107)*C110)/100</f>
        <v>1</v>
      </c>
      <c r="E110" s="153">
        <f ca="1">(((C111/H107*10)+(40/(D107+F107+H107)*C112)+(7.5/(H107)*C113)+(7.5/(H107)*C114)+(10/H107*C115)+(10/H107*C116)+(5/H107*C117)+(5/H107*C118)+(5/H107*C119))/100)</f>
        <v>0.67572463768115942</v>
      </c>
      <c r="F110" s="153"/>
      <c r="G110" s="153">
        <f ca="1">((((C110/H107)*20)+((C111/H107)*25)+(30/(H107+F107+D107)*C112)+(5/H107*C113)+(5/H107*C114)+(5/H107*C115)+(5/H107*C116)+(0/H107*C117)+(0/H107*C118)+(5/H107*C119))/100)</f>
        <v>0.85489130434782612</v>
      </c>
      <c r="H110" s="153"/>
      <c r="I110" s="47" t="s">
        <v>110</v>
      </c>
      <c r="J110" s="53">
        <f ca="1">H107*50%</f>
        <v>11.5</v>
      </c>
    </row>
    <row r="111" spans="1:11" x14ac:dyDescent="0.35">
      <c r="A111" s="151" t="s">
        <v>51</v>
      </c>
      <c r="B111" s="151"/>
      <c r="C111" s="100">
        <f ca="1">J119</f>
        <v>23</v>
      </c>
      <c r="D111" s="140">
        <f ca="1">((100/H107)*C111)/100</f>
        <v>1</v>
      </c>
      <c r="E111" s="153"/>
      <c r="F111" s="153"/>
      <c r="G111" s="153"/>
      <c r="H111" s="153"/>
      <c r="I111" s="47" t="s">
        <v>111</v>
      </c>
      <c r="J111" s="53">
        <f ca="1">H107</f>
        <v>23</v>
      </c>
    </row>
    <row r="112" spans="1:11" ht="15.75" customHeight="1" x14ac:dyDescent="0.35">
      <c r="A112" s="151" t="s">
        <v>142</v>
      </c>
      <c r="B112" s="151"/>
      <c r="C112" s="100">
        <v>23</v>
      </c>
      <c r="D112" s="140">
        <f ca="1">((100/(D107+F107+H107))*C112)/100</f>
        <v>0.95833333333333348</v>
      </c>
      <c r="E112" s="153"/>
      <c r="F112" s="153"/>
      <c r="G112" s="153"/>
      <c r="H112" s="153"/>
      <c r="I112" s="47" t="s">
        <v>112</v>
      </c>
      <c r="J112" s="62">
        <f ca="1">(IF(B107&gt;1,(H107/(B107+2)),H107/4))</f>
        <v>5.75</v>
      </c>
    </row>
    <row r="113" spans="1:10" ht="15.75" customHeight="1" x14ac:dyDescent="0.35">
      <c r="A113" s="151" t="s">
        <v>149</v>
      </c>
      <c r="B113" s="151" t="s">
        <v>143</v>
      </c>
      <c r="C113" s="100">
        <f>C112-1</f>
        <v>22</v>
      </c>
      <c r="D113" s="140">
        <f ca="1">((100/H107)*C113)/100</f>
        <v>0.9565217391304347</v>
      </c>
      <c r="E113" s="153"/>
      <c r="F113" s="153"/>
      <c r="G113" s="153"/>
      <c r="H113" s="153"/>
      <c r="I113" s="47" t="s">
        <v>113</v>
      </c>
      <c r="J113" s="62">
        <f ca="1">(IF(B107&gt;1,(H107/(B107+2)+J112),H107/4+J112))</f>
        <v>11.5</v>
      </c>
    </row>
    <row r="114" spans="1:10" ht="15.75" customHeight="1" x14ac:dyDescent="0.35">
      <c r="A114" s="151" t="s">
        <v>150</v>
      </c>
      <c r="B114" s="151" t="s">
        <v>143</v>
      </c>
      <c r="C114" s="100">
        <v>17</v>
      </c>
      <c r="D114" s="140">
        <f ca="1">((100/H107)*C114)/100</f>
        <v>0.73913043478260865</v>
      </c>
      <c r="E114" s="153"/>
      <c r="F114" s="153"/>
      <c r="G114" s="153"/>
      <c r="H114" s="153"/>
      <c r="I114" s="47" t="s">
        <v>161</v>
      </c>
      <c r="J114" s="62">
        <f>(IF(B107&gt;1,(H107/(B107+2)+J113),0))</f>
        <v>0</v>
      </c>
    </row>
    <row r="115" spans="1:10" ht="15" customHeight="1" x14ac:dyDescent="0.35">
      <c r="A115" s="151" t="s">
        <v>148</v>
      </c>
      <c r="B115" s="151" t="s">
        <v>145</v>
      </c>
      <c r="C115" s="100">
        <v>15</v>
      </c>
      <c r="D115" s="140">
        <f ca="1">((100/(H107))*C115)/100</f>
        <v>0.65217391304347827</v>
      </c>
      <c r="E115" s="153"/>
      <c r="F115" s="153"/>
      <c r="G115" s="153"/>
      <c r="H115" s="153"/>
      <c r="I115" s="47" t="s">
        <v>157</v>
      </c>
      <c r="J115" s="62">
        <f>(IF(B107&gt;2,(H107/(B107+2)+J114),0))</f>
        <v>0</v>
      </c>
    </row>
    <row r="116" spans="1:10" ht="15.75" customHeight="1" x14ac:dyDescent="0.35">
      <c r="A116" s="151" t="s">
        <v>144</v>
      </c>
      <c r="B116" s="151" t="s">
        <v>144</v>
      </c>
      <c r="C116" s="99">
        <v>0</v>
      </c>
      <c r="D116" s="140">
        <f ca="1">((100/H107)*C116)/100</f>
        <v>0</v>
      </c>
      <c r="E116" s="153"/>
      <c r="F116" s="153"/>
      <c r="G116" s="153"/>
      <c r="H116" s="153"/>
      <c r="I116" s="47" t="s">
        <v>158</v>
      </c>
      <c r="J116" s="63">
        <f>(IF(B107&gt;3,(H107/(B107+2)+J115),0))</f>
        <v>0</v>
      </c>
    </row>
    <row r="117" spans="1:10" ht="15.75" customHeight="1" x14ac:dyDescent="0.35">
      <c r="A117" s="151" t="s">
        <v>151</v>
      </c>
      <c r="B117" s="151"/>
      <c r="C117" s="99">
        <v>0</v>
      </c>
      <c r="D117" s="140">
        <f ca="1">((100/H107)*C117)/100</f>
        <v>0</v>
      </c>
      <c r="E117" s="153"/>
      <c r="F117" s="153"/>
      <c r="G117" s="153"/>
      <c r="H117" s="153"/>
      <c r="I117" s="47" t="s">
        <v>159</v>
      </c>
      <c r="J117" s="62">
        <f>(IF(B107&gt;4,(H107/(B107+2)+J116),0))</f>
        <v>0</v>
      </c>
    </row>
    <row r="118" spans="1:10" ht="15.75" customHeight="1" x14ac:dyDescent="0.35">
      <c r="A118" s="151" t="s">
        <v>146</v>
      </c>
      <c r="B118" s="151" t="s">
        <v>146</v>
      </c>
      <c r="C118" s="99">
        <v>0</v>
      </c>
      <c r="D118" s="140">
        <f ca="1">((100/(H107))*C118)/100</f>
        <v>0</v>
      </c>
      <c r="E118" s="153"/>
      <c r="F118" s="153"/>
      <c r="G118" s="153"/>
      <c r="H118" s="153"/>
      <c r="I118" s="47" t="s">
        <v>162</v>
      </c>
      <c r="J118" s="62">
        <f ca="1">(IF(B107=1,(H107/(B107+3)+J113),IF(B107=0,(H107/4+J113),IF(B107&gt;1,0))))</f>
        <v>17.25</v>
      </c>
    </row>
    <row r="119" spans="1:10" ht="16" thickBot="1" x14ac:dyDescent="0.4">
      <c r="A119" s="151" t="s">
        <v>147</v>
      </c>
      <c r="B119" s="151"/>
      <c r="C119" s="99">
        <v>0</v>
      </c>
      <c r="D119" s="140">
        <f ca="1">((100/(H107))*C119)/100</f>
        <v>0</v>
      </c>
      <c r="E119" s="153"/>
      <c r="F119" s="153"/>
      <c r="G119" s="153"/>
      <c r="H119" s="153"/>
      <c r="I119" s="58" t="s">
        <v>114</v>
      </c>
      <c r="J119" s="64">
        <f ca="1">(IF(B107&gt;1.5,(H107/(B107+2)+J113+MAX(0,J114-J113)+MAX(0,J115-J114)+MAX(0,J116-J115)+MAX(0,J117-J116)+MAX(0,J118-J117)),IF(B107=1,(H107/(B107+3)+J118),IF(B107=0,H107/4+J118))))</f>
        <v>23</v>
      </c>
    </row>
    <row r="120" spans="1:10" ht="15.75" customHeight="1" x14ac:dyDescent="0.35">
      <c r="A120" s="148" t="s">
        <v>153</v>
      </c>
      <c r="B120" s="148"/>
      <c r="C120" s="148" t="s">
        <v>253</v>
      </c>
      <c r="D120" s="148"/>
      <c r="E120" s="148"/>
      <c r="F120" s="148"/>
      <c r="G120" s="148"/>
      <c r="H120" s="148"/>
      <c r="I120" s="54" t="str">
        <f ca="1">(IF(E124&gt;99%,"All work completed. Please provide OC.",IF(E124&gt;89.8%,"Plinth, RCC, Brick, Plaster, Flooring, Painting work Completed. Finishing work is in process.",IF(E124&lt;94%,(IF(C124=0,"Work not yet Started.",IF(D124=25%,"Piling work in process",IF(D124=50%,"Excavation work in process",IF(D124=100%,"Excavation work Completed. ","0")))&amp;(IF(C125=0%,"",IF(C125=J126,"Footing work is process",IF(C125=J127,"Footing work Completed",IF(C125=J128,"1st Basement Completed",IF(C125=J129,"1st &amp; 2nd Basement Completed",IF(C125=J130,"1st to 3rd Basement Completed",IF(C125=J131,"1st to 4th Basement Completed",IF(C125=J132,"Plinth work is process",IF(C125=J133,"Plinth work completed","0")))))))))))&amp;(IF(C126=(D121+F121+H121),", RCC Slab",IF(C126&gt;0,", RCC upto "&amp;C126&amp;" Slab",""))&amp;(IF(C127=H121,", Brickwork",IF(C127&gt;0,", Brickwork upto "&amp;C127&amp;" Floor",""))&amp;(IF(C128=H121,", Internal Plaster",IF(C128&gt;0,", Internal Plaster upto "&amp;C128&amp;" Floor",""))&amp;(IF(C129=H121,", External Plaster",IF(C129&gt;0,", External Plaster upto "&amp;C129&amp;" Floor",""))&amp;(IF(C130=H121,", Flooring",IF(C130&gt;0,", Flooring upto "&amp;C130&amp;" Floor",""))&amp;(IF(C131=H121,", Painting",IF(C131&gt;0,", Painting upto "&amp;C131&amp;" Floor",""))&amp;(IF(C132&gt;0,", Finishing upto "&amp;C132&amp;" Floor","")&amp;(IF(C126&gt;0.5," Completed",""))))))))))))))</f>
        <v>Excavation work Completed. Plinth work completed, RCC Slab, Brickwork, Internal Plaster, External Plaster upto 20 Floor Completed</v>
      </c>
      <c r="J120" s="18"/>
    </row>
    <row r="121" spans="1:10" x14ac:dyDescent="0.35">
      <c r="A121" s="130" t="s">
        <v>156</v>
      </c>
      <c r="B121" s="130">
        <v>0</v>
      </c>
      <c r="C121" s="130" t="s">
        <v>75</v>
      </c>
      <c r="D121" s="130">
        <v>1</v>
      </c>
      <c r="E121" s="130" t="s">
        <v>74</v>
      </c>
      <c r="F121" s="130">
        <v>0</v>
      </c>
      <c r="G121" s="130" t="s">
        <v>87</v>
      </c>
      <c r="H121" s="130">
        <f ca="1">--TRIM(RIGHT(SUBSTITUTE(LEFT(C120,_xlfn.AGGREGATE(16,6,FIND({0,1,2,3,4,5,6,7,8,9},C120,ROW(INDIRECT("1:"&amp;LEN(C120)))),1))," ",REPT(" ",LEN(C120))),LEN(C120)))</f>
        <v>23</v>
      </c>
      <c r="I121" s="55"/>
      <c r="J121" s="19"/>
    </row>
    <row r="122" spans="1:10" ht="31" customHeight="1" x14ac:dyDescent="0.35">
      <c r="A122" s="147" t="s">
        <v>97</v>
      </c>
      <c r="B122" s="147"/>
      <c r="C122" s="148" t="str">
        <f ca="1">I120</f>
        <v>Excavation work Completed. Plinth work completed, RCC Slab, Brickwork, Internal Plaster, External Plaster upto 20 Floor Completed</v>
      </c>
      <c r="D122" s="148"/>
      <c r="E122" s="148"/>
      <c r="F122" s="148"/>
      <c r="G122" s="148"/>
      <c r="H122" s="148"/>
      <c r="I122" s="55" t="s">
        <v>115</v>
      </c>
      <c r="J122" s="19"/>
    </row>
    <row r="123" spans="1:10" ht="15.75" customHeight="1" x14ac:dyDescent="0.35">
      <c r="A123" s="151" t="s">
        <v>50</v>
      </c>
      <c r="B123" s="151"/>
      <c r="C123" s="97" t="s">
        <v>152</v>
      </c>
      <c r="D123" s="125" t="s">
        <v>90</v>
      </c>
      <c r="E123" s="151" t="s">
        <v>92</v>
      </c>
      <c r="F123" s="151"/>
      <c r="G123" s="151" t="s">
        <v>91</v>
      </c>
      <c r="H123" s="151"/>
      <c r="I123" s="47" t="s">
        <v>155</v>
      </c>
      <c r="J123" s="20">
        <f ca="1">H121*25%</f>
        <v>5.75</v>
      </c>
    </row>
    <row r="124" spans="1:10" x14ac:dyDescent="0.35">
      <c r="A124" s="151" t="s">
        <v>141</v>
      </c>
      <c r="B124" s="151"/>
      <c r="C124" s="99">
        <f ca="1">J125</f>
        <v>23</v>
      </c>
      <c r="D124" s="126">
        <f ca="1">((100/H121)*C124)/100</f>
        <v>1</v>
      </c>
      <c r="E124" s="153">
        <f ca="1">(((C125/H121*10)+(40/(D121+F121+H121)*C126)+(7.5/(H121)*C127)+(7.5/(H121)*C128)+(10/H121*C129)+(10/H121*C130)+(5/H121*C131)+(5/H121*C132)+(5/H121*C133))/100)</f>
        <v>0.73695652173913051</v>
      </c>
      <c r="F124" s="153"/>
      <c r="G124" s="153">
        <f ca="1">((((C124/H121)*20)+((C125/H121)*25)+(30/(H121+F121+D121)*C126)+(5/H121*C127)+(5/H121*C128)+(5/H121*C129)+(5/H121*C130)+(0/H121*C131)+(0/H121*C132)+(5/H121*C133))/100)</f>
        <v>0.89347826086956517</v>
      </c>
      <c r="H124" s="153"/>
      <c r="I124" s="47" t="s">
        <v>110</v>
      </c>
      <c r="J124" s="53">
        <f ca="1">H121*50%</f>
        <v>11.5</v>
      </c>
    </row>
    <row r="125" spans="1:10" x14ac:dyDescent="0.35">
      <c r="A125" s="151" t="s">
        <v>51</v>
      </c>
      <c r="B125" s="151"/>
      <c r="C125" s="100">
        <f ca="1">J133</f>
        <v>23</v>
      </c>
      <c r="D125" s="126">
        <f ca="1">((100/H121)*C125)/100</f>
        <v>1</v>
      </c>
      <c r="E125" s="153"/>
      <c r="F125" s="153"/>
      <c r="G125" s="153"/>
      <c r="H125" s="153"/>
      <c r="I125" s="47" t="s">
        <v>111</v>
      </c>
      <c r="J125" s="53">
        <f ca="1">H121</f>
        <v>23</v>
      </c>
    </row>
    <row r="126" spans="1:10" ht="15.75" customHeight="1" x14ac:dyDescent="0.35">
      <c r="A126" s="151" t="s">
        <v>142</v>
      </c>
      <c r="B126" s="151"/>
      <c r="C126" s="100">
        <v>24</v>
      </c>
      <c r="D126" s="126">
        <f ca="1">((100/(D121+F121+H121))*C126)/100</f>
        <v>1</v>
      </c>
      <c r="E126" s="153"/>
      <c r="F126" s="153"/>
      <c r="G126" s="153"/>
      <c r="H126" s="153"/>
      <c r="I126" s="47" t="s">
        <v>112</v>
      </c>
      <c r="J126" s="62">
        <f ca="1">(IF(B121&gt;1,(H121/(B121+2)),H121/4))</f>
        <v>5.75</v>
      </c>
    </row>
    <row r="127" spans="1:10" ht="15.75" customHeight="1" x14ac:dyDescent="0.35">
      <c r="A127" s="151" t="s">
        <v>149</v>
      </c>
      <c r="B127" s="151" t="s">
        <v>143</v>
      </c>
      <c r="C127" s="100">
        <f>C126-1</f>
        <v>23</v>
      </c>
      <c r="D127" s="126">
        <f ca="1">((100/H121)*C127)/100</f>
        <v>1</v>
      </c>
      <c r="E127" s="153"/>
      <c r="F127" s="153"/>
      <c r="G127" s="153"/>
      <c r="H127" s="153"/>
      <c r="I127" s="47" t="s">
        <v>113</v>
      </c>
      <c r="J127" s="62">
        <f ca="1">(IF(B121&gt;1,(H121/(B121+2)+J126),H121/4+J126))</f>
        <v>11.5</v>
      </c>
    </row>
    <row r="128" spans="1:10" ht="15.75" customHeight="1" x14ac:dyDescent="0.35">
      <c r="A128" s="151" t="s">
        <v>150</v>
      </c>
      <c r="B128" s="151" t="s">
        <v>143</v>
      </c>
      <c r="C128" s="100">
        <v>23</v>
      </c>
      <c r="D128" s="126">
        <f ca="1">((100/H121)*C128)/100</f>
        <v>1</v>
      </c>
      <c r="E128" s="153"/>
      <c r="F128" s="153"/>
      <c r="G128" s="153"/>
      <c r="H128" s="153"/>
      <c r="I128" s="47" t="s">
        <v>161</v>
      </c>
      <c r="J128" s="62">
        <f>(IF(B121&gt;1,(H121/(B121+2)+J127),0))</f>
        <v>0</v>
      </c>
    </row>
    <row r="129" spans="1:10" ht="15" customHeight="1" x14ac:dyDescent="0.35">
      <c r="A129" s="151" t="s">
        <v>148</v>
      </c>
      <c r="B129" s="151" t="s">
        <v>145</v>
      </c>
      <c r="C129" s="100">
        <v>20</v>
      </c>
      <c r="D129" s="126">
        <f ca="1">((100/(H121))*C129)/100</f>
        <v>0.86956521739130432</v>
      </c>
      <c r="E129" s="153"/>
      <c r="F129" s="153"/>
      <c r="G129" s="153"/>
      <c r="H129" s="153"/>
      <c r="I129" s="47" t="s">
        <v>157</v>
      </c>
      <c r="J129" s="62">
        <f>(IF(B121&gt;2,(H121/(B121+2)+J128),0))</f>
        <v>0</v>
      </c>
    </row>
    <row r="130" spans="1:10" ht="15.75" customHeight="1" x14ac:dyDescent="0.35">
      <c r="A130" s="151" t="s">
        <v>144</v>
      </c>
      <c r="B130" s="151" t="s">
        <v>144</v>
      </c>
      <c r="C130" s="99">
        <v>0</v>
      </c>
      <c r="D130" s="126">
        <f ca="1">((100/H121)*C130)/100</f>
        <v>0</v>
      </c>
      <c r="E130" s="153"/>
      <c r="F130" s="153"/>
      <c r="G130" s="153"/>
      <c r="H130" s="153"/>
      <c r="I130" s="47" t="s">
        <v>158</v>
      </c>
      <c r="J130" s="63">
        <f>(IF(B121&gt;3,(H121/(B121+2)+J129),0))</f>
        <v>0</v>
      </c>
    </row>
    <row r="131" spans="1:10" ht="15.75" customHeight="1" x14ac:dyDescent="0.35">
      <c r="A131" s="151" t="s">
        <v>151</v>
      </c>
      <c r="B131" s="151"/>
      <c r="C131" s="99">
        <v>0</v>
      </c>
      <c r="D131" s="126">
        <f ca="1">((100/H121)*C131)/100</f>
        <v>0</v>
      </c>
      <c r="E131" s="153"/>
      <c r="F131" s="153"/>
      <c r="G131" s="153"/>
      <c r="H131" s="153"/>
      <c r="I131" s="47" t="s">
        <v>159</v>
      </c>
      <c r="J131" s="62">
        <f>(IF(B121&gt;4,(H121/(B121+2)+J130),0))</f>
        <v>0</v>
      </c>
    </row>
    <row r="132" spans="1:10" ht="15.75" customHeight="1" x14ac:dyDescent="0.35">
      <c r="A132" s="151" t="s">
        <v>146</v>
      </c>
      <c r="B132" s="151" t="s">
        <v>146</v>
      </c>
      <c r="C132" s="99">
        <v>0</v>
      </c>
      <c r="D132" s="126">
        <f ca="1">((100/(H121))*C132)/100</f>
        <v>0</v>
      </c>
      <c r="E132" s="153"/>
      <c r="F132" s="153"/>
      <c r="G132" s="153"/>
      <c r="H132" s="153"/>
      <c r="I132" s="47" t="s">
        <v>162</v>
      </c>
      <c r="J132" s="62">
        <f ca="1">(IF(B121=1,(H121/(B121+3)+J127),IF(B121=0,(H121/4+J127),IF(B121&gt;1,0))))</f>
        <v>17.25</v>
      </c>
    </row>
    <row r="133" spans="1:10" ht="16" thickBot="1" x14ac:dyDescent="0.4">
      <c r="A133" s="151" t="s">
        <v>147</v>
      </c>
      <c r="B133" s="151"/>
      <c r="C133" s="99">
        <v>0</v>
      </c>
      <c r="D133" s="126">
        <f ca="1">((100/(H121))*C133)/100</f>
        <v>0</v>
      </c>
      <c r="E133" s="153"/>
      <c r="F133" s="153"/>
      <c r="G133" s="153"/>
      <c r="H133" s="153"/>
      <c r="I133" s="58" t="s">
        <v>114</v>
      </c>
      <c r="J133" s="64">
        <f ca="1">(IF(B121&gt;1.5,(H121/(B121+2)+J127+MAX(0,J128-J127)+MAX(0,J129-J128)+MAX(0,J130-J129)+MAX(0,J131-J130)+MAX(0,J132-J131)),IF(B121=1,(H121/(B121+3)+J132),IF(B121=0,H121/4+J132))))</f>
        <v>23</v>
      </c>
    </row>
    <row r="134" spans="1:10" ht="15.75" customHeight="1" x14ac:dyDescent="0.35">
      <c r="A134" s="141" t="s">
        <v>153</v>
      </c>
      <c r="B134" s="142"/>
      <c r="C134" s="143" t="s">
        <v>252</v>
      </c>
      <c r="D134" s="144"/>
      <c r="E134" s="144"/>
      <c r="F134" s="144"/>
      <c r="G134" s="144"/>
      <c r="H134" s="145"/>
      <c r="I134" s="54" t="str">
        <f ca="1">(IF(E138&gt;99%,"All work completed. Please provide OC.",IF(E138&gt;89.8%,"Plinth, RCC, Brick, Plaster, Flooring, Painting work Completed. Finishing work is in process.",IF(E138&lt;94%,(IF(C138=0,"Work not yet Started.",IF(D138=25%,"Piling work in process",IF(D138=50%,"Excavation work in process",IF(D138=100%,"Excavation work Completed. ","0")))&amp;(IF(C139=0%,"",IF(C139=J140,"Footing work is process",IF(C139=J141,"Footing work Completed",IF(C139=J142,"1st Basement Completed",IF(C139=J143,"1st &amp; 2nd Basement Completed",IF(C139=J144,"1st to 3rd Basement Completed",IF(C139=J145,"1st to 4th Basement Completed",IF(C139=J146,"Plinth work is process",IF(C139=J147,"Plinth work completed","0")))))))))))&amp;(IF(C140=(D135+F135+H135),", RCC Slab",IF(C140&gt;0,", RCC upto "&amp;C140&amp;" Slab",""))&amp;(IF(C141=H135,", Brickwork",IF(C141&gt;0,", Brickwork upto "&amp;C141&amp;" Floor",""))&amp;(IF(C142=H135,", Internal Plaster",IF(C142&gt;0,", Internal Plaster upto "&amp;C142&amp;" Floor",""))&amp;(IF(C143=H135,", External Plaster",IF(C143&gt;0,", External Plaster upto "&amp;C143&amp;" Floor",""))&amp;(IF(C144=H135,", Flooring",IF(C144&gt;0,", Flooring upto "&amp;C144&amp;" Floor",""))&amp;(IF(C145=H135,", Painting",IF(C145&gt;0,", Painting upto "&amp;C145&amp;" Floor",""))&amp;(IF(C146&gt;0,", Finishing upto "&amp;C146&amp;" Floor","")&amp;(IF(C140&gt;0.5," Completed",""))))))))))))))</f>
        <v>Excavation work Completed. Plinth work completed, RCC Slab, Brickwork, Internal Plaster, External Plaster upto 18 Floor Completed</v>
      </c>
      <c r="J134" s="18"/>
    </row>
    <row r="135" spans="1:10" x14ac:dyDescent="0.35">
      <c r="A135" s="66" t="s">
        <v>156</v>
      </c>
      <c r="B135" s="130">
        <v>0</v>
      </c>
      <c r="C135" s="130" t="s">
        <v>75</v>
      </c>
      <c r="D135" s="130">
        <v>1</v>
      </c>
      <c r="E135" s="130" t="s">
        <v>74</v>
      </c>
      <c r="F135" s="130">
        <v>0</v>
      </c>
      <c r="G135" s="130" t="s">
        <v>87</v>
      </c>
      <c r="H135" s="69">
        <f ca="1">--TRIM(RIGHT(SUBSTITUTE(LEFT(C134,_xlfn.AGGREGATE(16,6,FIND({0,1,2,3,4,5,6,7,8,9},C134,ROW(INDIRECT("1:"&amp;LEN(C134)))),1))," ",REPT(" ",LEN(C134))),LEN(C134)))</f>
        <v>23</v>
      </c>
      <c r="I135" s="55"/>
      <c r="J135" s="19"/>
    </row>
    <row r="136" spans="1:10" ht="33" customHeight="1" x14ac:dyDescent="0.35">
      <c r="A136" s="146" t="s">
        <v>97</v>
      </c>
      <c r="B136" s="147"/>
      <c r="C136" s="148" t="str">
        <f ca="1">I134</f>
        <v>Excavation work Completed. Plinth work completed, RCC Slab, Brickwork, Internal Plaster, External Plaster upto 18 Floor Completed</v>
      </c>
      <c r="D136" s="148"/>
      <c r="E136" s="148"/>
      <c r="F136" s="148"/>
      <c r="G136" s="148"/>
      <c r="H136" s="149"/>
      <c r="I136" s="55" t="s">
        <v>115</v>
      </c>
      <c r="J136" s="19"/>
    </row>
    <row r="137" spans="1:10" ht="15.75" customHeight="1" x14ac:dyDescent="0.35">
      <c r="A137" s="150" t="s">
        <v>50</v>
      </c>
      <c r="B137" s="151"/>
      <c r="C137" s="97" t="s">
        <v>152</v>
      </c>
      <c r="D137" s="125" t="s">
        <v>90</v>
      </c>
      <c r="E137" s="151" t="s">
        <v>92</v>
      </c>
      <c r="F137" s="151"/>
      <c r="G137" s="151" t="s">
        <v>91</v>
      </c>
      <c r="H137" s="152"/>
      <c r="I137" s="47" t="s">
        <v>155</v>
      </c>
      <c r="J137" s="20">
        <f ca="1">H135*25%</f>
        <v>5.75</v>
      </c>
    </row>
    <row r="138" spans="1:10" x14ac:dyDescent="0.35">
      <c r="A138" s="151" t="s">
        <v>141</v>
      </c>
      <c r="B138" s="151"/>
      <c r="C138" s="99">
        <f ca="1">J139</f>
        <v>23</v>
      </c>
      <c r="D138" s="126">
        <f ca="1">((100/H135)*C138)/100</f>
        <v>1</v>
      </c>
      <c r="E138" s="153">
        <f ca="1">(((C139/H135*10)+(40/(D135+F135+H135)*C140)+(7.5/(H135)*C141)+(7.5/(H135)*C142)+(10/H135*C143)+(10/H135*C144)+(5/H135*C145)+(5/H135*C146)+(5/H135*C147))/100)</f>
        <v>0.72826086956521729</v>
      </c>
      <c r="F138" s="153"/>
      <c r="G138" s="153">
        <f ca="1">((((C138/H135)*20)+((C139/H135)*25)+(30/(H135+F135+D135)*C140)+(5/H135*C141)+(5/H135*C142)+(5/H135*C143)+(5/H135*C144)+(0/H135*C145)+(0/H135*C146)+(5/H135*C147))/100)</f>
        <v>0.88913043478260878</v>
      </c>
      <c r="H138" s="153"/>
      <c r="I138" s="47" t="s">
        <v>110</v>
      </c>
      <c r="J138" s="53">
        <f ca="1">H135*50%</f>
        <v>11.5</v>
      </c>
    </row>
    <row r="139" spans="1:10" x14ac:dyDescent="0.35">
      <c r="A139" s="151" t="s">
        <v>51</v>
      </c>
      <c r="B139" s="151"/>
      <c r="C139" s="100">
        <f ca="1">J147</f>
        <v>23</v>
      </c>
      <c r="D139" s="126">
        <f ca="1">((100/H135)*C139)/100</f>
        <v>1</v>
      </c>
      <c r="E139" s="153"/>
      <c r="F139" s="153"/>
      <c r="G139" s="153"/>
      <c r="H139" s="153"/>
      <c r="I139" s="47" t="s">
        <v>111</v>
      </c>
      <c r="J139" s="53">
        <f ca="1">H135</f>
        <v>23</v>
      </c>
    </row>
    <row r="140" spans="1:10" ht="15.75" customHeight="1" x14ac:dyDescent="0.35">
      <c r="A140" s="151" t="s">
        <v>142</v>
      </c>
      <c r="B140" s="151"/>
      <c r="C140" s="100">
        <v>24</v>
      </c>
      <c r="D140" s="126">
        <f ca="1">((100/(D135+F135+H135))*C140)/100</f>
        <v>1</v>
      </c>
      <c r="E140" s="153"/>
      <c r="F140" s="153"/>
      <c r="G140" s="153"/>
      <c r="H140" s="153"/>
      <c r="I140" s="47" t="s">
        <v>112</v>
      </c>
      <c r="J140" s="62">
        <f ca="1">(IF(B135&gt;1,(H135/(B135+2)),H135/4))</f>
        <v>5.75</v>
      </c>
    </row>
    <row r="141" spans="1:10" ht="15.75" customHeight="1" x14ac:dyDescent="0.35">
      <c r="A141" s="151" t="s">
        <v>149</v>
      </c>
      <c r="B141" s="151" t="s">
        <v>143</v>
      </c>
      <c r="C141" s="100">
        <f>C140-1</f>
        <v>23</v>
      </c>
      <c r="D141" s="126">
        <f ca="1">((100/H135)*C141)/100</f>
        <v>1</v>
      </c>
      <c r="E141" s="153"/>
      <c r="F141" s="153"/>
      <c r="G141" s="153"/>
      <c r="H141" s="153"/>
      <c r="I141" s="47" t="s">
        <v>113</v>
      </c>
      <c r="J141" s="62">
        <f ca="1">(IF(B135&gt;1,(H135/(B135+2)+J140),H135/4+J140))</f>
        <v>11.5</v>
      </c>
    </row>
    <row r="142" spans="1:10" ht="15.75" customHeight="1" x14ac:dyDescent="0.35">
      <c r="A142" s="151" t="s">
        <v>150</v>
      </c>
      <c r="B142" s="151" t="s">
        <v>143</v>
      </c>
      <c r="C142" s="100">
        <v>23</v>
      </c>
      <c r="D142" s="126">
        <f ca="1">((100/H135)*C142)/100</f>
        <v>1</v>
      </c>
      <c r="E142" s="153"/>
      <c r="F142" s="153"/>
      <c r="G142" s="153"/>
      <c r="H142" s="153"/>
      <c r="I142" s="47" t="s">
        <v>161</v>
      </c>
      <c r="J142" s="62">
        <f>(IF(B135&gt;1,(H135/(B135+2)+J141),0))</f>
        <v>0</v>
      </c>
    </row>
    <row r="143" spans="1:10" ht="15" customHeight="1" x14ac:dyDescent="0.35">
      <c r="A143" s="151" t="s">
        <v>148</v>
      </c>
      <c r="B143" s="151" t="s">
        <v>145</v>
      </c>
      <c r="C143" s="100">
        <v>18</v>
      </c>
      <c r="D143" s="126">
        <f ca="1">((100/(H135))*C143)/100</f>
        <v>0.78260869565217395</v>
      </c>
      <c r="E143" s="153"/>
      <c r="F143" s="153"/>
      <c r="G143" s="153"/>
      <c r="H143" s="153"/>
      <c r="I143" s="47" t="s">
        <v>157</v>
      </c>
      <c r="J143" s="62">
        <f>(IF(B135&gt;2,(H135/(B135+2)+J142),0))</f>
        <v>0</v>
      </c>
    </row>
    <row r="144" spans="1:10" ht="15.75" customHeight="1" x14ac:dyDescent="0.35">
      <c r="A144" s="151" t="s">
        <v>144</v>
      </c>
      <c r="B144" s="151" t="s">
        <v>144</v>
      </c>
      <c r="C144" s="99">
        <v>0</v>
      </c>
      <c r="D144" s="126">
        <f ca="1">((100/H135)*C144)/100</f>
        <v>0</v>
      </c>
      <c r="E144" s="153"/>
      <c r="F144" s="153"/>
      <c r="G144" s="153"/>
      <c r="H144" s="153"/>
      <c r="I144" s="47" t="s">
        <v>158</v>
      </c>
      <c r="J144" s="63">
        <f>(IF(B135&gt;3,(H135/(B135+2)+J143),0))</f>
        <v>0</v>
      </c>
    </row>
    <row r="145" spans="1:10" ht="15.75" customHeight="1" x14ac:dyDescent="0.35">
      <c r="A145" s="151" t="s">
        <v>151</v>
      </c>
      <c r="B145" s="151"/>
      <c r="C145" s="99">
        <v>0</v>
      </c>
      <c r="D145" s="126">
        <f ca="1">((100/H135)*C145)/100</f>
        <v>0</v>
      </c>
      <c r="E145" s="153"/>
      <c r="F145" s="153"/>
      <c r="G145" s="153"/>
      <c r="H145" s="153"/>
      <c r="I145" s="47" t="s">
        <v>159</v>
      </c>
      <c r="J145" s="62">
        <f>(IF(B135&gt;4,(H135/(B135+2)+J144),0))</f>
        <v>0</v>
      </c>
    </row>
    <row r="146" spans="1:10" ht="15.75" customHeight="1" x14ac:dyDescent="0.35">
      <c r="A146" s="151" t="s">
        <v>146</v>
      </c>
      <c r="B146" s="151" t="s">
        <v>146</v>
      </c>
      <c r="C146" s="99">
        <v>0</v>
      </c>
      <c r="D146" s="126">
        <f ca="1">((100/(H135))*C146)/100</f>
        <v>0</v>
      </c>
      <c r="E146" s="153"/>
      <c r="F146" s="153"/>
      <c r="G146" s="153"/>
      <c r="H146" s="153"/>
      <c r="I146" s="47" t="s">
        <v>162</v>
      </c>
      <c r="J146" s="62">
        <f ca="1">(IF(B135=1,(H135/(B135+3)+J141),IF(B135=0,(H135/4+J141),IF(B135&gt;1,0))))</f>
        <v>17.25</v>
      </c>
    </row>
    <row r="147" spans="1:10" ht="16" thickBot="1" x14ac:dyDescent="0.4">
      <c r="A147" s="151" t="s">
        <v>147</v>
      </c>
      <c r="B147" s="151"/>
      <c r="C147" s="99">
        <v>0</v>
      </c>
      <c r="D147" s="126">
        <f ca="1">((100/(H135))*C147)/100</f>
        <v>0</v>
      </c>
      <c r="E147" s="153"/>
      <c r="F147" s="153"/>
      <c r="G147" s="153"/>
      <c r="H147" s="153"/>
      <c r="I147" s="58" t="s">
        <v>114</v>
      </c>
      <c r="J147" s="64">
        <f ca="1">(IF(B135&gt;1.5,(H135/(B135+2)+J141+MAX(0,J142-J141)+MAX(0,J143-J142)+MAX(0,J144-J143)+MAX(0,J145-J144)+MAX(0,J146-J145)),IF(B135=1,(H135/(B135+3)+J146),IF(B135=0,H135/4+J146))))</f>
        <v>23</v>
      </c>
    </row>
    <row r="148" spans="1:10" ht="15.75" customHeight="1" x14ac:dyDescent="0.35">
      <c r="A148" s="148" t="s">
        <v>153</v>
      </c>
      <c r="B148" s="148"/>
      <c r="C148" s="148" t="s">
        <v>241</v>
      </c>
      <c r="D148" s="148"/>
      <c r="E148" s="148"/>
      <c r="F148" s="148"/>
      <c r="G148" s="148"/>
      <c r="H148" s="148"/>
      <c r="I148" s="54" t="str">
        <f ca="1">(IF(E152&gt;99%,"All work completed. Please provide OC.",IF(E152&gt;89.8%,"Plinth, RCC, Brick, Plaster, Flooring, Painting work Completed. Finishing work is in process.",IF(E152&lt;94%,(IF(C152=0,"Work not yet Started.",IF(D152=25%,"Piling work in process",IF(D152=50%,"Excavation work in process",IF(D152=100%,"Excavation work Completed. ","0")))&amp;(IF(C153=0%,"",IF(C153=J154,"Footing work is process",IF(C153=J155,"Footing work Completed",IF(C153=J156,"1st Basement Completed",IF(C153=J157,"1st &amp; 2nd Basement Completed",IF(C153=J158,"1st to 3rd Basement Completed",IF(C153=J159,"1st to 4th Basement Completed",IF(C153=J160,"Plinth work is process",IF(C153=J161,"Plinth work completed","0")))))))))))&amp;(IF(C154=(D149+F149+H149),", RCC Slab",IF(C154&gt;0,", RCC upto "&amp;C154&amp;" Slab",""))&amp;(IF(C155=H149,", Brickwork",IF(C155&gt;0,", Brickwork upto "&amp;C155&amp;" Floor",""))&amp;(IF(C156=H149,", Internal Plaster",IF(C156&gt;0,", Internal Plaster upto "&amp;C156&amp;" Floor",""))&amp;(IF(C157=H149,", External Plaster",IF(C157&gt;0,", External Plaster upto "&amp;C157&amp;" Floor",""))&amp;(IF(C158=H149,", Flooring",IF(C158&gt;0,", Flooring upto "&amp;C158&amp;" Floor",""))&amp;(IF(C159=H149,", Painting",IF(C159&gt;0,", Painting upto "&amp;C159&amp;" Floor",""))&amp;(IF(C160&gt;0,", Finishing upto "&amp;C160&amp;" Floor","")&amp;(IF(C154&gt;0.5," Completed",""))))))))))))))</f>
        <v>Excavation work Completed. Plinth work completed, RCC Slab, Brickwork, Internal Plaster, External Plaster upto 20 Floor Completed</v>
      </c>
      <c r="J148" s="18"/>
    </row>
    <row r="149" spans="1:10" x14ac:dyDescent="0.35">
      <c r="A149" s="119" t="s">
        <v>156</v>
      </c>
      <c r="B149" s="119">
        <v>0</v>
      </c>
      <c r="C149" s="119" t="s">
        <v>75</v>
      </c>
      <c r="D149" s="119">
        <v>1</v>
      </c>
      <c r="E149" s="119" t="s">
        <v>74</v>
      </c>
      <c r="F149" s="119">
        <v>0</v>
      </c>
      <c r="G149" s="119" t="s">
        <v>87</v>
      </c>
      <c r="H149" s="119">
        <f ca="1">--TRIM(RIGHT(SUBSTITUTE(LEFT(C148,_xlfn.AGGREGATE(16,6,FIND({0,1,2,3,4,5,6,7,8,9},C148,ROW(INDIRECT("1:"&amp;LEN(C148)))),1))," ",REPT(" ",LEN(C148))),LEN(C148)))</f>
        <v>23</v>
      </c>
      <c r="I149" s="55"/>
      <c r="J149" s="19"/>
    </row>
    <row r="150" spans="1:10" ht="32.25" customHeight="1" x14ac:dyDescent="0.35">
      <c r="A150" s="147" t="s">
        <v>97</v>
      </c>
      <c r="B150" s="147"/>
      <c r="C150" s="148" t="str">
        <f ca="1">I148</f>
        <v>Excavation work Completed. Plinth work completed, RCC Slab, Brickwork, Internal Plaster, External Plaster upto 20 Floor Completed</v>
      </c>
      <c r="D150" s="148"/>
      <c r="E150" s="148"/>
      <c r="F150" s="148"/>
      <c r="G150" s="148"/>
      <c r="H150" s="148"/>
      <c r="I150" s="55" t="s">
        <v>115</v>
      </c>
      <c r="J150" s="19"/>
    </row>
    <row r="151" spans="1:10" ht="15.75" customHeight="1" x14ac:dyDescent="0.35">
      <c r="A151" s="151" t="s">
        <v>50</v>
      </c>
      <c r="B151" s="151"/>
      <c r="C151" s="97" t="s">
        <v>152</v>
      </c>
      <c r="D151" s="117" t="s">
        <v>90</v>
      </c>
      <c r="E151" s="151" t="s">
        <v>92</v>
      </c>
      <c r="F151" s="151"/>
      <c r="G151" s="151" t="s">
        <v>91</v>
      </c>
      <c r="H151" s="151"/>
      <c r="I151" s="47" t="s">
        <v>155</v>
      </c>
      <c r="J151" s="20">
        <f ca="1">H149*25%</f>
        <v>5.75</v>
      </c>
    </row>
    <row r="152" spans="1:10" x14ac:dyDescent="0.35">
      <c r="A152" s="151" t="s">
        <v>141</v>
      </c>
      <c r="B152" s="151"/>
      <c r="C152" s="99">
        <f ca="1">J153</f>
        <v>23</v>
      </c>
      <c r="D152" s="126">
        <f ca="1">((100/H149)*C152)/100</f>
        <v>1</v>
      </c>
      <c r="E152" s="153">
        <f ca="1">(((C153/H149*10)+(40/(D149+F149+H149)*C154)+(7.5/(H149)*C155)+(7.5/(H149)*C156)+(10/H149*C157)+(10/H149*C158)+(5/H149*C159)+(5/H149*C160)+(5/H149*C161))/100)</f>
        <v>0.73695652173913051</v>
      </c>
      <c r="F152" s="153"/>
      <c r="G152" s="153">
        <f ca="1">((((C152/H149)*20)+((C153/H149)*25)+(30/(H149+F149+D149)*C154)+(5/H149*C155)+(5/H149*C156)+(5/H149*C157)+(5/H149*C158)+(0/H149*C159)+(0/H149*C160)+(5/H149*C161))/100)</f>
        <v>0.89347826086956517</v>
      </c>
      <c r="H152" s="153"/>
      <c r="I152" s="47" t="s">
        <v>110</v>
      </c>
      <c r="J152" s="53">
        <f ca="1">H149*50%</f>
        <v>11.5</v>
      </c>
    </row>
    <row r="153" spans="1:10" x14ac:dyDescent="0.35">
      <c r="A153" s="151" t="s">
        <v>51</v>
      </c>
      <c r="B153" s="151"/>
      <c r="C153" s="100">
        <f ca="1">J161</f>
        <v>23</v>
      </c>
      <c r="D153" s="126">
        <f ca="1">((100/H149)*C153)/100</f>
        <v>1</v>
      </c>
      <c r="E153" s="153"/>
      <c r="F153" s="153"/>
      <c r="G153" s="153"/>
      <c r="H153" s="153"/>
      <c r="I153" s="47" t="s">
        <v>111</v>
      </c>
      <c r="J153" s="53">
        <f ca="1">H149</f>
        <v>23</v>
      </c>
    </row>
    <row r="154" spans="1:10" ht="15.75" customHeight="1" x14ac:dyDescent="0.35">
      <c r="A154" s="151" t="s">
        <v>142</v>
      </c>
      <c r="B154" s="151"/>
      <c r="C154" s="100">
        <v>24</v>
      </c>
      <c r="D154" s="126">
        <f ca="1">((100/(D149+F149+H149))*C154)/100</f>
        <v>1</v>
      </c>
      <c r="E154" s="153"/>
      <c r="F154" s="153"/>
      <c r="G154" s="153"/>
      <c r="H154" s="153"/>
      <c r="I154" s="47" t="s">
        <v>112</v>
      </c>
      <c r="J154" s="62">
        <f ca="1">(IF(B149&gt;1,(H149/(B149+2)),H149/4))</f>
        <v>5.75</v>
      </c>
    </row>
    <row r="155" spans="1:10" ht="15.75" customHeight="1" x14ac:dyDescent="0.35">
      <c r="A155" s="151" t="s">
        <v>149</v>
      </c>
      <c r="B155" s="151" t="s">
        <v>143</v>
      </c>
      <c r="C155" s="100">
        <f>C154-1</f>
        <v>23</v>
      </c>
      <c r="D155" s="126">
        <f ca="1">((100/H149)*C155)/100</f>
        <v>1</v>
      </c>
      <c r="E155" s="153"/>
      <c r="F155" s="153"/>
      <c r="G155" s="153"/>
      <c r="H155" s="153"/>
      <c r="I155" s="47" t="s">
        <v>113</v>
      </c>
      <c r="J155" s="62">
        <f ca="1">(IF(B149&gt;1,(H149/(B149+2)+J154),H149/4+J154))</f>
        <v>11.5</v>
      </c>
    </row>
    <row r="156" spans="1:10" ht="15.75" customHeight="1" x14ac:dyDescent="0.35">
      <c r="A156" s="151" t="s">
        <v>150</v>
      </c>
      <c r="B156" s="151" t="s">
        <v>143</v>
      </c>
      <c r="C156" s="100">
        <v>23</v>
      </c>
      <c r="D156" s="126">
        <f ca="1">((100/H149)*C156)/100</f>
        <v>1</v>
      </c>
      <c r="E156" s="153"/>
      <c r="F156" s="153"/>
      <c r="G156" s="153"/>
      <c r="H156" s="153"/>
      <c r="I156" s="47" t="s">
        <v>161</v>
      </c>
      <c r="J156" s="62">
        <f>(IF(B149&gt;1,(H149/(B149+2)+J155),0))</f>
        <v>0</v>
      </c>
    </row>
    <row r="157" spans="1:10" ht="15" customHeight="1" x14ac:dyDescent="0.35">
      <c r="A157" s="151" t="s">
        <v>148</v>
      </c>
      <c r="B157" s="151" t="s">
        <v>145</v>
      </c>
      <c r="C157" s="100">
        <v>20</v>
      </c>
      <c r="D157" s="126">
        <f ca="1">((100/(H149))*C157)/100</f>
        <v>0.86956521739130432</v>
      </c>
      <c r="E157" s="153"/>
      <c r="F157" s="153"/>
      <c r="G157" s="153"/>
      <c r="H157" s="153"/>
      <c r="I157" s="47" t="s">
        <v>157</v>
      </c>
      <c r="J157" s="62">
        <f>(IF(B149&gt;2,(H149/(B149+2)+J156),0))</f>
        <v>0</v>
      </c>
    </row>
    <row r="158" spans="1:10" ht="15.75" customHeight="1" x14ac:dyDescent="0.35">
      <c r="A158" s="151" t="s">
        <v>144</v>
      </c>
      <c r="B158" s="151" t="s">
        <v>144</v>
      </c>
      <c r="C158" s="99">
        <v>0</v>
      </c>
      <c r="D158" s="126">
        <f ca="1">((100/H149)*C158)/100</f>
        <v>0</v>
      </c>
      <c r="E158" s="153"/>
      <c r="F158" s="153"/>
      <c r="G158" s="153"/>
      <c r="H158" s="153"/>
      <c r="I158" s="47" t="s">
        <v>158</v>
      </c>
      <c r="J158" s="63">
        <f>(IF(B149&gt;3,(H149/(B149+2)+J157),0))</f>
        <v>0</v>
      </c>
    </row>
    <row r="159" spans="1:10" ht="15.75" customHeight="1" x14ac:dyDescent="0.35">
      <c r="A159" s="151" t="s">
        <v>151</v>
      </c>
      <c r="B159" s="151"/>
      <c r="C159" s="99">
        <v>0</v>
      </c>
      <c r="D159" s="126">
        <f ca="1">((100/H149)*C159)/100</f>
        <v>0</v>
      </c>
      <c r="E159" s="153"/>
      <c r="F159" s="153"/>
      <c r="G159" s="153"/>
      <c r="H159" s="153"/>
      <c r="I159" s="47" t="s">
        <v>159</v>
      </c>
      <c r="J159" s="62">
        <f>(IF(B149&gt;4,(H149/(B149+2)+J158),0))</f>
        <v>0</v>
      </c>
    </row>
    <row r="160" spans="1:10" ht="15.75" customHeight="1" x14ac:dyDescent="0.35">
      <c r="A160" s="151" t="s">
        <v>146</v>
      </c>
      <c r="B160" s="151" t="s">
        <v>146</v>
      </c>
      <c r="C160" s="99">
        <v>0</v>
      </c>
      <c r="D160" s="126">
        <f ca="1">((100/(H149))*C160)/100</f>
        <v>0</v>
      </c>
      <c r="E160" s="153"/>
      <c r="F160" s="153"/>
      <c r="G160" s="153"/>
      <c r="H160" s="153"/>
      <c r="I160" s="47" t="s">
        <v>162</v>
      </c>
      <c r="J160" s="62">
        <f ca="1">(IF(B149=1,(H149/(B149+3)+J155),IF(B149=0,(H149/4+J155),IF(B149&gt;1,0))))</f>
        <v>17.25</v>
      </c>
    </row>
    <row r="161" spans="1:10" ht="16" thickBot="1" x14ac:dyDescent="0.4">
      <c r="A161" s="151" t="s">
        <v>147</v>
      </c>
      <c r="B161" s="151"/>
      <c r="C161" s="99">
        <v>0</v>
      </c>
      <c r="D161" s="126">
        <f ca="1">((100/(H149))*C161)/100</f>
        <v>0</v>
      </c>
      <c r="E161" s="153"/>
      <c r="F161" s="153"/>
      <c r="G161" s="153"/>
      <c r="H161" s="153"/>
      <c r="I161" s="58" t="s">
        <v>114</v>
      </c>
      <c r="J161" s="64">
        <f ca="1">(IF(B149&gt;1.5,(H149/(B149+2)+J155+MAX(0,J156-J155)+MAX(0,J157-J156)+MAX(0,J158-J157)+MAX(0,J159-J158)+MAX(0,J160-J159)),IF(B149=1,(H149/(B149+3)+J160),IF(B149=0,H149/4+J160))))</f>
        <v>23</v>
      </c>
    </row>
    <row r="162" spans="1:10" ht="15.75" customHeight="1" x14ac:dyDescent="0.35">
      <c r="A162" s="148" t="s">
        <v>153</v>
      </c>
      <c r="B162" s="148"/>
      <c r="C162" s="148" t="s">
        <v>242</v>
      </c>
      <c r="D162" s="148"/>
      <c r="E162" s="148"/>
      <c r="F162" s="148"/>
      <c r="G162" s="148"/>
      <c r="H162" s="148"/>
      <c r="I162" s="54" t="str">
        <f ca="1">(IF(E166&gt;99%,"All work completed. Please provide OC.",IF(E166&gt;89.8%,"Plinth, RCC, Brick, Plaster, Flooring, Painting work Completed. Finishing work is in process.",IF(E166&lt;94%,(IF(C166=0,"Work not yet Started.",IF(D166=25%,"Piling work in process",IF(D166=50%,"Excavation work in process",IF(D166=100%,"Excavation work Completed. ","0")))&amp;(IF(C167=0%,"",IF(C167=J168,"Footing work is process",IF(C167=J169,"Footing work Completed",IF(C167=J170,"1st Basement Completed",IF(C167=J171,"1st &amp; 2nd Basement Completed",IF(C167=J172,"1st to 3rd Basement Completed",IF(C167=J173,"1st to 4th Basement Completed",IF(C167=J174,"Plinth work is process",IF(C167=J175,"Plinth work completed","0")))))))))))&amp;(IF(C168=(D163+F163+H163),", RCC Slab",IF(C168&gt;0,", RCC upto "&amp;C168&amp;" Slab",""))&amp;(IF(C169=H163,", Brickwork",IF(C169&gt;0,", Brickwork upto "&amp;C169&amp;" Floor",""))&amp;(IF(C170=H163,", Internal Plaster",IF(C170&gt;0,", Internal Plaster upto "&amp;C170&amp;" Floor",""))&amp;(IF(C171=H163,", External Plaster",IF(C171&gt;0,", External Plaster upto "&amp;C171&amp;" Floor",""))&amp;(IF(C172=H163,", Flooring",IF(C172&gt;0,", Flooring upto "&amp;C172&amp;" Floor",""))&amp;(IF(C173=H163,", Painting",IF(C173&gt;0,", Painting upto "&amp;C173&amp;" Floor",""))&amp;(IF(C174&gt;0,", Finishing upto "&amp;C174&amp;" Floor","")&amp;(IF(C168&gt;0.5," Completed",""))))))))))))))</f>
        <v>Excavation work Completed. Plinth work completed, RCC upto 20 Slab, Brickwork upto 19 Floor, Internal Plaster upto 14.25 Floor, External Plaster upto 13.3 Floor Completed</v>
      </c>
      <c r="J162" s="18"/>
    </row>
    <row r="163" spans="1:10" x14ac:dyDescent="0.35">
      <c r="A163" s="130" t="s">
        <v>156</v>
      </c>
      <c r="B163" s="130">
        <v>0</v>
      </c>
      <c r="C163" s="130" t="s">
        <v>75</v>
      </c>
      <c r="D163" s="130">
        <v>1</v>
      </c>
      <c r="E163" s="130" t="s">
        <v>74</v>
      </c>
      <c r="F163" s="130">
        <v>0</v>
      </c>
      <c r="G163" s="130" t="s">
        <v>87</v>
      </c>
      <c r="H163" s="130">
        <f ca="1">--TRIM(RIGHT(SUBSTITUTE(LEFT(C162,_xlfn.AGGREGATE(16,6,FIND({0,1,2,3,4,5,6,7,8,9},C162,ROW(INDIRECT("1:"&amp;LEN(C162)))),1))," ",REPT(" ",LEN(C162))),LEN(C162)))</f>
        <v>23</v>
      </c>
      <c r="I163" s="55"/>
      <c r="J163" s="19"/>
    </row>
    <row r="164" spans="1:10" ht="31" customHeight="1" x14ac:dyDescent="0.35">
      <c r="A164" s="147" t="s">
        <v>97</v>
      </c>
      <c r="B164" s="147"/>
      <c r="C164" s="148" t="str">
        <f ca="1">I162</f>
        <v>Excavation work Completed. Plinth work completed, RCC upto 20 Slab, Brickwork upto 19 Floor, Internal Plaster upto 14.25 Floor, External Plaster upto 13.3 Floor Completed</v>
      </c>
      <c r="D164" s="148"/>
      <c r="E164" s="148"/>
      <c r="F164" s="148"/>
      <c r="G164" s="148"/>
      <c r="H164" s="148"/>
      <c r="I164" s="55" t="s">
        <v>115</v>
      </c>
      <c r="J164" s="19"/>
    </row>
    <row r="165" spans="1:10" ht="15.75" customHeight="1" x14ac:dyDescent="0.35">
      <c r="A165" s="151" t="s">
        <v>50</v>
      </c>
      <c r="B165" s="151"/>
      <c r="C165" s="97" t="s">
        <v>152</v>
      </c>
      <c r="D165" s="125" t="s">
        <v>90</v>
      </c>
      <c r="E165" s="151" t="s">
        <v>92</v>
      </c>
      <c r="F165" s="151"/>
      <c r="G165" s="151" t="s">
        <v>91</v>
      </c>
      <c r="H165" s="151"/>
      <c r="I165" s="47" t="s">
        <v>155</v>
      </c>
      <c r="J165" s="20">
        <f ca="1">H163*25%</f>
        <v>5.75</v>
      </c>
    </row>
    <row r="166" spans="1:10" x14ac:dyDescent="0.35">
      <c r="A166" s="151" t="s">
        <v>141</v>
      </c>
      <c r="B166" s="151"/>
      <c r="C166" s="99">
        <f ca="1">J167</f>
        <v>23</v>
      </c>
      <c r="D166" s="126">
        <f ca="1">((100/H163)*C166)/100</f>
        <v>1</v>
      </c>
      <c r="E166" s="153">
        <f ca="1">(((C167/H163*10)+(40/(D163+F163+H163)*C168)+(7.5/(H163)*C169)+(7.5/(H163)*C170)+(10/H163*C171)+(10/H163*C172)+(5/H163*C173)+(5/H163*C174)+(5/H163*C175))/100)</f>
        <v>0.59958333333333336</v>
      </c>
      <c r="F166" s="153"/>
      <c r="G166" s="153">
        <f ca="1">((((C166/H163)*20)+((C167/H163)*25)+(30/(H163+F163+D163)*C168)+(5/H163*C169)+(5/H163*C170)+(5/H163*C171)+(5/H163*C172)+(0/H163*C173)+(0/H163*C174)+(5/H163*C175))/100)</f>
        <v>0.80119565217391298</v>
      </c>
      <c r="H166" s="153"/>
      <c r="I166" s="47" t="s">
        <v>110</v>
      </c>
      <c r="J166" s="53">
        <f ca="1">H163*50%</f>
        <v>11.5</v>
      </c>
    </row>
    <row r="167" spans="1:10" x14ac:dyDescent="0.35">
      <c r="A167" s="151" t="s">
        <v>51</v>
      </c>
      <c r="B167" s="151"/>
      <c r="C167" s="100">
        <f ca="1">J175</f>
        <v>23</v>
      </c>
      <c r="D167" s="126">
        <f ca="1">((100/H163)*C167)/100</f>
        <v>1</v>
      </c>
      <c r="E167" s="153"/>
      <c r="F167" s="153"/>
      <c r="G167" s="153"/>
      <c r="H167" s="153"/>
      <c r="I167" s="47" t="s">
        <v>111</v>
      </c>
      <c r="J167" s="53">
        <f ca="1">H163</f>
        <v>23</v>
      </c>
    </row>
    <row r="168" spans="1:10" ht="15.75" customHeight="1" x14ac:dyDescent="0.35">
      <c r="A168" s="151" t="s">
        <v>142</v>
      </c>
      <c r="B168" s="151"/>
      <c r="C168" s="100">
        <v>20</v>
      </c>
      <c r="D168" s="126">
        <f ca="1">((100/(D163+F163+H163))*C168)/100</f>
        <v>0.83333333333333348</v>
      </c>
      <c r="E168" s="153"/>
      <c r="F168" s="153"/>
      <c r="G168" s="153"/>
      <c r="H168" s="153"/>
      <c r="I168" s="47" t="s">
        <v>112</v>
      </c>
      <c r="J168" s="62">
        <f ca="1">(IF(B163&gt;1,(H163/(B163+2)),H163/4))</f>
        <v>5.75</v>
      </c>
    </row>
    <row r="169" spans="1:10" ht="15.75" customHeight="1" x14ac:dyDescent="0.35">
      <c r="A169" s="151" t="s">
        <v>149</v>
      </c>
      <c r="B169" s="151" t="s">
        <v>143</v>
      </c>
      <c r="C169" s="100">
        <f>C168-1</f>
        <v>19</v>
      </c>
      <c r="D169" s="126">
        <f ca="1">((100/H163)*C169)/100</f>
        <v>0.82608695652173902</v>
      </c>
      <c r="E169" s="153"/>
      <c r="F169" s="153"/>
      <c r="G169" s="153"/>
      <c r="H169" s="153"/>
      <c r="I169" s="47" t="s">
        <v>113</v>
      </c>
      <c r="J169" s="62">
        <f ca="1">(IF(B163&gt;1,(H163/(B163+2)+J168),H163/4+J168))</f>
        <v>11.5</v>
      </c>
    </row>
    <row r="170" spans="1:10" ht="15.75" customHeight="1" x14ac:dyDescent="0.35">
      <c r="A170" s="151" t="s">
        <v>150</v>
      </c>
      <c r="B170" s="151" t="s">
        <v>143</v>
      </c>
      <c r="C170" s="100">
        <f>C169*0.75</f>
        <v>14.25</v>
      </c>
      <c r="D170" s="126">
        <f ca="1">((100/H163)*C170)/100</f>
        <v>0.61956521739130432</v>
      </c>
      <c r="E170" s="153"/>
      <c r="F170" s="153"/>
      <c r="G170" s="153"/>
      <c r="H170" s="153"/>
      <c r="I170" s="47" t="s">
        <v>161</v>
      </c>
      <c r="J170" s="62">
        <f>(IF(B163&gt;1,(H163/(B163+2)+J169),0))</f>
        <v>0</v>
      </c>
    </row>
    <row r="171" spans="1:10" ht="15" customHeight="1" x14ac:dyDescent="0.35">
      <c r="A171" s="151" t="s">
        <v>148</v>
      </c>
      <c r="B171" s="151" t="s">
        <v>145</v>
      </c>
      <c r="C171" s="100">
        <f>C169*0.7</f>
        <v>13.299999999999999</v>
      </c>
      <c r="D171" s="126">
        <f ca="1">((100/(H163))*C171)/100</f>
        <v>0.57826086956521738</v>
      </c>
      <c r="E171" s="153"/>
      <c r="F171" s="153"/>
      <c r="G171" s="153"/>
      <c r="H171" s="153"/>
      <c r="I171" s="47" t="s">
        <v>157</v>
      </c>
      <c r="J171" s="62">
        <f>(IF(B163&gt;2,(H163/(B163+2)+J170),0))</f>
        <v>0</v>
      </c>
    </row>
    <row r="172" spans="1:10" ht="15.75" customHeight="1" x14ac:dyDescent="0.35">
      <c r="A172" s="151" t="s">
        <v>144</v>
      </c>
      <c r="B172" s="151" t="s">
        <v>144</v>
      </c>
      <c r="C172" s="99">
        <v>0</v>
      </c>
      <c r="D172" s="126">
        <f ca="1">((100/H163)*C172)/100</f>
        <v>0</v>
      </c>
      <c r="E172" s="153"/>
      <c r="F172" s="153"/>
      <c r="G172" s="153"/>
      <c r="H172" s="153"/>
      <c r="I172" s="47" t="s">
        <v>158</v>
      </c>
      <c r="J172" s="63">
        <f>(IF(B163&gt;3,(H163/(B163+2)+J171),0))</f>
        <v>0</v>
      </c>
    </row>
    <row r="173" spans="1:10" ht="15.75" customHeight="1" x14ac:dyDescent="0.35">
      <c r="A173" s="151" t="s">
        <v>151</v>
      </c>
      <c r="B173" s="151"/>
      <c r="C173" s="99">
        <v>0</v>
      </c>
      <c r="D173" s="126">
        <f ca="1">((100/H163)*C173)/100</f>
        <v>0</v>
      </c>
      <c r="E173" s="153"/>
      <c r="F173" s="153"/>
      <c r="G173" s="153"/>
      <c r="H173" s="153"/>
      <c r="I173" s="47" t="s">
        <v>159</v>
      </c>
      <c r="J173" s="62">
        <f>(IF(B163&gt;4,(H163/(B163+2)+J172),0))</f>
        <v>0</v>
      </c>
    </row>
    <row r="174" spans="1:10" ht="15.75" customHeight="1" x14ac:dyDescent="0.35">
      <c r="A174" s="151" t="s">
        <v>146</v>
      </c>
      <c r="B174" s="151" t="s">
        <v>146</v>
      </c>
      <c r="C174" s="99">
        <v>0</v>
      </c>
      <c r="D174" s="126">
        <f ca="1">((100/(H163))*C174)/100</f>
        <v>0</v>
      </c>
      <c r="E174" s="153"/>
      <c r="F174" s="153"/>
      <c r="G174" s="153"/>
      <c r="H174" s="153"/>
      <c r="I174" s="47" t="s">
        <v>162</v>
      </c>
      <c r="J174" s="62">
        <f ca="1">(IF(B163=1,(H163/(B163+3)+J169),IF(B163=0,(H163/4+J169),IF(B163&gt;1,0))))</f>
        <v>17.25</v>
      </c>
    </row>
    <row r="175" spans="1:10" ht="16" thickBot="1" x14ac:dyDescent="0.4">
      <c r="A175" s="151" t="s">
        <v>147</v>
      </c>
      <c r="B175" s="151"/>
      <c r="C175" s="99">
        <v>0</v>
      </c>
      <c r="D175" s="126">
        <f ca="1">((100/(H163))*C175)/100</f>
        <v>0</v>
      </c>
      <c r="E175" s="153"/>
      <c r="F175" s="153"/>
      <c r="G175" s="153"/>
      <c r="H175" s="153"/>
      <c r="I175" s="58" t="s">
        <v>114</v>
      </c>
      <c r="J175" s="64">
        <f ca="1">(IF(B163&gt;1.5,(H163/(B163+2)+J169+MAX(0,J170-J169)+MAX(0,J171-J170)+MAX(0,J172-J171)+MAX(0,J173-J172)+MAX(0,J174-J173)),IF(B163=1,(H163/(B163+3)+J174),IF(B163=0,H163/4+J174))))</f>
        <v>23</v>
      </c>
    </row>
    <row r="176" spans="1:10" ht="31.5" customHeight="1" thickBot="1" x14ac:dyDescent="0.4">
      <c r="A176" s="260" t="s">
        <v>243</v>
      </c>
      <c r="B176" s="260"/>
      <c r="C176" s="261">
        <f ca="1">AVERAGE(E152,E166)</f>
        <v>0.66826992753623193</v>
      </c>
      <c r="D176" s="260"/>
      <c r="E176" s="262" t="s">
        <v>244</v>
      </c>
      <c r="F176" s="262"/>
      <c r="G176" s="262">
        <f ca="1">AVERAGE(G152,G166)</f>
        <v>0.84733695652173902</v>
      </c>
      <c r="H176" s="262"/>
      <c r="I176" s="58" t="s">
        <v>114</v>
      </c>
      <c r="J176" s="64">
        <f ca="1">(IF(B164&gt;1.5,(H164/(B164+2)+J170+MAX(0,J171-J170)+MAX(0,J172-J171)+MAX(0,J173-J172)+MAX(0,J174-J173)+MAX(0,J175-J174)),IF(B164=1,(H164/(B164+3)+J175),IF(B164=0,H164/4+J175))))</f>
        <v>23</v>
      </c>
    </row>
    <row r="177" spans="1:10" ht="15.75" customHeight="1" x14ac:dyDescent="0.35">
      <c r="A177" s="141" t="s">
        <v>153</v>
      </c>
      <c r="B177" s="142"/>
      <c r="C177" s="143" t="s">
        <v>195</v>
      </c>
      <c r="D177" s="144"/>
      <c r="E177" s="144"/>
      <c r="F177" s="144"/>
      <c r="G177" s="144"/>
      <c r="H177" s="145"/>
      <c r="I177" s="54" t="str">
        <f ca="1">(IF(E181&gt;99%,"All work completed. Please provide OC.",IF(E181&gt;89.8%,"Plinth, RCC, Brick, Plaster, Flooring, Painting work Completed. Finishing work is in process.",IF(E181&lt;94%,(IF(C181=0,"Work not yet Started.",IF(D181=25%,"Piling work in process",IF(D181=50%,"Excavation work in process",IF(D181=100%,"Excavation work Completed. ","0")))&amp;(IF(C182=0%,"",IF(C182=J183,"Footing work is process",IF(C182=J184,"Footing work Completed",IF(C182=J185,"1st Basement Completed",IF(C182=J186,"1st &amp; 2nd Basement Completed",IF(C182=J187,"1st to 3rd Basement Completed",IF(C182=J188,"1st to 4th Basement Completed",IF(C182=J189,"Plinth work is process",IF(C182=J190,"Plinth work completed","0")))))))))))&amp;(IF(C183=(D178+F178+H178),", RCC Slab",IF(C183&gt;0,", RCC upto "&amp;C183&amp;" Slab",""))&amp;(IF(C184=H178,", Brickwork",IF(C184&gt;0,", Brickwork upto "&amp;C184&amp;" Floor",""))&amp;(IF(C185=H178,", Internal Plaster",IF(C185&gt;0,", Internal Plaster upto "&amp;C185&amp;" Floor",""))&amp;(IF(C186=H178,", External Plaster",IF(C186&gt;0,", External Plaster upto "&amp;C186&amp;" Floor",""))&amp;(IF(C187=H178,", Flooring",IF(C187&gt;0,", Flooring upto "&amp;C187&amp;" Floor",""))&amp;(IF(C188=H178,", Painting",IF(C188&gt;0,", Painting upto "&amp;C188&amp;" Floor",""))&amp;(IF(C189&gt;0,", Finishing upto "&amp;C189&amp;" Floor","")&amp;(IF(C183&gt;0.5," Completed",""))))))))))))))</f>
        <v>Excavation work Completed. Plinth work completed, RCC Slab, Brickwork, Internal Plaster, External Plaster, Flooring upto 18 Floor, Painting upto 15 Floor Completed</v>
      </c>
      <c r="J177" s="18"/>
    </row>
    <row r="178" spans="1:10" x14ac:dyDescent="0.35">
      <c r="A178" s="66" t="s">
        <v>156</v>
      </c>
      <c r="B178" s="95">
        <v>0</v>
      </c>
      <c r="C178" s="95" t="s">
        <v>75</v>
      </c>
      <c r="D178" s="95">
        <v>1</v>
      </c>
      <c r="E178" s="95" t="s">
        <v>74</v>
      </c>
      <c r="F178" s="95">
        <v>0</v>
      </c>
      <c r="G178" s="95" t="s">
        <v>87</v>
      </c>
      <c r="H178" s="69">
        <f ca="1">--TRIM(RIGHT(SUBSTITUTE(LEFT(C177,_xlfn.AGGREGATE(16,6,FIND({0,1,2,3,4,5,6,7,8,9},C177,ROW(INDIRECT("1:"&amp;LEN(C177)))),1))," ",REPT(" ",LEN(C177))),LEN(C177)))</f>
        <v>23</v>
      </c>
      <c r="I178" s="55"/>
      <c r="J178" s="19"/>
    </row>
    <row r="179" spans="1:10" ht="35.5" customHeight="1" x14ac:dyDescent="0.35">
      <c r="A179" s="146" t="s">
        <v>97</v>
      </c>
      <c r="B179" s="147"/>
      <c r="C179" s="148" t="str">
        <f ca="1">I177</f>
        <v>Excavation work Completed. Plinth work completed, RCC Slab, Brickwork, Internal Plaster, External Plaster, Flooring upto 18 Floor, Painting upto 15 Floor Completed</v>
      </c>
      <c r="D179" s="148"/>
      <c r="E179" s="148"/>
      <c r="F179" s="148"/>
      <c r="G179" s="148"/>
      <c r="H179" s="149"/>
      <c r="I179" s="55" t="s">
        <v>115</v>
      </c>
      <c r="J179" s="19"/>
    </row>
    <row r="180" spans="1:10" ht="15.75" customHeight="1" x14ac:dyDescent="0.35">
      <c r="A180" s="150" t="s">
        <v>50</v>
      </c>
      <c r="B180" s="151"/>
      <c r="C180" s="97" t="s">
        <v>152</v>
      </c>
      <c r="D180" s="98" t="s">
        <v>90</v>
      </c>
      <c r="E180" s="151" t="s">
        <v>92</v>
      </c>
      <c r="F180" s="151"/>
      <c r="G180" s="151" t="s">
        <v>91</v>
      </c>
      <c r="H180" s="152"/>
      <c r="I180" s="47" t="s">
        <v>155</v>
      </c>
      <c r="J180" s="20">
        <f ca="1">H178*25%</f>
        <v>5.75</v>
      </c>
    </row>
    <row r="181" spans="1:10" x14ac:dyDescent="0.35">
      <c r="A181" s="151" t="s">
        <v>141</v>
      </c>
      <c r="B181" s="151"/>
      <c r="C181" s="99">
        <f ca="1">J182</f>
        <v>23</v>
      </c>
      <c r="D181" s="122">
        <f ca="1">((100/H178)*C181)/100</f>
        <v>1</v>
      </c>
      <c r="E181" s="153">
        <f ca="1">(((C182/H178*10)+(40/(D178+F178+H178)*C183)+(7.5/(H178)*C184)+(7.5/(H178)*C185)+(10/H178*C186)+(10/H178*C187)+(5/H178*C188)+(5/H178*C189)+(5/H178*C190))/100)</f>
        <v>0.86086956521739122</v>
      </c>
      <c r="F181" s="153"/>
      <c r="G181" s="153">
        <f ca="1">((((C181/H178)*20)+((C182/H178)*25)+(30/(H178+F178+D178)*C183)+(5/H178*C184)+(5/H178*C185)+(5/H178*C186)+(5/H178*C187)+(0/H178*C188)+(0/H178*C189)+(5/H178*C190))/100)</f>
        <v>0.93913043478260871</v>
      </c>
      <c r="H181" s="153"/>
      <c r="I181" s="47" t="s">
        <v>110</v>
      </c>
      <c r="J181" s="53">
        <f ca="1">H178*50%</f>
        <v>11.5</v>
      </c>
    </row>
    <row r="182" spans="1:10" x14ac:dyDescent="0.35">
      <c r="A182" s="151" t="s">
        <v>51</v>
      </c>
      <c r="B182" s="151"/>
      <c r="C182" s="100">
        <f ca="1">J190</f>
        <v>23</v>
      </c>
      <c r="D182" s="122">
        <f ca="1">((100/H178)*C182)/100</f>
        <v>1</v>
      </c>
      <c r="E182" s="153"/>
      <c r="F182" s="153"/>
      <c r="G182" s="153"/>
      <c r="H182" s="153"/>
      <c r="I182" s="47" t="s">
        <v>111</v>
      </c>
      <c r="J182" s="53">
        <f ca="1">H178</f>
        <v>23</v>
      </c>
    </row>
    <row r="183" spans="1:10" ht="15.75" customHeight="1" x14ac:dyDescent="0.35">
      <c r="A183" s="151" t="s">
        <v>142</v>
      </c>
      <c r="B183" s="151"/>
      <c r="C183" s="100">
        <v>24</v>
      </c>
      <c r="D183" s="122">
        <f ca="1">((100/(D178+F178+H178))*C183)/100</f>
        <v>1</v>
      </c>
      <c r="E183" s="153"/>
      <c r="F183" s="153"/>
      <c r="G183" s="153"/>
      <c r="H183" s="153"/>
      <c r="I183" s="47" t="s">
        <v>112</v>
      </c>
      <c r="J183" s="62">
        <f ca="1">(IF(B178&gt;1,(H178/(B178+2)),H178/4))</f>
        <v>5.75</v>
      </c>
    </row>
    <row r="184" spans="1:10" ht="15.75" customHeight="1" x14ac:dyDescent="0.35">
      <c r="A184" s="151" t="s">
        <v>149</v>
      </c>
      <c r="B184" s="151" t="s">
        <v>143</v>
      </c>
      <c r="C184" s="100">
        <f>C183-1</f>
        <v>23</v>
      </c>
      <c r="D184" s="122">
        <f ca="1">((100/H178)*C184)/100</f>
        <v>1</v>
      </c>
      <c r="E184" s="153"/>
      <c r="F184" s="153"/>
      <c r="G184" s="153"/>
      <c r="H184" s="153"/>
      <c r="I184" s="47" t="s">
        <v>113</v>
      </c>
      <c r="J184" s="62">
        <f ca="1">(IF(B178&gt;1,(H178/(B178+2)+J183),H178/4+J183))</f>
        <v>11.5</v>
      </c>
    </row>
    <row r="185" spans="1:10" ht="15.75" customHeight="1" x14ac:dyDescent="0.35">
      <c r="A185" s="151" t="s">
        <v>150</v>
      </c>
      <c r="B185" s="151" t="s">
        <v>143</v>
      </c>
      <c r="C185" s="100">
        <v>23</v>
      </c>
      <c r="D185" s="122">
        <f ca="1">((100/H178)*C185)/100</f>
        <v>1</v>
      </c>
      <c r="E185" s="153"/>
      <c r="F185" s="153"/>
      <c r="G185" s="153"/>
      <c r="H185" s="153"/>
      <c r="I185" s="47" t="s">
        <v>161</v>
      </c>
      <c r="J185" s="62">
        <f>(IF(B178&gt;1,(H178/(B178+2)+J184),0))</f>
        <v>0</v>
      </c>
    </row>
    <row r="186" spans="1:10" ht="15" customHeight="1" x14ac:dyDescent="0.35">
      <c r="A186" s="151" t="s">
        <v>148</v>
      </c>
      <c r="B186" s="151" t="s">
        <v>145</v>
      </c>
      <c r="C186" s="100">
        <v>23</v>
      </c>
      <c r="D186" s="122">
        <f ca="1">((100/(H178))*C186)/100</f>
        <v>1</v>
      </c>
      <c r="E186" s="153"/>
      <c r="F186" s="153"/>
      <c r="G186" s="153"/>
      <c r="H186" s="153"/>
      <c r="I186" s="47" t="s">
        <v>157</v>
      </c>
      <c r="J186" s="62">
        <f>(IF(B178&gt;2,(H178/(B178+2)+J185),0))</f>
        <v>0</v>
      </c>
    </row>
    <row r="187" spans="1:10" ht="15.75" customHeight="1" x14ac:dyDescent="0.35">
      <c r="A187" s="151" t="s">
        <v>144</v>
      </c>
      <c r="B187" s="151" t="s">
        <v>144</v>
      </c>
      <c r="C187" s="99">
        <v>18</v>
      </c>
      <c r="D187" s="122">
        <f ca="1">((100/H178)*C187)/100</f>
        <v>0.78260869565217395</v>
      </c>
      <c r="E187" s="153"/>
      <c r="F187" s="153"/>
      <c r="G187" s="153"/>
      <c r="H187" s="153"/>
      <c r="I187" s="47" t="s">
        <v>158</v>
      </c>
      <c r="J187" s="63">
        <f>(IF(B178&gt;3,(H178/(B178+2)+J186),0))</f>
        <v>0</v>
      </c>
    </row>
    <row r="188" spans="1:10" ht="15.75" customHeight="1" x14ac:dyDescent="0.35">
      <c r="A188" s="151" t="s">
        <v>151</v>
      </c>
      <c r="B188" s="151"/>
      <c r="C188" s="99">
        <v>15</v>
      </c>
      <c r="D188" s="122">
        <f ca="1">((100/H178)*C188)/100</f>
        <v>0.65217391304347827</v>
      </c>
      <c r="E188" s="153"/>
      <c r="F188" s="153"/>
      <c r="G188" s="153"/>
      <c r="H188" s="153"/>
      <c r="I188" s="47" t="s">
        <v>159</v>
      </c>
      <c r="J188" s="62">
        <f>(IF(B178&gt;4,(H178/(B178+2)+J187),0))</f>
        <v>0</v>
      </c>
    </row>
    <row r="189" spans="1:10" ht="15.75" customHeight="1" x14ac:dyDescent="0.35">
      <c r="A189" s="151" t="s">
        <v>146</v>
      </c>
      <c r="B189" s="151" t="s">
        <v>146</v>
      </c>
      <c r="C189" s="99">
        <v>0</v>
      </c>
      <c r="D189" s="122">
        <f ca="1">((100/(H178))*C189)/100</f>
        <v>0</v>
      </c>
      <c r="E189" s="153"/>
      <c r="F189" s="153"/>
      <c r="G189" s="153"/>
      <c r="H189" s="153"/>
      <c r="I189" s="47" t="s">
        <v>162</v>
      </c>
      <c r="J189" s="62">
        <f ca="1">(IF(B178=1,(H178/(B178+3)+J184),IF(B178=0,(H178/4+J184),IF(B178&gt;1,0))))</f>
        <v>17.25</v>
      </c>
    </row>
    <row r="190" spans="1:10" ht="16" thickBot="1" x14ac:dyDescent="0.4">
      <c r="A190" s="151" t="s">
        <v>147</v>
      </c>
      <c r="B190" s="151"/>
      <c r="C190" s="99">
        <v>0</v>
      </c>
      <c r="D190" s="122">
        <f ca="1">((100/(H178))*C190)/100</f>
        <v>0</v>
      </c>
      <c r="E190" s="153"/>
      <c r="F190" s="153"/>
      <c r="G190" s="153"/>
      <c r="H190" s="153"/>
      <c r="I190" s="58" t="s">
        <v>114</v>
      </c>
      <c r="J190" s="64">
        <f ca="1">(IF(B178&gt;1.5,(H178/(B178+2)+J184+MAX(0,J185-J184)+MAX(0,J186-J185)+MAX(0,J187-J186)+MAX(0,J188-J187)+MAX(0,J189-J188)),IF(B178=1,(H178/(B178+3)+J189),IF(B178=0,H178/4+J189))))</f>
        <v>23</v>
      </c>
    </row>
    <row r="191" spans="1:10" ht="15.75" customHeight="1" x14ac:dyDescent="0.35">
      <c r="A191" s="148" t="s">
        <v>153</v>
      </c>
      <c r="B191" s="148"/>
      <c r="C191" s="148" t="s">
        <v>196</v>
      </c>
      <c r="D191" s="148"/>
      <c r="E191" s="148"/>
      <c r="F191" s="148"/>
      <c r="G191" s="148"/>
      <c r="H191" s="148"/>
      <c r="I191" s="54" t="str">
        <f ca="1">(IF(E195&gt;99%,"All work completed. Please provide OC.",IF(E195&gt;89.8%,"Plinth, RCC, Brick, Plaster, Flooring, Painting work Completed. Finishing work is in process.",IF(E195&lt;94%,(IF(C195=0,"Work not yet Started.",IF(D195=25%,"Piling work in process",IF(D195=50%,"Excavation work in process",IF(D195=100%,"Excavation work Completed. ","0")))&amp;(IF(C196=0%,"",IF(C196=J197,"Footing work is process",IF(C196=J198,"Footing work Completed",IF(C196=J199,"1st Basement Completed",IF(C196=J200,"1st &amp; 2nd Basement Completed",IF(C196=J201,"1st to 3rd Basement Completed",IF(C196=J202,"1st to 4th Basement Completed",IF(C196=J203,"Plinth work is process",IF(C196=J204,"Plinth work completed","0")))))))))))&amp;(IF(C197=(D192+F192+H192),", RCC Slab",IF(C197&gt;0,", RCC upto "&amp;C197&amp;" Slab",""))&amp;(IF(C198=H192,", Brickwork",IF(C198&gt;0,", Brickwork upto "&amp;C198&amp;" Floor",""))&amp;(IF(C199=H192,", Internal Plaster",IF(C199&gt;0,", Internal Plaster upto "&amp;C199&amp;" Floor",""))&amp;(IF(C200=H192,", External Plaster",IF(C200&gt;0,", External Plaster upto "&amp;C200&amp;" Floor",""))&amp;(IF(C201=H192,", Flooring",IF(C201&gt;0,", Flooring upto "&amp;C201&amp;" Floor",""))&amp;(IF(C202=H192,", Painting",IF(C202&gt;0,", Painting upto "&amp;C202&amp;" Floor",""))&amp;(IF(C203&gt;0,", Finishing upto "&amp;C203&amp;" Floor","")&amp;(IF(C197&gt;0.5," Completed",""))))))))))))))</f>
        <v>Excavation work Completed. Plinth work completed, RCC Slab, Brickwork, Internal Plaster, External Plaster upto 22 Floor, Flooring upto 19 Floor Completed</v>
      </c>
      <c r="J191" s="18"/>
    </row>
    <row r="192" spans="1:10" x14ac:dyDescent="0.35">
      <c r="A192" s="124" t="s">
        <v>156</v>
      </c>
      <c r="B192" s="124">
        <v>0</v>
      </c>
      <c r="C192" s="124" t="s">
        <v>75</v>
      </c>
      <c r="D192" s="124">
        <v>1</v>
      </c>
      <c r="E192" s="124" t="s">
        <v>74</v>
      </c>
      <c r="F192" s="124">
        <v>0</v>
      </c>
      <c r="G192" s="124" t="s">
        <v>87</v>
      </c>
      <c r="H192" s="124">
        <f ca="1">--TRIM(RIGHT(SUBSTITUTE(LEFT(C191,_xlfn.AGGREGATE(16,6,FIND({0,1,2,3,4,5,6,7,8,9},C191,ROW(INDIRECT("1:"&amp;LEN(C191)))),1))," ",REPT(" ",LEN(C191))),LEN(C191)))</f>
        <v>23</v>
      </c>
      <c r="I192" s="55"/>
      <c r="J192" s="19"/>
    </row>
    <row r="193" spans="1:10" ht="32.15" customHeight="1" x14ac:dyDescent="0.35">
      <c r="A193" s="147" t="s">
        <v>97</v>
      </c>
      <c r="B193" s="147"/>
      <c r="C193" s="148" t="str">
        <f ca="1">I191</f>
        <v>Excavation work Completed. Plinth work completed, RCC Slab, Brickwork, Internal Plaster, External Plaster upto 22 Floor, Flooring upto 19 Floor Completed</v>
      </c>
      <c r="D193" s="148"/>
      <c r="E193" s="148"/>
      <c r="F193" s="148"/>
      <c r="G193" s="148"/>
      <c r="H193" s="148"/>
      <c r="I193" s="55" t="s">
        <v>115</v>
      </c>
      <c r="J193" s="19"/>
    </row>
    <row r="194" spans="1:10" ht="15.75" customHeight="1" x14ac:dyDescent="0.35">
      <c r="A194" s="151" t="s">
        <v>50</v>
      </c>
      <c r="B194" s="151"/>
      <c r="C194" s="97" t="s">
        <v>152</v>
      </c>
      <c r="D194" s="137" t="s">
        <v>90</v>
      </c>
      <c r="E194" s="151" t="s">
        <v>92</v>
      </c>
      <c r="F194" s="151"/>
      <c r="G194" s="151" t="s">
        <v>91</v>
      </c>
      <c r="H194" s="151"/>
      <c r="I194" s="47" t="s">
        <v>155</v>
      </c>
      <c r="J194" s="20">
        <f ca="1">H192*25%</f>
        <v>5.75</v>
      </c>
    </row>
    <row r="195" spans="1:10" x14ac:dyDescent="0.35">
      <c r="A195" s="151" t="s">
        <v>141</v>
      </c>
      <c r="B195" s="151"/>
      <c r="C195" s="99">
        <f ca="1">J196</f>
        <v>23</v>
      </c>
      <c r="D195" s="138">
        <f ca="1">((100/H192)*C195)/100</f>
        <v>1</v>
      </c>
      <c r="E195" s="153">
        <f ca="1">(((C196/H192*10)+(40/(D192+F192+H192)*C197)+(7.5/(H192)*C198)+(7.5/(H192)*C199)+(10/H192*C200)+(10/H192*C201)+(5/H192*C202)+(5/H192*C203)+(5/H192*C204))/100)</f>
        <v>0.82826086956521738</v>
      </c>
      <c r="F195" s="153"/>
      <c r="G195" s="153">
        <f ca="1">((((C195/H192)*20)+((C196/H192)*25)+(30/(H192+F192+D192)*C197)+(5/H192*C198)+(5/H192*C199)+(5/H192*C200)+(5/H192*C201)+(0/H192*C202)+(0/H192*C203)+(5/H192*C204))/100)</f>
        <v>0.93913043478260871</v>
      </c>
      <c r="H195" s="153"/>
      <c r="I195" s="47" t="s">
        <v>110</v>
      </c>
      <c r="J195" s="53">
        <f ca="1">H192*50%</f>
        <v>11.5</v>
      </c>
    </row>
    <row r="196" spans="1:10" x14ac:dyDescent="0.35">
      <c r="A196" s="151" t="s">
        <v>51</v>
      </c>
      <c r="B196" s="151"/>
      <c r="C196" s="100">
        <f ca="1">J204</f>
        <v>23</v>
      </c>
      <c r="D196" s="138">
        <f ca="1">((100/H192)*C196)/100</f>
        <v>1</v>
      </c>
      <c r="E196" s="153"/>
      <c r="F196" s="153"/>
      <c r="G196" s="153"/>
      <c r="H196" s="153"/>
      <c r="I196" s="47" t="s">
        <v>111</v>
      </c>
      <c r="J196" s="53">
        <f ca="1">H192</f>
        <v>23</v>
      </c>
    </row>
    <row r="197" spans="1:10" ht="15.75" customHeight="1" x14ac:dyDescent="0.35">
      <c r="A197" s="151" t="s">
        <v>142</v>
      </c>
      <c r="B197" s="151"/>
      <c r="C197" s="100">
        <v>24</v>
      </c>
      <c r="D197" s="138">
        <f ca="1">((100/(D192+F192+H192))*C197)/100</f>
        <v>1</v>
      </c>
      <c r="E197" s="153"/>
      <c r="F197" s="153"/>
      <c r="G197" s="153"/>
      <c r="H197" s="153"/>
      <c r="I197" s="47" t="s">
        <v>112</v>
      </c>
      <c r="J197" s="62">
        <f ca="1">(IF(B192&gt;1,(H192/(B192+2)),H192/4))</f>
        <v>5.75</v>
      </c>
    </row>
    <row r="198" spans="1:10" ht="15.75" customHeight="1" x14ac:dyDescent="0.35">
      <c r="A198" s="151" t="s">
        <v>149</v>
      </c>
      <c r="B198" s="151" t="s">
        <v>143</v>
      </c>
      <c r="C198" s="100">
        <f>C197-1</f>
        <v>23</v>
      </c>
      <c r="D198" s="138">
        <f ca="1">((100/H192)*C198)/100</f>
        <v>1</v>
      </c>
      <c r="E198" s="153"/>
      <c r="F198" s="153"/>
      <c r="G198" s="153"/>
      <c r="H198" s="153"/>
      <c r="I198" s="47" t="s">
        <v>113</v>
      </c>
      <c r="J198" s="62">
        <f ca="1">(IF(B192&gt;1,(H192/(B192+2)+J197),H192/4+J197))</f>
        <v>11.5</v>
      </c>
    </row>
    <row r="199" spans="1:10" ht="15.75" customHeight="1" x14ac:dyDescent="0.35">
      <c r="A199" s="151" t="s">
        <v>150</v>
      </c>
      <c r="B199" s="151" t="s">
        <v>143</v>
      </c>
      <c r="C199" s="100">
        <v>23</v>
      </c>
      <c r="D199" s="138">
        <f ca="1">((100/H192)*C199)/100</f>
        <v>1</v>
      </c>
      <c r="E199" s="153"/>
      <c r="F199" s="153"/>
      <c r="G199" s="153"/>
      <c r="H199" s="153"/>
      <c r="I199" s="47" t="s">
        <v>161</v>
      </c>
      <c r="J199" s="62">
        <f>(IF(B192&gt;1,(H192/(B192+2)+J198),0))</f>
        <v>0</v>
      </c>
    </row>
    <row r="200" spans="1:10" ht="15" customHeight="1" x14ac:dyDescent="0.35">
      <c r="A200" s="151" t="s">
        <v>148</v>
      </c>
      <c r="B200" s="151" t="s">
        <v>145</v>
      </c>
      <c r="C200" s="100">
        <v>22</v>
      </c>
      <c r="D200" s="138">
        <f ca="1">((100/(H192))*C200)/100</f>
        <v>0.9565217391304347</v>
      </c>
      <c r="E200" s="153"/>
      <c r="F200" s="153"/>
      <c r="G200" s="153"/>
      <c r="H200" s="153"/>
      <c r="I200" s="47" t="s">
        <v>157</v>
      </c>
      <c r="J200" s="62">
        <f>(IF(B192&gt;2,(H192/(B192+2)+J199),0))</f>
        <v>0</v>
      </c>
    </row>
    <row r="201" spans="1:10" ht="15.75" customHeight="1" x14ac:dyDescent="0.35">
      <c r="A201" s="151" t="s">
        <v>144</v>
      </c>
      <c r="B201" s="151" t="s">
        <v>144</v>
      </c>
      <c r="C201" s="99">
        <v>19</v>
      </c>
      <c r="D201" s="138">
        <f ca="1">((100/H192)*C201)/100</f>
        <v>0.82608695652173902</v>
      </c>
      <c r="E201" s="153"/>
      <c r="F201" s="153"/>
      <c r="G201" s="153"/>
      <c r="H201" s="153"/>
      <c r="I201" s="47" t="s">
        <v>158</v>
      </c>
      <c r="J201" s="63">
        <f>(IF(B192&gt;3,(H192/(B192+2)+J200),0))</f>
        <v>0</v>
      </c>
    </row>
    <row r="202" spans="1:10" ht="15.75" customHeight="1" x14ac:dyDescent="0.35">
      <c r="A202" s="151" t="s">
        <v>151</v>
      </c>
      <c r="B202" s="151"/>
      <c r="C202" s="99">
        <v>0</v>
      </c>
      <c r="D202" s="138">
        <f ca="1">((100/H192)*C202)/100</f>
        <v>0</v>
      </c>
      <c r="E202" s="153"/>
      <c r="F202" s="153"/>
      <c r="G202" s="153"/>
      <c r="H202" s="153"/>
      <c r="I202" s="47" t="s">
        <v>159</v>
      </c>
      <c r="J202" s="62">
        <f>(IF(B192&gt;4,(H192/(B192+2)+J201),0))</f>
        <v>0</v>
      </c>
    </row>
    <row r="203" spans="1:10" ht="15.75" customHeight="1" x14ac:dyDescent="0.35">
      <c r="A203" s="151" t="s">
        <v>146</v>
      </c>
      <c r="B203" s="151" t="s">
        <v>146</v>
      </c>
      <c r="C203" s="99">
        <v>0</v>
      </c>
      <c r="D203" s="138">
        <f ca="1">((100/(H192))*C203)/100</f>
        <v>0</v>
      </c>
      <c r="E203" s="153"/>
      <c r="F203" s="153"/>
      <c r="G203" s="153"/>
      <c r="H203" s="153"/>
      <c r="I203" s="47" t="s">
        <v>162</v>
      </c>
      <c r="J203" s="62">
        <f ca="1">(IF(B192=1,(H192/(B192+3)+J198),IF(B192=0,(H192/4+J198),IF(B192&gt;1,0))))</f>
        <v>17.25</v>
      </c>
    </row>
    <row r="204" spans="1:10" ht="16" thickBot="1" x14ac:dyDescent="0.4">
      <c r="A204" s="151" t="s">
        <v>147</v>
      </c>
      <c r="B204" s="151"/>
      <c r="C204" s="99">
        <v>0</v>
      </c>
      <c r="D204" s="138">
        <f ca="1">((100/(H192))*C204)/100</f>
        <v>0</v>
      </c>
      <c r="E204" s="153"/>
      <c r="F204" s="153"/>
      <c r="G204" s="153"/>
      <c r="H204" s="153"/>
      <c r="I204" s="58" t="s">
        <v>114</v>
      </c>
      <c r="J204" s="64">
        <f ca="1">(IF(B192&gt;1.5,(H192/(B192+2)+J198+MAX(0,J199-J198)+MAX(0,J200-J199)+MAX(0,J201-J200)+MAX(0,J202-J201)+MAX(0,J203-J202)),IF(B192=1,(H192/(B192+3)+J203),IF(B192=0,H192/4+J203))))</f>
        <v>23</v>
      </c>
    </row>
    <row r="205" spans="1:10" ht="15.75" customHeight="1" x14ac:dyDescent="0.35">
      <c r="A205" s="148" t="s">
        <v>153</v>
      </c>
      <c r="B205" s="148"/>
      <c r="C205" s="148" t="s">
        <v>240</v>
      </c>
      <c r="D205" s="148"/>
      <c r="E205" s="148"/>
      <c r="F205" s="148"/>
      <c r="G205" s="148"/>
      <c r="H205" s="148"/>
      <c r="I205" s="54" t="str">
        <f ca="1">(IF(E209&gt;99%,"All work completed. Please provide OC.",IF(E209&gt;89.8%,"Plinth, RCC, Brick, Plaster, Flooring, Painting work Completed. Finishing work is in process.",IF(E209&lt;94%,(IF(C209=0,"Work not yet Started.",IF(D209=25%,"Piling work in process",IF(D209=50%,"Excavation work in process",IF(D209=100%,"Excavation work Completed. ","0")))&amp;(IF(C210=0%,"",IF(C210=J211,"Footing work is process",IF(C210=J212,"Footing work Completed",IF(C210=J213,"1st Basement Completed",IF(C210=J214,"1st &amp; 2nd Basement Completed",IF(C210=J215,"1st to 3rd Basement Completed",IF(C210=J216,"1st to 4th Basement Completed",IF(C210=J217,"Plinth work is process",IF(C210=J218,"Plinth work completed","0")))))))))))&amp;(IF(C211=(D206+F206+H206),", RCC Slab",IF(C211&gt;0,", RCC upto "&amp;C211&amp;" Slab",""))&amp;(IF(C212=H206,", Brickwork",IF(C212&gt;0,", Brickwork upto "&amp;C212&amp;" Floor",""))&amp;(IF(C213=H206,", Internal Plaster",IF(C213&gt;0,", Internal Plaster upto "&amp;C213&amp;" Floor",""))&amp;(IF(C214=H206,", External Plaster",IF(C214&gt;0,", External Plaster upto "&amp;C214&amp;" Floor",""))&amp;(IF(C215=H206,", Flooring",IF(C215&gt;0,", Flooring upto "&amp;C215&amp;" Floor",""))&amp;(IF(C216=H206,", Painting",IF(C216&gt;0,", Painting upto "&amp;C216&amp;" Floor",""))&amp;(IF(C217&gt;0,", Finishing upto "&amp;C217&amp;" Floor","")&amp;(IF(C211&gt;0.5," Completed",""))))))))))))))</f>
        <v>Excavation work Completed. Plinth work completed, RCC Slab, Brickwork, Internal Plaster, External Plaster, Flooring upto 20 Floor, Painting upto 15 Floor Completed</v>
      </c>
      <c r="J205" s="18"/>
    </row>
    <row r="206" spans="1:10" x14ac:dyDescent="0.35">
      <c r="A206" s="136" t="s">
        <v>156</v>
      </c>
      <c r="B206" s="136">
        <v>0</v>
      </c>
      <c r="C206" s="136" t="s">
        <v>75</v>
      </c>
      <c r="D206" s="136">
        <v>1</v>
      </c>
      <c r="E206" s="136" t="s">
        <v>74</v>
      </c>
      <c r="F206" s="136">
        <v>0</v>
      </c>
      <c r="G206" s="136" t="s">
        <v>87</v>
      </c>
      <c r="H206" s="136">
        <f ca="1">--TRIM(RIGHT(SUBSTITUTE(LEFT(C205,_xlfn.AGGREGATE(16,6,FIND({0,1,2,3,4,5,6,7,8,9},C205,ROW(INDIRECT("1:"&amp;LEN(C205)))),1))," ",REPT(" ",LEN(C205))),LEN(C205)))</f>
        <v>23</v>
      </c>
      <c r="I206" s="55"/>
      <c r="J206" s="19"/>
    </row>
    <row r="207" spans="1:10" ht="34" customHeight="1" x14ac:dyDescent="0.35">
      <c r="A207" s="147" t="s">
        <v>97</v>
      </c>
      <c r="B207" s="147"/>
      <c r="C207" s="148" t="str">
        <f ca="1">I205</f>
        <v>Excavation work Completed. Plinth work completed, RCC Slab, Brickwork, Internal Plaster, External Plaster, Flooring upto 20 Floor, Painting upto 15 Floor Completed</v>
      </c>
      <c r="D207" s="148"/>
      <c r="E207" s="148"/>
      <c r="F207" s="148"/>
      <c r="G207" s="148"/>
      <c r="H207" s="148"/>
      <c r="I207" s="55" t="s">
        <v>115</v>
      </c>
      <c r="J207" s="19"/>
    </row>
    <row r="208" spans="1:10" ht="15.75" customHeight="1" x14ac:dyDescent="0.35">
      <c r="A208" s="151" t="s">
        <v>50</v>
      </c>
      <c r="B208" s="151"/>
      <c r="C208" s="97" t="s">
        <v>152</v>
      </c>
      <c r="D208" s="132" t="s">
        <v>90</v>
      </c>
      <c r="E208" s="151" t="s">
        <v>92</v>
      </c>
      <c r="F208" s="151"/>
      <c r="G208" s="151" t="s">
        <v>91</v>
      </c>
      <c r="H208" s="151"/>
      <c r="I208" s="47" t="s">
        <v>155</v>
      </c>
      <c r="J208" s="20">
        <f ca="1">H206*25%</f>
        <v>5.75</v>
      </c>
    </row>
    <row r="209" spans="1:13" x14ac:dyDescent="0.35">
      <c r="A209" s="151" t="s">
        <v>141</v>
      </c>
      <c r="B209" s="151"/>
      <c r="C209" s="99">
        <f ca="1">J210</f>
        <v>23</v>
      </c>
      <c r="D209" s="133">
        <f ca="1">((100/H206)*C209)/100</f>
        <v>1</v>
      </c>
      <c r="E209" s="153">
        <f ca="1">(((C210/H206*10)+(40/(D206+F206+H206)*C211)+(7.5/(H206)*C212)+(7.5/(H206)*C213)+(10/H206*C214)+(10/H206*C215)+(5/H206*C216)+(5/H206*C217)+(5/H206*C218))/100)</f>
        <v>0.86956521739130432</v>
      </c>
      <c r="F209" s="153"/>
      <c r="G209" s="153">
        <f ca="1">((((C209/H206)*20)+((C210/H206)*25)+(30/(H206+F206+D206)*C211)+(5/H206*C212)+(5/H206*C213)+(5/H206*C214)+(5/H206*C215)+(0/H206*C216)+(0/H206*C217)+(5/H206*C218))/100)</f>
        <v>0.94347826086956521</v>
      </c>
      <c r="H209" s="153"/>
      <c r="I209" s="47" t="s">
        <v>110</v>
      </c>
      <c r="J209" s="53">
        <f ca="1">H206*50%</f>
        <v>11.5</v>
      </c>
    </row>
    <row r="210" spans="1:13" x14ac:dyDescent="0.35">
      <c r="A210" s="151" t="s">
        <v>51</v>
      </c>
      <c r="B210" s="151"/>
      <c r="C210" s="100">
        <v>23</v>
      </c>
      <c r="D210" s="133">
        <f ca="1">((100/H206)*C210)/100</f>
        <v>1</v>
      </c>
      <c r="E210" s="153"/>
      <c r="F210" s="153"/>
      <c r="G210" s="153"/>
      <c r="H210" s="153"/>
      <c r="I210" s="47" t="s">
        <v>111</v>
      </c>
      <c r="J210" s="53">
        <f ca="1">H206</f>
        <v>23</v>
      </c>
    </row>
    <row r="211" spans="1:13" ht="15.75" customHeight="1" x14ac:dyDescent="0.35">
      <c r="A211" s="151" t="s">
        <v>142</v>
      </c>
      <c r="B211" s="151"/>
      <c r="C211" s="100">
        <v>24</v>
      </c>
      <c r="D211" s="133">
        <f ca="1">((100/(D206+F206+H206))*C211)/100</f>
        <v>1</v>
      </c>
      <c r="E211" s="153"/>
      <c r="F211" s="153"/>
      <c r="G211" s="153"/>
      <c r="H211" s="153"/>
      <c r="I211" s="47" t="s">
        <v>112</v>
      </c>
      <c r="J211" s="62">
        <f ca="1">(IF(B206&gt;1,(H206/(B206+2)),H206/4))</f>
        <v>5.75</v>
      </c>
    </row>
    <row r="212" spans="1:13" ht="15.75" customHeight="1" x14ac:dyDescent="0.35">
      <c r="A212" s="151" t="s">
        <v>149</v>
      </c>
      <c r="B212" s="151" t="s">
        <v>143</v>
      </c>
      <c r="C212" s="100">
        <f>C211-1</f>
        <v>23</v>
      </c>
      <c r="D212" s="133">
        <f ca="1">((100/H206)*C212)/100</f>
        <v>1</v>
      </c>
      <c r="E212" s="153"/>
      <c r="F212" s="153"/>
      <c r="G212" s="153"/>
      <c r="H212" s="153"/>
      <c r="I212" s="47" t="s">
        <v>113</v>
      </c>
      <c r="J212" s="62">
        <f ca="1">(IF(B206&gt;1,(H206/(B206+2)+J211),H206/4+J211))</f>
        <v>11.5</v>
      </c>
    </row>
    <row r="213" spans="1:13" ht="15.75" customHeight="1" x14ac:dyDescent="0.35">
      <c r="A213" s="151" t="s">
        <v>150</v>
      </c>
      <c r="B213" s="151" t="s">
        <v>143</v>
      </c>
      <c r="C213" s="100">
        <v>23</v>
      </c>
      <c r="D213" s="133">
        <f ca="1">((100/H206)*C213)/100</f>
        <v>1</v>
      </c>
      <c r="E213" s="153"/>
      <c r="F213" s="153"/>
      <c r="G213" s="153"/>
      <c r="H213" s="153"/>
      <c r="I213" s="47" t="s">
        <v>161</v>
      </c>
      <c r="J213" s="62">
        <f>(IF(B206&gt;1,(H206/(B206+2)+J212),0))</f>
        <v>0</v>
      </c>
    </row>
    <row r="214" spans="1:13" ht="15" customHeight="1" x14ac:dyDescent="0.35">
      <c r="A214" s="151" t="s">
        <v>148</v>
      </c>
      <c r="B214" s="151" t="s">
        <v>145</v>
      </c>
      <c r="C214" s="100">
        <v>23</v>
      </c>
      <c r="D214" s="133">
        <f ca="1">((100/(H206))*C214)/100</f>
        <v>1</v>
      </c>
      <c r="E214" s="153"/>
      <c r="F214" s="153"/>
      <c r="G214" s="153"/>
      <c r="H214" s="153"/>
      <c r="I214" s="47" t="s">
        <v>157</v>
      </c>
      <c r="J214" s="62">
        <f>(IF(B206&gt;2,(H206/(B206+2)+J213),0))</f>
        <v>0</v>
      </c>
    </row>
    <row r="215" spans="1:13" ht="15.75" customHeight="1" x14ac:dyDescent="0.35">
      <c r="A215" s="151" t="s">
        <v>144</v>
      </c>
      <c r="B215" s="151" t="s">
        <v>144</v>
      </c>
      <c r="C215" s="99">
        <v>20</v>
      </c>
      <c r="D215" s="133">
        <f ca="1">((100/H206)*C215)/100</f>
        <v>0.86956521739130432</v>
      </c>
      <c r="E215" s="153"/>
      <c r="F215" s="153"/>
      <c r="G215" s="153"/>
      <c r="H215" s="153"/>
      <c r="I215" s="47" t="s">
        <v>158</v>
      </c>
      <c r="J215" s="63">
        <f>(IF(B206&gt;3,(H206/(B206+2)+J214),0))</f>
        <v>0</v>
      </c>
    </row>
    <row r="216" spans="1:13" ht="15.75" customHeight="1" x14ac:dyDescent="0.35">
      <c r="A216" s="151" t="s">
        <v>151</v>
      </c>
      <c r="B216" s="151"/>
      <c r="C216" s="99">
        <v>15</v>
      </c>
      <c r="D216" s="133">
        <f ca="1">((100/H206)*C216)/100</f>
        <v>0.65217391304347827</v>
      </c>
      <c r="E216" s="153"/>
      <c r="F216" s="153"/>
      <c r="G216" s="153"/>
      <c r="H216" s="153"/>
      <c r="I216" s="47" t="s">
        <v>159</v>
      </c>
      <c r="J216" s="62">
        <f>(IF(B206&gt;4,(H206/(B206+2)+J215),0))</f>
        <v>0</v>
      </c>
    </row>
    <row r="217" spans="1:13" ht="15.75" customHeight="1" x14ac:dyDescent="0.35">
      <c r="A217" s="151" t="s">
        <v>146</v>
      </c>
      <c r="B217" s="151" t="s">
        <v>146</v>
      </c>
      <c r="C217" s="99">
        <v>0</v>
      </c>
      <c r="D217" s="133">
        <f ca="1">((100/(H206))*C217)/100</f>
        <v>0</v>
      </c>
      <c r="E217" s="153"/>
      <c r="F217" s="153"/>
      <c r="G217" s="153"/>
      <c r="H217" s="153"/>
      <c r="I217" s="47" t="s">
        <v>162</v>
      </c>
      <c r="J217" s="62">
        <f ca="1">(IF(B206=1,(H206/(B206+3)+J212),IF(B206=0,(H206/4+J212),IF(B206&gt;1,0))))</f>
        <v>17.25</v>
      </c>
    </row>
    <row r="218" spans="1:13" ht="16" thickBot="1" x14ac:dyDescent="0.4">
      <c r="A218" s="151" t="s">
        <v>147</v>
      </c>
      <c r="B218" s="151"/>
      <c r="C218" s="99">
        <v>0</v>
      </c>
      <c r="D218" s="133">
        <f ca="1">((100/(H206))*C218)/100</f>
        <v>0</v>
      </c>
      <c r="E218" s="153"/>
      <c r="F218" s="153"/>
      <c r="G218" s="153"/>
      <c r="H218" s="153"/>
      <c r="I218" s="58" t="s">
        <v>114</v>
      </c>
      <c r="J218" s="64">
        <f ca="1">(IF(B206&gt;1.5,(H206/(B206+2)+J212+MAX(0,J213-J212)+MAX(0,J214-J213)+MAX(0,J215-J214)+MAX(0,J216-J215)+MAX(0,J217-J216)),IF(B206=1,(H206/(B206+3)+J217),IF(B206=0,H206/4+J217))))</f>
        <v>23</v>
      </c>
    </row>
    <row r="219" spans="1:13" x14ac:dyDescent="0.35">
      <c r="A219" s="205" t="s">
        <v>52</v>
      </c>
      <c r="B219" s="205"/>
      <c r="C219" s="205"/>
      <c r="D219" s="205"/>
      <c r="E219" s="205"/>
      <c r="F219" s="205"/>
      <c r="G219" s="205"/>
      <c r="H219" s="205"/>
    </row>
    <row r="220" spans="1:13" x14ac:dyDescent="0.35">
      <c r="A220" s="193" t="s">
        <v>79</v>
      </c>
      <c r="B220" s="193"/>
      <c r="C220" s="193"/>
      <c r="D220" s="193"/>
      <c r="E220" s="193"/>
      <c r="F220" s="204">
        <v>5000</v>
      </c>
      <c r="G220" s="204"/>
      <c r="H220" s="204"/>
    </row>
    <row r="221" spans="1:13" x14ac:dyDescent="0.35">
      <c r="A221" s="193" t="s">
        <v>85</v>
      </c>
      <c r="B221" s="193"/>
      <c r="C221" s="193"/>
      <c r="D221" s="193"/>
      <c r="E221" s="193"/>
      <c r="F221" s="191">
        <v>7500</v>
      </c>
      <c r="G221" s="191"/>
      <c r="H221" s="191"/>
    </row>
    <row r="222" spans="1:13" hidden="1" x14ac:dyDescent="0.35">
      <c r="A222" s="193" t="s">
        <v>86</v>
      </c>
      <c r="B222" s="193"/>
      <c r="C222" s="193"/>
      <c r="D222" s="193"/>
      <c r="E222" s="193"/>
      <c r="F222" s="191"/>
      <c r="G222" s="191"/>
      <c r="H222" s="191"/>
    </row>
    <row r="223" spans="1:13" s="7" customFormat="1" hidden="1" x14ac:dyDescent="0.3">
      <c r="A223" s="193" t="s">
        <v>102</v>
      </c>
      <c r="B223" s="193"/>
      <c r="C223" s="193"/>
      <c r="D223" s="193"/>
      <c r="E223" s="193"/>
      <c r="F223" s="191" t="s">
        <v>29</v>
      </c>
      <c r="G223" s="191"/>
      <c r="H223" s="191"/>
    </row>
    <row r="224" spans="1:13" s="7" customFormat="1" x14ac:dyDescent="0.3">
      <c r="A224" s="193" t="s">
        <v>103</v>
      </c>
      <c r="B224" s="193"/>
      <c r="C224" s="193"/>
      <c r="D224" s="193"/>
      <c r="E224" s="193"/>
      <c r="F224" s="191">
        <v>175000</v>
      </c>
      <c r="G224" s="191"/>
      <c r="H224" s="191"/>
      <c r="J224" s="104" t="s">
        <v>212</v>
      </c>
      <c r="K224" s="105">
        <v>45104</v>
      </c>
      <c r="L224" s="104" t="s">
        <v>213</v>
      </c>
      <c r="M224" s="104" t="s">
        <v>214</v>
      </c>
    </row>
    <row r="225" spans="1:8" s="7" customFormat="1" hidden="1" x14ac:dyDescent="0.3">
      <c r="A225" s="193" t="s">
        <v>104</v>
      </c>
      <c r="B225" s="193"/>
      <c r="C225" s="193"/>
      <c r="D225" s="193"/>
      <c r="E225" s="193"/>
      <c r="F225" s="191" t="s">
        <v>29</v>
      </c>
      <c r="G225" s="191"/>
      <c r="H225" s="191"/>
    </row>
    <row r="226" spans="1:8" s="7" customFormat="1" hidden="1" x14ac:dyDescent="0.3">
      <c r="A226" s="193" t="s">
        <v>105</v>
      </c>
      <c r="B226" s="193"/>
      <c r="C226" s="193"/>
      <c r="D226" s="193"/>
      <c r="E226" s="193"/>
      <c r="F226" s="191" t="s">
        <v>29</v>
      </c>
      <c r="G226" s="191"/>
      <c r="H226" s="191"/>
    </row>
    <row r="227" spans="1:8" s="7" customFormat="1" hidden="1" x14ac:dyDescent="0.3">
      <c r="A227" s="193" t="s">
        <v>106</v>
      </c>
      <c r="B227" s="193"/>
      <c r="C227" s="193"/>
      <c r="D227" s="193"/>
      <c r="E227" s="193"/>
      <c r="F227" s="191" t="s">
        <v>29</v>
      </c>
      <c r="G227" s="191"/>
      <c r="H227" s="191"/>
    </row>
    <row r="228" spans="1:8" s="7" customFormat="1" hidden="1" x14ac:dyDescent="0.3">
      <c r="A228" s="193" t="s">
        <v>107</v>
      </c>
      <c r="B228" s="193"/>
      <c r="C228" s="193"/>
      <c r="D228" s="193"/>
      <c r="E228" s="193"/>
      <c r="F228" s="191" t="s">
        <v>29</v>
      </c>
      <c r="G228" s="191"/>
      <c r="H228" s="191"/>
    </row>
    <row r="229" spans="1:8" s="7" customFormat="1" hidden="1" x14ac:dyDescent="0.3">
      <c r="A229" s="193" t="s">
        <v>108</v>
      </c>
      <c r="B229" s="193"/>
      <c r="C229" s="193"/>
      <c r="D229" s="193"/>
      <c r="E229" s="193"/>
      <c r="F229" s="191" t="s">
        <v>29</v>
      </c>
      <c r="G229" s="191"/>
      <c r="H229" s="191"/>
    </row>
    <row r="230" spans="1:8" s="7" customFormat="1" hidden="1" x14ac:dyDescent="0.3">
      <c r="A230" s="193" t="s">
        <v>109</v>
      </c>
      <c r="B230" s="193"/>
      <c r="C230" s="193"/>
      <c r="D230" s="193"/>
      <c r="E230" s="193"/>
      <c r="F230" s="191" t="s">
        <v>29</v>
      </c>
      <c r="G230" s="191"/>
      <c r="H230" s="191"/>
    </row>
    <row r="231" spans="1:8" x14ac:dyDescent="0.35">
      <c r="A231" s="193" t="s">
        <v>53</v>
      </c>
      <c r="B231" s="193"/>
      <c r="C231" s="193"/>
      <c r="D231" s="193"/>
      <c r="E231" s="193"/>
      <c r="F231" s="209" t="s">
        <v>198</v>
      </c>
      <c r="G231" s="209"/>
      <c r="H231" s="209"/>
    </row>
    <row r="232" spans="1:8" s="4" customFormat="1" x14ac:dyDescent="0.35">
      <c r="A232" s="221" t="s">
        <v>54</v>
      </c>
      <c r="B232" s="221"/>
      <c r="C232" s="221"/>
      <c r="D232" s="221"/>
      <c r="E232" s="221"/>
      <c r="F232" s="191">
        <f>F220*0.8</f>
        <v>4000</v>
      </c>
      <c r="G232" s="191"/>
      <c r="H232" s="191"/>
    </row>
    <row r="233" spans="1:8" s="1" customFormat="1" ht="15.75" customHeight="1" x14ac:dyDescent="0.35">
      <c r="A233" s="162" t="s">
        <v>80</v>
      </c>
      <c r="B233" s="162"/>
      <c r="C233" s="162"/>
      <c r="D233" s="162"/>
      <c r="E233" s="162"/>
      <c r="F233" s="162"/>
      <c r="G233" s="162"/>
      <c r="H233" s="162"/>
    </row>
    <row r="234" spans="1:8" s="1" customFormat="1" ht="15.75" customHeight="1" x14ac:dyDescent="0.35">
      <c r="A234" s="167" t="s">
        <v>55</v>
      </c>
      <c r="B234" s="167"/>
      <c r="C234" s="164" t="s">
        <v>83</v>
      </c>
      <c r="D234" s="164"/>
      <c r="E234" s="166" t="s">
        <v>56</v>
      </c>
      <c r="F234" s="166"/>
      <c r="G234" s="167" t="s">
        <v>57</v>
      </c>
      <c r="H234" s="167"/>
    </row>
    <row r="235" spans="1:8" s="1" customFormat="1" ht="15.75" customHeight="1" x14ac:dyDescent="0.35">
      <c r="A235" s="160" t="s">
        <v>223</v>
      </c>
      <c r="B235" s="160"/>
      <c r="C235" s="159">
        <f>COUNT(D276:D293)</f>
        <v>18</v>
      </c>
      <c r="D235" s="178"/>
      <c r="E235" s="159">
        <f>SUM(D276:D293)</f>
        <v>3324.5561232000005</v>
      </c>
      <c r="F235" s="178"/>
      <c r="G235" s="159">
        <f>SUM(F276:F293)</f>
        <v>6485.0740531199981</v>
      </c>
      <c r="H235" s="178"/>
    </row>
    <row r="236" spans="1:8" s="1" customFormat="1" x14ac:dyDescent="0.35">
      <c r="A236" s="160" t="s">
        <v>206</v>
      </c>
      <c r="B236" s="160"/>
      <c r="C236" s="159">
        <f>COUNT(D296:D320)</f>
        <v>25</v>
      </c>
      <c r="D236" s="178"/>
      <c r="E236" s="159">
        <f>SUM(D296:D320)</f>
        <v>4558.2504551999991</v>
      </c>
      <c r="F236" s="178"/>
      <c r="G236" s="159">
        <f>SUM(F296:F320)</f>
        <v>8837.4041683199994</v>
      </c>
      <c r="H236" s="178"/>
    </row>
    <row r="237" spans="1:8" s="1" customFormat="1" ht="15.75" customHeight="1" x14ac:dyDescent="0.35">
      <c r="A237" s="160" t="s">
        <v>224</v>
      </c>
      <c r="B237" s="160"/>
      <c r="C237" s="161">
        <f>COUNT(D323:D336)</f>
        <v>14</v>
      </c>
      <c r="D237" s="181"/>
      <c r="E237" s="161">
        <f>SUM(D323:D336)</f>
        <v>2938.9595039999999</v>
      </c>
      <c r="F237" s="181"/>
      <c r="G237" s="161">
        <f>SUM(F323:F336)</f>
        <v>5470.4542463999987</v>
      </c>
      <c r="H237" s="181"/>
    </row>
    <row r="238" spans="1:8" s="1" customFormat="1" x14ac:dyDescent="0.35">
      <c r="A238" s="160" t="s">
        <v>225</v>
      </c>
      <c r="B238" s="160"/>
      <c r="C238" s="161">
        <f>COUNT(D339:D345)</f>
        <v>7</v>
      </c>
      <c r="D238" s="181"/>
      <c r="E238" s="161">
        <f>SUM(D339:D345)</f>
        <v>1490.7924719999999</v>
      </c>
      <c r="F238" s="181"/>
      <c r="G238" s="161">
        <f>SUM(F339:F345)</f>
        <v>2769.3274752000002</v>
      </c>
      <c r="H238" s="181"/>
    </row>
    <row r="239" spans="1:8" s="1" customFormat="1" x14ac:dyDescent="0.35">
      <c r="A239" s="160" t="s">
        <v>191</v>
      </c>
      <c r="B239" s="160"/>
      <c r="C239" s="159">
        <f>COUNT(D349:D357)</f>
        <v>9</v>
      </c>
      <c r="D239" s="178"/>
      <c r="E239" s="159">
        <f>SUM(D349:D357)</f>
        <v>1987.3422503999996</v>
      </c>
      <c r="F239" s="178"/>
      <c r="G239" s="159">
        <f>SUM(F349:F357)</f>
        <v>3656.3775206400005</v>
      </c>
      <c r="H239" s="178"/>
    </row>
    <row r="240" spans="1:8" s="1" customFormat="1" x14ac:dyDescent="0.35">
      <c r="A240" s="160" t="s">
        <v>192</v>
      </c>
      <c r="B240" s="160"/>
      <c r="C240" s="179">
        <f>COUNT(D360:D384)</f>
        <v>25</v>
      </c>
      <c r="D240" s="180"/>
      <c r="E240" s="159">
        <f>SUM(D360:D384)</f>
        <v>5746.5723743999997</v>
      </c>
      <c r="F240" s="178"/>
      <c r="G240" s="159">
        <f>SUM(F360:F384)</f>
        <v>10548.149077439999</v>
      </c>
      <c r="H240" s="178"/>
    </row>
    <row r="241" spans="1:8" s="1" customFormat="1" x14ac:dyDescent="0.35">
      <c r="A241" s="160" t="s">
        <v>193</v>
      </c>
      <c r="B241" s="160"/>
      <c r="C241" s="179">
        <f>COUNT(D387:D400)</f>
        <v>14</v>
      </c>
      <c r="D241" s="180"/>
      <c r="E241" s="159">
        <f>SUM(D387:D400)</f>
        <v>3098.5950059999996</v>
      </c>
      <c r="F241" s="178"/>
      <c r="G241" s="159">
        <f>SUM(F387:F400)</f>
        <v>5705.2041696000006</v>
      </c>
      <c r="H241" s="178"/>
    </row>
    <row r="242" spans="1:8" s="1" customFormat="1" x14ac:dyDescent="0.35">
      <c r="A242" s="160" t="s">
        <v>194</v>
      </c>
      <c r="B242" s="160"/>
      <c r="C242" s="179">
        <f>COUNT(D403:D419)</f>
        <v>17</v>
      </c>
      <c r="D242" s="180"/>
      <c r="E242" s="159">
        <f>SUM(D403:D419)</f>
        <v>3229.4906279999996</v>
      </c>
      <c r="F242" s="178"/>
      <c r="G242" s="159">
        <f>SUM(F403:F419)</f>
        <v>5945.659012799998</v>
      </c>
      <c r="H242" s="178"/>
    </row>
    <row r="243" spans="1:8" s="1" customFormat="1" x14ac:dyDescent="0.35">
      <c r="A243" s="162" t="s">
        <v>165</v>
      </c>
      <c r="B243" s="162"/>
      <c r="C243" s="163">
        <f>SUM(C235:C242)</f>
        <v>129</v>
      </c>
      <c r="D243" s="164"/>
      <c r="E243" s="165">
        <f>SUM(E235:E242)</f>
        <v>26374.558813199998</v>
      </c>
      <c r="F243" s="166"/>
      <c r="G243" s="167">
        <f>SUM(G235:G242)</f>
        <v>49417.649723519993</v>
      </c>
      <c r="H243" s="167"/>
    </row>
    <row r="244" spans="1:8" s="1" customFormat="1" x14ac:dyDescent="0.35">
      <c r="A244" s="162" t="s">
        <v>73</v>
      </c>
      <c r="B244" s="162"/>
      <c r="C244" s="162"/>
      <c r="D244" s="162"/>
      <c r="E244" s="162"/>
      <c r="F244" s="162"/>
      <c r="G244" s="162"/>
      <c r="H244" s="162"/>
    </row>
    <row r="245" spans="1:8" s="1" customFormat="1" ht="15.75" customHeight="1" x14ac:dyDescent="0.35">
      <c r="A245" s="167" t="s">
        <v>55</v>
      </c>
      <c r="B245" s="167"/>
      <c r="C245" s="164" t="s">
        <v>83</v>
      </c>
      <c r="D245" s="164"/>
      <c r="E245" s="166" t="s">
        <v>56</v>
      </c>
      <c r="F245" s="166"/>
      <c r="G245" s="167" t="s">
        <v>57</v>
      </c>
      <c r="H245" s="167"/>
    </row>
    <row r="246" spans="1:8" s="1" customFormat="1" x14ac:dyDescent="0.35">
      <c r="A246" s="160" t="s">
        <v>223</v>
      </c>
      <c r="B246" s="160"/>
      <c r="C246" s="159">
        <f>COUNT(D553:D580)+COUNT(D582:D609)*18+COUNT(D611:D622,D626:D638)*4</f>
        <v>632</v>
      </c>
      <c r="D246" s="159"/>
      <c r="E246" s="159">
        <f>SUM(D553:D580)+SUM(D582:D609)*18+SUM(D611:D622,D626:D638)*4</f>
        <v>225760.93909199999</v>
      </c>
      <c r="F246" s="159"/>
      <c r="G246" s="159">
        <f>SUM(F553:F580)+SUM(F582:F609)*18+SUM(F611:F622,F626:F638)*4</f>
        <v>340837.88787360024</v>
      </c>
      <c r="H246" s="159"/>
    </row>
    <row r="247" spans="1:8" s="1" customFormat="1" x14ac:dyDescent="0.35">
      <c r="A247" s="160" t="s">
        <v>228</v>
      </c>
      <c r="B247" s="160"/>
      <c r="C247" s="159">
        <f>COUNT(D642:D677)+COUNT(D679:D714)*18+COUNT(D716:D719,D722:D736,D738:D744,D746:D751)*4</f>
        <v>812</v>
      </c>
      <c r="D247" s="159"/>
      <c r="E247" s="161">
        <f>SUM(D642:D677)+SUM(D679:D714)*18+SUM(D716:D719,D722:D736,D738:D744,D746:D751)*4</f>
        <v>290601.56361599988</v>
      </c>
      <c r="F247" s="161"/>
      <c r="G247" s="159">
        <f>SUM(F642:F677)+SUM(F679:F714)*18+SUM(F716:F719,F722:F736,F738:F744,F746:F751)*4</f>
        <v>438360.92734200036</v>
      </c>
      <c r="H247" s="159"/>
    </row>
    <row r="248" spans="1:8" s="1" customFormat="1" x14ac:dyDescent="0.35">
      <c r="A248" s="160" t="s">
        <v>230</v>
      </c>
      <c r="B248" s="160"/>
      <c r="C248" s="159">
        <f>COUNT(D754:D781)+COUNT(D783:D810)*18+COUNT(D812:D823,D827:D839)*4</f>
        <v>632</v>
      </c>
      <c r="D248" s="159"/>
      <c r="E248" s="161">
        <f>SUM(D754:D781)+SUM(D783:D810)*18+SUM(D812:D823,D827:D839)*4</f>
        <v>226126.323072</v>
      </c>
      <c r="F248" s="161"/>
      <c r="G248" s="159">
        <f>SUM(F754:F781)+SUM(F783:F810)*18+SUM(F812:F823,F827:F839)*4</f>
        <v>341071.69325580023</v>
      </c>
      <c r="H248" s="159"/>
    </row>
    <row r="249" spans="1:8" s="1" customFormat="1" x14ac:dyDescent="0.35">
      <c r="A249" s="160" t="s">
        <v>206</v>
      </c>
      <c r="B249" s="160"/>
      <c r="C249" s="159">
        <f>COUNT(D842:D869)+COUNT(D871:D898)*18+COUNT(D900:D911,D915:D927)*4</f>
        <v>632</v>
      </c>
      <c r="D249" s="159"/>
      <c r="E249" s="161">
        <f>SUM(D842:D869)+SUM(D871:D898)*18+SUM(D900:D911,D915:D927)*4</f>
        <v>224035.14158999996</v>
      </c>
      <c r="F249" s="161"/>
      <c r="G249" s="159">
        <f>SUM(F842:F869)+SUM(F871:F898)*18+SUM(F900:F911,F915:F927)*4</f>
        <v>338218.37536499969</v>
      </c>
      <c r="H249" s="159"/>
    </row>
    <row r="250" spans="1:8" s="1" customFormat="1" ht="15.75" customHeight="1" x14ac:dyDescent="0.35">
      <c r="A250" s="160" t="s">
        <v>224</v>
      </c>
      <c r="B250" s="160"/>
      <c r="C250" s="159">
        <f>COUNT(D930:D965)+COUNT(D967:D1002)*18+COUNT(D1004:D1007,D1010:D1025,D1027:D1032,D1034:D1039)*4</f>
        <v>812</v>
      </c>
      <c r="D250" s="159"/>
      <c r="E250" s="161">
        <f>SUM(D930:D965)+SUM(D967:D1002)*18+SUM(D1004:D1007,D1010:D1025,D1027:D1032,D1034:D1039)*4</f>
        <v>292814.03923199978</v>
      </c>
      <c r="F250" s="161"/>
      <c r="G250" s="159">
        <f>SUM(F930:F965)+SUM(F967:F1002)*18+SUM(F1004:F1007,F1010:F1025,F1027:F1032,F1034:F1039)*4</f>
        <v>441669.63742199994</v>
      </c>
      <c r="H250" s="159"/>
    </row>
    <row r="251" spans="1:8" s="1" customFormat="1" ht="15.75" customHeight="1" x14ac:dyDescent="0.35">
      <c r="A251" s="160" t="s">
        <v>225</v>
      </c>
      <c r="B251" s="160"/>
      <c r="C251" s="159">
        <f>COUNT(D1042:D1069)+COUNT(D1071:D1098)*18+COUNT(D1100:D1111,D1115:D1127)*4</f>
        <v>632</v>
      </c>
      <c r="D251" s="159"/>
      <c r="E251" s="161">
        <f>SUM(D1042:D1069)+SUM(D1071:D1098)*18+SUM(D1100:D1111,D1115:D1127)*4</f>
        <v>226208.387808</v>
      </c>
      <c r="F251" s="161"/>
      <c r="G251" s="159">
        <f>SUM(F1042:F1069)+SUM(F1071:F1098)*18+SUM(F1100:F1111,F1115:F1127)*4</f>
        <v>341308.81233540026</v>
      </c>
      <c r="H251" s="159"/>
    </row>
    <row r="252" spans="1:8" s="1" customFormat="1" ht="15.75" customHeight="1" x14ac:dyDescent="0.35">
      <c r="A252" s="160" t="s">
        <v>191</v>
      </c>
      <c r="B252" s="160"/>
      <c r="C252" s="159">
        <f>COUNT(D1131:D1171)+COUNT(D1173:D1213)*18+COUNT(D1215:D1222,D1224:D1235,D1237:D1242,D1244:D1251,D1253:D1255)*4</f>
        <v>927</v>
      </c>
      <c r="D252" s="159"/>
      <c r="E252" s="161">
        <f>SUM(D1131:D1171)+SUM(D1173:D1213)*18+SUM(D1215:D1222,D1224:D1235,D1237:D1242,D1244:D1251,D1253:D1255)*4</f>
        <v>332015.12791199982</v>
      </c>
      <c r="F252" s="161"/>
      <c r="G252" s="159">
        <f>SUM(F1131:F1171)+SUM(F1173:F1213)*18+SUM(F1215:F1222,F1224:F1235,F1237:F1242,F1244:F1251,F1253:F1255)*4</f>
        <v>500743.13140800048</v>
      </c>
      <c r="H252" s="159"/>
    </row>
    <row r="253" spans="1:8" s="1" customFormat="1" x14ac:dyDescent="0.35">
      <c r="A253" s="160" t="s">
        <v>192</v>
      </c>
      <c r="B253" s="160"/>
      <c r="C253" s="159">
        <f>COUNT(D1258:D1285)+COUNT(D1287:D1314)*18+COUNT(D1316:D1327,D1331:D1343)*4</f>
        <v>632</v>
      </c>
      <c r="D253" s="159"/>
      <c r="E253" s="161">
        <f>SUM(D1258:D1285)+SUM(D1287:D1314)*18+SUM(D1316:D1327,D1331:D1343)*4</f>
        <v>224035.14158999996</v>
      </c>
      <c r="F253" s="161"/>
      <c r="G253" s="159">
        <f>SUM(F1258:F1285)+SUM(F1287:F1314)*18+SUM(F1316:F1327,F1331:F1343)*4</f>
        <v>338218.37536499969</v>
      </c>
      <c r="H253" s="159"/>
    </row>
    <row r="254" spans="1:8" s="1" customFormat="1" x14ac:dyDescent="0.35">
      <c r="A254" s="160" t="s">
        <v>193</v>
      </c>
      <c r="B254" s="160"/>
      <c r="C254" s="159">
        <f>COUNT(D1346:D1381)+COUNT(D1383:D1418)*18+COUNT(D1420:D1423,D1426:D1441,D1443:D1448,D1450:D1455)*4</f>
        <v>812</v>
      </c>
      <c r="D254" s="159"/>
      <c r="E254" s="161">
        <f>SUM(D1346:D1381)+SUM(D1383:D1418)*18+SUM(D1420:D1423,D1426:D1441,D1443:D1448,D1450:D1455)*4</f>
        <v>292543.56143999979</v>
      </c>
      <c r="F254" s="161"/>
      <c r="G254" s="159">
        <f>SUM(F1346:F1381)+SUM(F1383:F1418)*18+SUM(F1420:F1423,F1426:F1441,F1443:F1448,F1450:F1455)*4</f>
        <v>441235.08935999998</v>
      </c>
      <c r="H254" s="159"/>
    </row>
    <row r="255" spans="1:8" s="1" customFormat="1" x14ac:dyDescent="0.35">
      <c r="A255" s="160" t="s">
        <v>194</v>
      </c>
      <c r="B255" s="160"/>
      <c r="C255" s="159">
        <f>COUNT(D1458:D1497)+COUNT(D1499:D1538)*18+COUNT(D1540:D1543,D1546:D1561,D1563:D1568,D1571:D1579)*4</f>
        <v>900</v>
      </c>
      <c r="D255" s="159"/>
      <c r="E255" s="161">
        <f>SUM(D1458:D1497)+SUM(D1499:D1538)*18+SUM(D1540:D1543,D1546:D1561,D1563:D1568,D1571:D1579)*4</f>
        <v>313372.54727999994</v>
      </c>
      <c r="F255" s="161"/>
      <c r="G255" s="159">
        <f>SUM(F1458:F1497)+SUM(F1499:F1538)*18+SUM(F1540:F1543,F1546:F1561,F1563:F1568,F1571:F1579)*4</f>
        <v>472568.69150399987</v>
      </c>
      <c r="H255" s="159"/>
    </row>
    <row r="256" spans="1:8" s="1" customFormat="1" x14ac:dyDescent="0.35">
      <c r="A256" s="162" t="s">
        <v>165</v>
      </c>
      <c r="B256" s="162"/>
      <c r="C256" s="163">
        <f>SUM(C246:C255)</f>
        <v>7423</v>
      </c>
      <c r="D256" s="164"/>
      <c r="E256" s="189">
        <f>SUM(E246:E255)</f>
        <v>2647512.7726319991</v>
      </c>
      <c r="F256" s="190"/>
      <c r="G256" s="167">
        <f>SUM(G246:G255)</f>
        <v>3994232.6212308011</v>
      </c>
      <c r="H256" s="167"/>
    </row>
    <row r="257" spans="1:14" s="1" customFormat="1" x14ac:dyDescent="0.35">
      <c r="A257" s="162" t="s">
        <v>231</v>
      </c>
      <c r="B257" s="162"/>
      <c r="C257" s="163">
        <f>C243+C256</f>
        <v>7552</v>
      </c>
      <c r="D257" s="164"/>
      <c r="E257" s="165">
        <f>E243+E256</f>
        <v>2673887.331445199</v>
      </c>
      <c r="F257" s="166"/>
      <c r="G257" s="167">
        <f>G243+G256</f>
        <v>4043650.2709543211</v>
      </c>
      <c r="H257" s="167"/>
    </row>
    <row r="258" spans="1:14" s="4" customFormat="1" x14ac:dyDescent="0.35">
      <c r="A258" s="177" t="s">
        <v>58</v>
      </c>
      <c r="B258" s="177"/>
      <c r="C258" s="177"/>
      <c r="D258" s="177"/>
      <c r="E258" s="177"/>
      <c r="F258" s="177"/>
      <c r="G258" s="177"/>
      <c r="H258" s="177"/>
    </row>
    <row r="259" spans="1:14" x14ac:dyDescent="0.35">
      <c r="A259" s="177" t="s">
        <v>59</v>
      </c>
      <c r="B259" s="177"/>
      <c r="C259" s="177"/>
      <c r="D259" s="177"/>
      <c r="E259" s="177"/>
      <c r="F259" s="177"/>
      <c r="G259" s="177"/>
      <c r="H259" s="177"/>
    </row>
    <row r="260" spans="1:14" ht="47.25" customHeight="1" x14ac:dyDescent="0.35">
      <c r="A260" s="218" t="s">
        <v>131</v>
      </c>
      <c r="B260" s="218" t="s">
        <v>130</v>
      </c>
      <c r="C260" s="218" t="s">
        <v>60</v>
      </c>
      <c r="D260" s="218" t="s">
        <v>61</v>
      </c>
      <c r="E260" s="252" t="s">
        <v>170</v>
      </c>
      <c r="F260" s="135" t="s">
        <v>164</v>
      </c>
      <c r="G260" s="218" t="s">
        <v>63</v>
      </c>
      <c r="H260" s="218"/>
    </row>
    <row r="261" spans="1:14" s="2" customFormat="1" x14ac:dyDescent="0.35">
      <c r="A261" s="218"/>
      <c r="B261" s="218"/>
      <c r="C261" s="218"/>
      <c r="D261" s="218"/>
      <c r="E261" s="252"/>
      <c r="F261" s="131">
        <v>0.6</v>
      </c>
      <c r="G261" s="218"/>
      <c r="H261" s="218"/>
    </row>
    <row r="262" spans="1:14" hidden="1" x14ac:dyDescent="0.35">
      <c r="A262" s="177" t="s">
        <v>166</v>
      </c>
      <c r="B262" s="177"/>
      <c r="C262" s="177"/>
      <c r="D262" s="177"/>
      <c r="E262" s="177"/>
      <c r="F262" s="177"/>
      <c r="G262" s="177"/>
      <c r="H262" s="177"/>
    </row>
    <row r="263" spans="1:14" s="2" customFormat="1" hidden="1" x14ac:dyDescent="0.35">
      <c r="A263" s="183" t="s">
        <v>168</v>
      </c>
      <c r="B263" s="183"/>
      <c r="C263" s="183"/>
      <c r="D263" s="183"/>
      <c r="E263" s="183"/>
      <c r="F263" s="183"/>
      <c r="G263" s="183"/>
      <c r="H263" s="183"/>
      <c r="J263" s="38"/>
    </row>
    <row r="264" spans="1:14" s="2" customFormat="1" hidden="1" x14ac:dyDescent="0.35">
      <c r="A264" s="174">
        <v>1</v>
      </c>
      <c r="B264" s="174"/>
      <c r="C264" s="134" t="s">
        <v>167</v>
      </c>
      <c r="D264" s="134">
        <f>(6.43*2.7+1.2*2.7)*10.764</f>
        <v>221.74916399999998</v>
      </c>
      <c r="E264" s="134">
        <f>(2.4*0.9+1.5*0.9)*10.764</f>
        <v>37.781640000000003</v>
      </c>
      <c r="F264" s="134">
        <f>D264*(($F$261)+1)+(IF(E264&lt;101,E264,IF(E264&lt;201,E264/2,IF(E264&lt;=301,E264/3,E264/4))))</f>
        <v>392.58030239999999</v>
      </c>
      <c r="G264" s="174" t="str">
        <f>A263</f>
        <v>Ground Floor for Commercial &amp; Parking</v>
      </c>
      <c r="H264" s="174"/>
      <c r="I264" s="38"/>
      <c r="L264" s="182"/>
      <c r="M264" s="182"/>
      <c r="N264" s="38"/>
    </row>
    <row r="265" spans="1:14" s="2" customFormat="1" hidden="1" x14ac:dyDescent="0.35">
      <c r="A265" s="174">
        <f t="shared" ref="A265:A272" si="0">A264+1</f>
        <v>2</v>
      </c>
      <c r="B265" s="174"/>
      <c r="C265" s="134" t="s">
        <v>167</v>
      </c>
      <c r="D265" s="134">
        <f>(6.43*2.52+1.2*2.52)*10.764</f>
        <v>206.96588639999999</v>
      </c>
      <c r="E265" s="134">
        <f>(2.5*2.52-1.1*0.9)*10.764</f>
        <v>57.156839999999995</v>
      </c>
      <c r="F265" s="134">
        <f t="shared" ref="F265:F270" si="1">D265*(($F$261)+1)+(IF(E265&lt;101,E265,IF(E265&lt;201,E265/2,IF(E265&lt;=301,E265/3,E265/4))))</f>
        <v>388.30225824000001</v>
      </c>
      <c r="G265" s="174" t="str">
        <f t="shared" ref="G265:G272" si="2">G264</f>
        <v>Ground Floor for Commercial &amp; Parking</v>
      </c>
      <c r="H265" s="174"/>
      <c r="I265" s="38"/>
      <c r="L265" s="182"/>
      <c r="M265" s="182"/>
      <c r="N265" s="38"/>
    </row>
    <row r="266" spans="1:14" s="2" customFormat="1" hidden="1" x14ac:dyDescent="0.35">
      <c r="A266" s="174">
        <f t="shared" si="0"/>
        <v>3</v>
      </c>
      <c r="B266" s="174"/>
      <c r="C266" s="134" t="s">
        <v>167</v>
      </c>
      <c r="D266" s="134">
        <f>(6.43*2.7+1.2*2.7)*10.764</f>
        <v>221.74916399999998</v>
      </c>
      <c r="E266" s="134">
        <f>(2.5*2.7-1*0.9-0.9*0.9)*10.764</f>
        <v>54.250559999999986</v>
      </c>
      <c r="F266" s="134">
        <f t="shared" si="1"/>
        <v>409.04922240000002</v>
      </c>
      <c r="G266" s="174" t="str">
        <f t="shared" si="2"/>
        <v>Ground Floor for Commercial &amp; Parking</v>
      </c>
      <c r="H266" s="174"/>
      <c r="I266" s="38"/>
      <c r="L266" s="182"/>
      <c r="M266" s="182"/>
      <c r="N266" s="38"/>
    </row>
    <row r="267" spans="1:14" s="2" customFormat="1" hidden="1" x14ac:dyDescent="0.35">
      <c r="A267" s="174">
        <f t="shared" si="0"/>
        <v>4</v>
      </c>
      <c r="B267" s="174"/>
      <c r="C267" s="134" t="s">
        <v>167</v>
      </c>
      <c r="D267" s="134">
        <f>(6.43*3.52+1.2*3.52)*10.764</f>
        <v>289.09520639999994</v>
      </c>
      <c r="E267" s="134">
        <f>(3.52*2.5-1.6-0.9)*10.764</f>
        <v>67.813200000000009</v>
      </c>
      <c r="F267" s="134">
        <f t="shared" si="1"/>
        <v>530.36553024</v>
      </c>
      <c r="G267" s="174" t="str">
        <f t="shared" si="2"/>
        <v>Ground Floor for Commercial &amp; Parking</v>
      </c>
      <c r="H267" s="174"/>
      <c r="I267" s="38"/>
      <c r="L267" s="182"/>
      <c r="M267" s="182"/>
      <c r="N267" s="38"/>
    </row>
    <row r="268" spans="1:14" s="2" customFormat="1" hidden="1" x14ac:dyDescent="0.35">
      <c r="A268" s="174">
        <f t="shared" si="0"/>
        <v>5</v>
      </c>
      <c r="B268" s="174"/>
      <c r="C268" s="134" t="s">
        <v>167</v>
      </c>
      <c r="D268" s="134">
        <f>(6.43*2.52+1.2*2.52)*10.764</f>
        <v>206.96588639999999</v>
      </c>
      <c r="E268" s="134">
        <f>(2.5*2.7-0.9*1.1-0.9-0.9)*10.764</f>
        <v>42.62543999999999</v>
      </c>
      <c r="F268" s="134">
        <f t="shared" si="1"/>
        <v>373.77085824</v>
      </c>
      <c r="G268" s="174" t="str">
        <f t="shared" si="2"/>
        <v>Ground Floor for Commercial &amp; Parking</v>
      </c>
      <c r="H268" s="174"/>
      <c r="I268" s="38"/>
      <c r="L268" s="182"/>
      <c r="M268" s="182"/>
      <c r="N268" s="38"/>
    </row>
    <row r="269" spans="1:14" s="2" customFormat="1" hidden="1" x14ac:dyDescent="0.35">
      <c r="A269" s="174">
        <f t="shared" si="0"/>
        <v>6</v>
      </c>
      <c r="B269" s="174"/>
      <c r="C269" s="134" t="s">
        <v>167</v>
      </c>
      <c r="D269" s="134">
        <f>(6.43*2.52+1.2*2.52)*10.764</f>
        <v>206.96588639999999</v>
      </c>
      <c r="E269" s="134">
        <f>(2.5*2.52-0.9*1.1)*10.764</f>
        <v>57.156839999999995</v>
      </c>
      <c r="F269" s="134">
        <f>D269*(($F$261)+1)+(IF(E269&lt;101,E269,IF(E269&lt;201,E269/2,IF(E269&lt;=301,E269/3,E269/4))))</f>
        <v>388.30225824000001</v>
      </c>
      <c r="G269" s="174" t="str">
        <f t="shared" si="2"/>
        <v>Ground Floor for Commercial &amp; Parking</v>
      </c>
      <c r="H269" s="174"/>
      <c r="I269" s="38"/>
      <c r="L269" s="182"/>
      <c r="M269" s="182"/>
      <c r="N269" s="38"/>
    </row>
    <row r="270" spans="1:14" s="2" customFormat="1" hidden="1" x14ac:dyDescent="0.35">
      <c r="A270" s="174">
        <f t="shared" si="0"/>
        <v>7</v>
      </c>
      <c r="B270" s="174"/>
      <c r="C270" s="134" t="s">
        <v>167</v>
      </c>
      <c r="D270" s="134">
        <f>(6.43*2.7+1.2*2.7)*10.764</f>
        <v>221.74916399999998</v>
      </c>
      <c r="E270" s="134">
        <f>(2.5*2.7-0.9*1.1-0.9*1.8)*10.764</f>
        <v>44.562959999999997</v>
      </c>
      <c r="F270" s="134">
        <f t="shared" si="1"/>
        <v>399.36162239999999</v>
      </c>
      <c r="G270" s="174" t="str">
        <f t="shared" si="2"/>
        <v>Ground Floor for Commercial &amp; Parking</v>
      </c>
      <c r="H270" s="174"/>
      <c r="I270" s="38"/>
      <c r="L270" s="182"/>
      <c r="M270" s="182"/>
      <c r="N270" s="38"/>
    </row>
    <row r="271" spans="1:14" s="91" customFormat="1" hidden="1" x14ac:dyDescent="0.35">
      <c r="A271" s="174">
        <f t="shared" si="0"/>
        <v>8</v>
      </c>
      <c r="B271" s="174"/>
      <c r="C271" s="134" t="s">
        <v>167</v>
      </c>
      <c r="D271" s="134">
        <f>(6.43*3.52+1.2*3.52)*10.764</f>
        <v>289.09520639999994</v>
      </c>
      <c r="E271" s="134">
        <f>(2.5*3.52-0.9*1.5)*10.764</f>
        <v>80.191800000000001</v>
      </c>
      <c r="F271" s="134">
        <f t="shared" ref="F271:F272" si="3">D271*(($F$261)+1)+(IF(E271&lt;101,E271,IF(E271&lt;201,E271/2,IF(E271&lt;=301,E271/3,E271/4))))</f>
        <v>542.74413024</v>
      </c>
      <c r="G271" s="174" t="str">
        <f t="shared" si="2"/>
        <v>Ground Floor for Commercial &amp; Parking</v>
      </c>
      <c r="H271" s="174"/>
      <c r="I271" s="38"/>
      <c r="L271" s="182"/>
      <c r="M271" s="182"/>
      <c r="N271" s="38"/>
    </row>
    <row r="272" spans="1:14" s="91" customFormat="1" hidden="1" x14ac:dyDescent="0.35">
      <c r="A272" s="174">
        <f t="shared" si="0"/>
        <v>9</v>
      </c>
      <c r="B272" s="174"/>
      <c r="C272" s="134" t="s">
        <v>167</v>
      </c>
      <c r="D272" s="134">
        <f>(5.51*2.7+1.69*2.2+1.2*2.7)*10.764</f>
        <v>235.03193999999999</v>
      </c>
      <c r="E272" s="134">
        <f>(1.69*2.2+2.7*2.5-1*1.8-1*1)*10.764</f>
        <v>82.538351999999989</v>
      </c>
      <c r="F272" s="134">
        <f t="shared" si="3"/>
        <v>458.58945599999998</v>
      </c>
      <c r="G272" s="174" t="str">
        <f t="shared" si="2"/>
        <v>Ground Floor for Commercial &amp; Parking</v>
      </c>
      <c r="H272" s="174"/>
      <c r="I272" s="38"/>
      <c r="L272" s="182"/>
      <c r="M272" s="182"/>
      <c r="N272" s="38"/>
    </row>
    <row r="273" spans="1:14" x14ac:dyDescent="0.35">
      <c r="A273" s="184" t="s">
        <v>211</v>
      </c>
      <c r="B273" s="184"/>
      <c r="C273" s="184"/>
      <c r="D273" s="184"/>
      <c r="E273" s="184"/>
      <c r="F273" s="184"/>
      <c r="G273" s="184"/>
      <c r="H273" s="184"/>
    </row>
    <row r="274" spans="1:14" x14ac:dyDescent="0.35">
      <c r="A274" s="177" t="s">
        <v>223</v>
      </c>
      <c r="B274" s="177"/>
      <c r="C274" s="177"/>
      <c r="D274" s="177"/>
      <c r="E274" s="177"/>
      <c r="F274" s="177"/>
      <c r="G274" s="177"/>
      <c r="H274" s="177"/>
    </row>
    <row r="275" spans="1:14" x14ac:dyDescent="0.35">
      <c r="A275" s="177" t="s">
        <v>205</v>
      </c>
      <c r="B275" s="177"/>
      <c r="C275" s="177"/>
      <c r="D275" s="177"/>
      <c r="E275" s="177"/>
      <c r="F275" s="177"/>
      <c r="G275" s="177"/>
      <c r="H275" s="177"/>
    </row>
    <row r="276" spans="1:14" s="107" customFormat="1" ht="15.75" customHeight="1" x14ac:dyDescent="0.35">
      <c r="A276" s="175">
        <v>1</v>
      </c>
      <c r="B276" s="176"/>
      <c r="C276" s="106" t="s">
        <v>167</v>
      </c>
      <c r="D276" s="106">
        <f>(2.7*6.43-1*0.8)*10.764</f>
        <v>178.26260399999998</v>
      </c>
      <c r="E276" s="106">
        <f>(2.7*2.5-1*0.8)*10.764</f>
        <v>64.0458</v>
      </c>
      <c r="F276" s="106">
        <f>D276*(($F$261)+1)+(IF(E276&lt;101,E276,IF(E276&lt;201,E276/2,IF(E276&lt;=301,E276/3,E276/4))))</f>
        <v>349.26596639999997</v>
      </c>
      <c r="G276" s="168" t="str">
        <f>A275</f>
        <v>Ground Floor for Entrance Lobby, Meter Room, Society Office, Commercial &amp; Parking</v>
      </c>
      <c r="H276" s="169"/>
      <c r="I276" s="38"/>
      <c r="L276" s="182"/>
      <c r="M276" s="182"/>
      <c r="N276" s="38"/>
    </row>
    <row r="277" spans="1:14" s="107" customFormat="1" ht="15.75" customHeight="1" x14ac:dyDescent="0.35">
      <c r="A277" s="175">
        <f t="shared" ref="A277:A293" si="4">A276+1</f>
        <v>2</v>
      </c>
      <c r="B277" s="176"/>
      <c r="C277" s="106" t="s">
        <v>167</v>
      </c>
      <c r="D277" s="106">
        <f>(3.52*6.43-1.5*1.2)*10.764</f>
        <v>224.25287039999995</v>
      </c>
      <c r="E277" s="106">
        <f>(3.52*2.5-1.5*1.2)*10.764</f>
        <v>75.347999999999999</v>
      </c>
      <c r="F277" s="106">
        <f t="shared" ref="F277:F280" si="5">D277*(($F$261)+1)+(IF(E277&lt;101,E277,IF(E277&lt;201,E277/2,IF(E277&lt;=301,E277/3,E277/4))))</f>
        <v>434.15259263999997</v>
      </c>
      <c r="G277" s="170"/>
      <c r="H277" s="171"/>
      <c r="I277" s="38"/>
      <c r="L277" s="182"/>
      <c r="M277" s="182"/>
      <c r="N277" s="38"/>
    </row>
    <row r="278" spans="1:14" s="107" customFormat="1" ht="15.75" customHeight="1" x14ac:dyDescent="0.35">
      <c r="A278" s="175">
        <f t="shared" si="4"/>
        <v>3</v>
      </c>
      <c r="B278" s="176"/>
      <c r="C278" s="106" t="s">
        <v>167</v>
      </c>
      <c r="D278" s="106">
        <f>(2.7*6.43-0.9*1.4)*10.764</f>
        <v>173.31116399999999</v>
      </c>
      <c r="E278" s="106">
        <f>(2.7*2.5-0.9*1.4)*10.764</f>
        <v>59.094360000000002</v>
      </c>
      <c r="F278" s="106">
        <f t="shared" si="5"/>
        <v>336.39222239999998</v>
      </c>
      <c r="G278" s="170"/>
      <c r="H278" s="171"/>
      <c r="I278" s="38"/>
      <c r="L278" s="182"/>
      <c r="M278" s="182"/>
      <c r="N278" s="38"/>
    </row>
    <row r="279" spans="1:14" s="107" customFormat="1" ht="15.75" customHeight="1" x14ac:dyDescent="0.35">
      <c r="A279" s="175">
        <f t="shared" si="4"/>
        <v>4</v>
      </c>
      <c r="B279" s="176"/>
      <c r="C279" s="106" t="s">
        <v>167</v>
      </c>
      <c r="D279" s="106">
        <f>(2.52*6.43-1.5*1.4)*10.764</f>
        <v>151.81115039999997</v>
      </c>
      <c r="E279" s="106">
        <f>(2.52*2.5-1.5*1.4)*10.764</f>
        <v>45.208799999999997</v>
      </c>
      <c r="F279" s="106">
        <f t="shared" si="5"/>
        <v>288.10664063999997</v>
      </c>
      <c r="G279" s="170"/>
      <c r="H279" s="171"/>
      <c r="I279" s="38"/>
      <c r="L279" s="182"/>
      <c r="M279" s="182"/>
      <c r="N279" s="38"/>
    </row>
    <row r="280" spans="1:14" s="107" customFormat="1" ht="15.75" customHeight="1" x14ac:dyDescent="0.35">
      <c r="A280" s="175">
        <f t="shared" si="4"/>
        <v>5</v>
      </c>
      <c r="B280" s="176"/>
      <c r="C280" s="106" t="s">
        <v>167</v>
      </c>
      <c r="D280" s="106">
        <f>(2.7*6.43-0.9*1.4)*10.764</f>
        <v>173.31116399999999</v>
      </c>
      <c r="E280" s="106">
        <f>(2.7*2.5-0.9*1.4)*10.764</f>
        <v>59.094360000000002</v>
      </c>
      <c r="F280" s="106">
        <f t="shared" si="5"/>
        <v>336.39222239999998</v>
      </c>
      <c r="G280" s="170"/>
      <c r="H280" s="171"/>
      <c r="I280" s="38"/>
      <c r="L280" s="182"/>
      <c r="M280" s="182"/>
      <c r="N280" s="38"/>
    </row>
    <row r="281" spans="1:14" s="107" customFormat="1" ht="15.75" customHeight="1" x14ac:dyDescent="0.35">
      <c r="A281" s="175">
        <f t="shared" si="4"/>
        <v>6</v>
      </c>
      <c r="B281" s="176"/>
      <c r="C281" s="106" t="s">
        <v>167</v>
      </c>
      <c r="D281" s="106">
        <f>(3.52*6.43)*10.764</f>
        <v>243.62807039999996</v>
      </c>
      <c r="E281" s="106">
        <f>(3.52*2.5)*10.764</f>
        <v>94.723200000000006</v>
      </c>
      <c r="F281" s="106">
        <f>D281*(($F$261)+1)+(IF(E281&lt;101,E281,IF(E281&lt;201,E281/2,IF(E281&lt;=301,E281/3,E281/4))))</f>
        <v>484.52811263999996</v>
      </c>
      <c r="G281" s="170"/>
      <c r="H281" s="171"/>
      <c r="I281" s="38"/>
      <c r="L281" s="182"/>
      <c r="M281" s="182"/>
      <c r="N281" s="38"/>
    </row>
    <row r="282" spans="1:14" s="107" customFormat="1" ht="15.75" customHeight="1" x14ac:dyDescent="0.35">
      <c r="A282" s="175">
        <f t="shared" si="4"/>
        <v>7</v>
      </c>
      <c r="B282" s="176"/>
      <c r="C282" s="106" t="s">
        <v>167</v>
      </c>
      <c r="D282" s="106">
        <f>(2.7*6.43-1.4*1.4)*10.764</f>
        <v>165.776364</v>
      </c>
      <c r="E282" s="106">
        <f>(2.7*2.5-1.4*1.4)*10.764</f>
        <v>51.559559999999998</v>
      </c>
      <c r="F282" s="106">
        <f t="shared" ref="F282:F288" si="6">D282*(($F$261)+1)+(IF(E282&lt;101,E282,IF(E282&lt;201,E282/2,IF(E282&lt;=301,E282/3,E282/4))))</f>
        <v>316.80174239999997</v>
      </c>
      <c r="G282" s="170"/>
      <c r="H282" s="171"/>
      <c r="I282" s="38"/>
      <c r="L282" s="182"/>
      <c r="M282" s="182"/>
      <c r="N282" s="38"/>
    </row>
    <row r="283" spans="1:14" s="107" customFormat="1" ht="15.75" customHeight="1" x14ac:dyDescent="0.35">
      <c r="A283" s="175">
        <f t="shared" si="4"/>
        <v>8</v>
      </c>
      <c r="B283" s="176"/>
      <c r="C283" s="106" t="s">
        <v>167</v>
      </c>
      <c r="D283" s="106">
        <f>(2.52*6.43)*10.764</f>
        <v>174.41555039999997</v>
      </c>
      <c r="E283" s="106">
        <f>(2.52*2.5)*10.764</f>
        <v>67.813199999999995</v>
      </c>
      <c r="F283" s="106">
        <f t="shared" si="6"/>
        <v>346.87808063999995</v>
      </c>
      <c r="G283" s="170"/>
      <c r="H283" s="171"/>
      <c r="I283" s="38"/>
      <c r="L283" s="182"/>
      <c r="M283" s="182"/>
      <c r="N283" s="38"/>
    </row>
    <row r="284" spans="1:14" s="107" customFormat="1" ht="15.75" customHeight="1" x14ac:dyDescent="0.35">
      <c r="A284" s="175">
        <f t="shared" si="4"/>
        <v>9</v>
      </c>
      <c r="B284" s="176"/>
      <c r="C284" s="106" t="s">
        <v>167</v>
      </c>
      <c r="D284" s="106">
        <f>(2.7*6.43-1.5*1.4)*10.764</f>
        <v>164.26940400000001</v>
      </c>
      <c r="E284" s="106">
        <f>(2.7*2.5-1.5*1.4)*10.764</f>
        <v>50.052599999999998</v>
      </c>
      <c r="F284" s="106">
        <f t="shared" si="6"/>
        <v>312.88364640000003</v>
      </c>
      <c r="G284" s="170"/>
      <c r="H284" s="171"/>
      <c r="I284" s="38"/>
      <c r="L284" s="182"/>
      <c r="M284" s="182"/>
      <c r="N284" s="38"/>
    </row>
    <row r="285" spans="1:14" s="107" customFormat="1" ht="15.75" customHeight="1" x14ac:dyDescent="0.35">
      <c r="A285" s="175">
        <f t="shared" si="4"/>
        <v>10</v>
      </c>
      <c r="B285" s="176"/>
      <c r="C285" s="106" t="s">
        <v>167</v>
      </c>
      <c r="D285" s="106">
        <f>(2.7*6.43-0.9*1.4)*10.764</f>
        <v>173.31116399999999</v>
      </c>
      <c r="E285" s="106">
        <f>(2.7*2.5-0.9*1.4)*10.764</f>
        <v>59.094360000000002</v>
      </c>
      <c r="F285" s="106">
        <f t="shared" si="6"/>
        <v>336.39222239999998</v>
      </c>
      <c r="G285" s="170"/>
      <c r="H285" s="171"/>
      <c r="I285" s="38"/>
      <c r="L285" s="182"/>
      <c r="M285" s="182"/>
      <c r="N285" s="38"/>
    </row>
    <row r="286" spans="1:14" s="107" customFormat="1" ht="15.75" customHeight="1" x14ac:dyDescent="0.35">
      <c r="A286" s="175">
        <f t="shared" si="4"/>
        <v>11</v>
      </c>
      <c r="B286" s="176"/>
      <c r="C286" s="106" t="s">
        <v>167</v>
      </c>
      <c r="D286" s="106">
        <f>(2.52*6.43)*10.764</f>
        <v>174.41555039999997</v>
      </c>
      <c r="E286" s="106">
        <f>(2.52*2.5)*10.764</f>
        <v>67.813199999999995</v>
      </c>
      <c r="F286" s="106">
        <f t="shared" si="6"/>
        <v>346.87808063999995</v>
      </c>
      <c r="G286" s="170"/>
      <c r="H286" s="171"/>
      <c r="I286" s="38"/>
      <c r="L286" s="182"/>
      <c r="M286" s="182"/>
      <c r="N286" s="38"/>
    </row>
    <row r="287" spans="1:14" s="107" customFormat="1" ht="15.75" customHeight="1" x14ac:dyDescent="0.35">
      <c r="A287" s="175">
        <f t="shared" si="4"/>
        <v>12</v>
      </c>
      <c r="B287" s="176"/>
      <c r="C287" s="106" t="s">
        <v>167</v>
      </c>
      <c r="D287" s="106">
        <f>(2.7*6.43-1.5*1.4)*10.764</f>
        <v>164.26940400000001</v>
      </c>
      <c r="E287" s="106">
        <f>(2.7*2.5-1.5*1.4)*10.764</f>
        <v>50.052599999999998</v>
      </c>
      <c r="F287" s="106">
        <f t="shared" si="6"/>
        <v>312.88364640000003</v>
      </c>
      <c r="G287" s="170"/>
      <c r="H287" s="171"/>
      <c r="I287" s="38"/>
      <c r="L287" s="182"/>
      <c r="M287" s="182"/>
      <c r="N287" s="38"/>
    </row>
    <row r="288" spans="1:14" s="107" customFormat="1" ht="15.75" customHeight="1" x14ac:dyDescent="0.35">
      <c r="A288" s="175">
        <f t="shared" si="4"/>
        <v>13</v>
      </c>
      <c r="B288" s="176"/>
      <c r="C288" s="106" t="s">
        <v>167</v>
      </c>
      <c r="D288" s="106">
        <f>(3.52*6.43)*10.764</f>
        <v>243.62807039999996</v>
      </c>
      <c r="E288" s="106">
        <f>(3.52*2.5)*10.764</f>
        <v>94.723200000000006</v>
      </c>
      <c r="F288" s="106">
        <f t="shared" si="6"/>
        <v>484.52811263999996</v>
      </c>
      <c r="G288" s="170"/>
      <c r="H288" s="171"/>
      <c r="I288" s="38"/>
      <c r="L288" s="182"/>
      <c r="M288" s="182"/>
      <c r="N288" s="38"/>
    </row>
    <row r="289" spans="1:14" s="107" customFormat="1" ht="15.75" customHeight="1" x14ac:dyDescent="0.35">
      <c r="A289" s="175">
        <f t="shared" si="4"/>
        <v>14</v>
      </c>
      <c r="B289" s="176"/>
      <c r="C289" s="106" t="s">
        <v>167</v>
      </c>
      <c r="D289" s="106">
        <f>(2.7*6.43-1.5*1.4)*10.764</f>
        <v>164.26940400000001</v>
      </c>
      <c r="E289" s="106">
        <f>(2.7*2.5-1.5*1.4)*10.764</f>
        <v>50.052599999999998</v>
      </c>
      <c r="F289" s="106">
        <f>D289*(($F$261)+1)+(IF(E289&lt;101,E289,IF(E289&lt;201,E289/2,IF(E289&lt;=301,E289/3,E289/4))))</f>
        <v>312.88364640000003</v>
      </c>
      <c r="G289" s="170"/>
      <c r="H289" s="171"/>
      <c r="I289" s="38"/>
      <c r="L289" s="182"/>
      <c r="M289" s="182"/>
      <c r="N289" s="38"/>
    </row>
    <row r="290" spans="1:14" s="107" customFormat="1" ht="15.75" customHeight="1" x14ac:dyDescent="0.35">
      <c r="A290" s="175">
        <f t="shared" si="4"/>
        <v>15</v>
      </c>
      <c r="B290" s="176"/>
      <c r="C290" s="106" t="s">
        <v>167</v>
      </c>
      <c r="D290" s="106">
        <f>(2.52*6.43)*10.764</f>
        <v>174.41555039999997</v>
      </c>
      <c r="E290" s="106">
        <f>(2.52*2.7)*10.764</f>
        <v>73.238255999999993</v>
      </c>
      <c r="F290" s="106">
        <f t="shared" ref="F290:F293" si="7">D290*(($F$261)+1)+(IF(E290&lt;101,E290,IF(E290&lt;201,E290/2,IF(E290&lt;=301,E290/3,E290/4))))</f>
        <v>352.30313663999993</v>
      </c>
      <c r="G290" s="170"/>
      <c r="H290" s="171"/>
      <c r="I290" s="38"/>
      <c r="L290" s="182"/>
      <c r="M290" s="182"/>
      <c r="N290" s="38"/>
    </row>
    <row r="291" spans="1:14" s="107" customFormat="1" ht="15.75" customHeight="1" x14ac:dyDescent="0.35">
      <c r="A291" s="175">
        <f t="shared" si="4"/>
        <v>16</v>
      </c>
      <c r="B291" s="176"/>
      <c r="C291" s="106" t="s">
        <v>167</v>
      </c>
      <c r="D291" s="106">
        <f>(2.7*6.43-0.9*1.4)*10.764</f>
        <v>173.31116399999999</v>
      </c>
      <c r="E291" s="106">
        <f>(2.7*2.5-0.9*1.4)*10.764</f>
        <v>59.094360000000002</v>
      </c>
      <c r="F291" s="106">
        <f t="shared" si="7"/>
        <v>336.39222239999998</v>
      </c>
      <c r="G291" s="170"/>
      <c r="H291" s="171"/>
      <c r="I291" s="38"/>
      <c r="L291" s="182"/>
      <c r="M291" s="182"/>
      <c r="N291" s="38"/>
    </row>
    <row r="292" spans="1:14" s="107" customFormat="1" ht="15.75" customHeight="1" x14ac:dyDescent="0.35">
      <c r="A292" s="175">
        <f t="shared" si="4"/>
        <v>17</v>
      </c>
      <c r="B292" s="176"/>
      <c r="C292" s="106" t="s">
        <v>167</v>
      </c>
      <c r="D292" s="106">
        <f>(3.52*6.43)*10.764</f>
        <v>243.62807039999996</v>
      </c>
      <c r="E292" s="106">
        <f>(3.52*2.5)*10.764</f>
        <v>94.723200000000006</v>
      </c>
      <c r="F292" s="106">
        <f t="shared" si="7"/>
        <v>484.52811263999996</v>
      </c>
      <c r="G292" s="170"/>
      <c r="H292" s="171"/>
      <c r="I292" s="38"/>
      <c r="L292" s="182"/>
      <c r="M292" s="182"/>
      <c r="N292" s="38"/>
    </row>
    <row r="293" spans="1:14" s="107" customFormat="1" ht="15.75" customHeight="1" x14ac:dyDescent="0.35">
      <c r="A293" s="175">
        <f t="shared" si="4"/>
        <v>18</v>
      </c>
      <c r="B293" s="176"/>
      <c r="C293" s="106" t="s">
        <v>167</v>
      </c>
      <c r="D293" s="106">
        <f>(2.7*6.43-1.5*1.4)*10.764</f>
        <v>164.26940400000001</v>
      </c>
      <c r="E293" s="106">
        <f>(2.7*2.5-1.5*1.4)*10.764</f>
        <v>50.052599999999998</v>
      </c>
      <c r="F293" s="106">
        <f t="shared" si="7"/>
        <v>312.88364640000003</v>
      </c>
      <c r="G293" s="172"/>
      <c r="H293" s="173"/>
      <c r="I293" s="38"/>
      <c r="L293" s="182"/>
      <c r="M293" s="182"/>
      <c r="N293" s="38"/>
    </row>
    <row r="294" spans="1:14" x14ac:dyDescent="0.35">
      <c r="A294" s="177" t="s">
        <v>206</v>
      </c>
      <c r="B294" s="177"/>
      <c r="C294" s="177"/>
      <c r="D294" s="177"/>
      <c r="E294" s="177"/>
      <c r="F294" s="177"/>
      <c r="G294" s="177"/>
      <c r="H294" s="177"/>
    </row>
    <row r="295" spans="1:14" x14ac:dyDescent="0.35">
      <c r="A295" s="177" t="s">
        <v>205</v>
      </c>
      <c r="B295" s="177"/>
      <c r="C295" s="177"/>
      <c r="D295" s="177"/>
      <c r="E295" s="177"/>
      <c r="F295" s="177"/>
      <c r="G295" s="177"/>
      <c r="H295" s="177"/>
    </row>
    <row r="296" spans="1:14" s="94" customFormat="1" ht="15.75" customHeight="1" x14ac:dyDescent="0.35">
      <c r="A296" s="174">
        <v>1</v>
      </c>
      <c r="B296" s="174"/>
      <c r="C296" s="127" t="s">
        <v>167</v>
      </c>
      <c r="D296" s="127">
        <f>(2.7*6.51-0.9*0.75)*10.764</f>
        <v>181.93312800000001</v>
      </c>
      <c r="E296" s="127">
        <f>(2.7*2.5-0.9*0.9)*10.764</f>
        <v>63.938159999999989</v>
      </c>
      <c r="F296" s="127">
        <f>D296*(($F$261)+1)+(IF(E296&lt;101,E296,IF(E296&lt;201,E296/2,IF(E296&lt;=301,E296/3,E296/4))))</f>
        <v>355.0311648</v>
      </c>
      <c r="G296" s="174" t="str">
        <f>A295</f>
        <v>Ground Floor for Entrance Lobby, Meter Room, Society Office, Commercial &amp; Parking</v>
      </c>
      <c r="H296" s="174"/>
      <c r="I296" s="38"/>
      <c r="L296" s="182"/>
      <c r="M296" s="182"/>
      <c r="N296" s="38"/>
    </row>
    <row r="297" spans="1:14" s="94" customFormat="1" ht="15.75" customHeight="1" x14ac:dyDescent="0.35">
      <c r="A297" s="174">
        <f t="shared" ref="A297:A320" si="8">A296+1</f>
        <v>2</v>
      </c>
      <c r="B297" s="174"/>
      <c r="C297" s="127" t="s">
        <v>167</v>
      </c>
      <c r="D297" s="127">
        <f>(3.52*6.43-1.5*1.4)*10.764</f>
        <v>221.02367039999999</v>
      </c>
      <c r="E297" s="127">
        <f>(3.52*2.5-1.5*1.4)*10.764</f>
        <v>72.118800000000007</v>
      </c>
      <c r="F297" s="127">
        <f t="shared" ref="F297:F300" si="9">D297*(($F$261)+1)+(IF(E297&lt;101,E297,IF(E297&lt;201,E297/2,IF(E297&lt;=301,E297/3,E297/4))))</f>
        <v>425.75667264000003</v>
      </c>
      <c r="G297" s="174"/>
      <c r="H297" s="174"/>
      <c r="I297" s="38"/>
      <c r="L297" s="182"/>
      <c r="M297" s="182"/>
      <c r="N297" s="38"/>
    </row>
    <row r="298" spans="1:14" s="94" customFormat="1" ht="15.75" customHeight="1" x14ac:dyDescent="0.35">
      <c r="A298" s="174">
        <f t="shared" si="8"/>
        <v>3</v>
      </c>
      <c r="B298" s="174"/>
      <c r="C298" s="127" t="s">
        <v>167</v>
      </c>
      <c r="D298" s="127">
        <f>(2.7*6.43-0.9*1.4)*10.764</f>
        <v>173.31116399999999</v>
      </c>
      <c r="E298" s="127">
        <f>(2.7*2.5-0.9*1.4)*10.764</f>
        <v>59.094360000000002</v>
      </c>
      <c r="F298" s="127">
        <f t="shared" si="9"/>
        <v>336.39222239999998</v>
      </c>
      <c r="G298" s="174"/>
      <c r="H298" s="174"/>
      <c r="I298" s="38"/>
      <c r="L298" s="182"/>
      <c r="M298" s="182"/>
      <c r="N298" s="38"/>
    </row>
    <row r="299" spans="1:14" s="94" customFormat="1" ht="15.75" customHeight="1" x14ac:dyDescent="0.35">
      <c r="A299" s="174">
        <f t="shared" si="8"/>
        <v>4</v>
      </c>
      <c r="B299" s="174"/>
      <c r="C299" s="127" t="s">
        <v>167</v>
      </c>
      <c r="D299" s="127">
        <f>(2.52*6.43-1.55*1.4)*10.764</f>
        <v>151.05767039999998</v>
      </c>
      <c r="E299" s="127">
        <f>(2.52*2.5-1.55*1.4)*10.764</f>
        <v>44.455319999999993</v>
      </c>
      <c r="F299" s="127">
        <f t="shared" si="9"/>
        <v>286.14759263999997</v>
      </c>
      <c r="G299" s="174"/>
      <c r="H299" s="174"/>
      <c r="I299" s="38"/>
      <c r="L299" s="182"/>
      <c r="M299" s="182"/>
      <c r="N299" s="38"/>
    </row>
    <row r="300" spans="1:14" s="94" customFormat="1" ht="15.75" customHeight="1" x14ac:dyDescent="0.35">
      <c r="A300" s="174">
        <f t="shared" si="8"/>
        <v>5</v>
      </c>
      <c r="B300" s="174"/>
      <c r="C300" s="127" t="s">
        <v>167</v>
      </c>
      <c r="D300" s="127">
        <f>(2.7*6.43-0.9*1.4)*10.764</f>
        <v>173.31116399999999</v>
      </c>
      <c r="E300" s="127">
        <f>(2.7*2.5-0.9*1.4)*10.764</f>
        <v>59.094360000000002</v>
      </c>
      <c r="F300" s="127">
        <f t="shared" si="9"/>
        <v>336.39222239999998</v>
      </c>
      <c r="G300" s="174"/>
      <c r="H300" s="174"/>
      <c r="I300" s="38"/>
      <c r="L300" s="182"/>
      <c r="M300" s="182"/>
      <c r="N300" s="38"/>
    </row>
    <row r="301" spans="1:14" s="94" customFormat="1" ht="15.75" customHeight="1" x14ac:dyDescent="0.35">
      <c r="A301" s="174">
        <f t="shared" si="8"/>
        <v>6</v>
      </c>
      <c r="B301" s="174"/>
      <c r="C301" s="127" t="s">
        <v>167</v>
      </c>
      <c r="D301" s="127">
        <f>(3.52*6.43)*10.764</f>
        <v>243.62807039999996</v>
      </c>
      <c r="E301" s="127">
        <f>(3.52*2.5)*10.764</f>
        <v>94.723200000000006</v>
      </c>
      <c r="F301" s="127">
        <f>D301*(($F$261)+1)+(IF(E301&lt;101,E301,IF(E301&lt;201,E301/2,IF(E301&lt;=301,E301/3,E301/4))))</f>
        <v>484.52811263999996</v>
      </c>
      <c r="G301" s="174"/>
      <c r="H301" s="174"/>
      <c r="I301" s="38"/>
      <c r="L301" s="182"/>
      <c r="M301" s="182"/>
      <c r="N301" s="38"/>
    </row>
    <row r="302" spans="1:14" s="94" customFormat="1" ht="15.75" customHeight="1" x14ac:dyDescent="0.35">
      <c r="A302" s="174">
        <f t="shared" si="8"/>
        <v>7</v>
      </c>
      <c r="B302" s="174"/>
      <c r="C302" s="127" t="s">
        <v>167</v>
      </c>
      <c r="D302" s="127">
        <f>(2.7*6.43-1.4*1.4)*10.764</f>
        <v>165.776364</v>
      </c>
      <c r="E302" s="127">
        <f>(2.7*2.5-1.4*1.4)*10.764</f>
        <v>51.559559999999998</v>
      </c>
      <c r="F302" s="127">
        <f t="shared" ref="F302:F304" si="10">D302*(($F$261)+1)+(IF(E302&lt;101,E302,IF(E302&lt;201,E302/2,IF(E302&lt;=301,E302/3,E302/4))))</f>
        <v>316.80174239999997</v>
      </c>
      <c r="G302" s="174"/>
      <c r="H302" s="174"/>
      <c r="I302" s="38"/>
      <c r="L302" s="182"/>
      <c r="M302" s="182"/>
      <c r="N302" s="38"/>
    </row>
    <row r="303" spans="1:14" s="94" customFormat="1" ht="15.75" customHeight="1" x14ac:dyDescent="0.35">
      <c r="A303" s="174">
        <f t="shared" si="8"/>
        <v>8</v>
      </c>
      <c r="B303" s="174"/>
      <c r="C303" s="127" t="s">
        <v>167</v>
      </c>
      <c r="D303" s="127">
        <f>(2.52*6.43)*10.764</f>
        <v>174.41555039999997</v>
      </c>
      <c r="E303" s="127">
        <f>(2.52*2.5)*10.764</f>
        <v>67.813199999999995</v>
      </c>
      <c r="F303" s="127">
        <f t="shared" si="10"/>
        <v>346.87808063999995</v>
      </c>
      <c r="G303" s="174"/>
      <c r="H303" s="174"/>
      <c r="I303" s="38"/>
      <c r="L303" s="182"/>
      <c r="M303" s="182"/>
      <c r="N303" s="38"/>
    </row>
    <row r="304" spans="1:14" s="94" customFormat="1" ht="15.75" customHeight="1" x14ac:dyDescent="0.35">
      <c r="A304" s="174">
        <f t="shared" si="8"/>
        <v>9</v>
      </c>
      <c r="B304" s="174"/>
      <c r="C304" s="127" t="s">
        <v>167</v>
      </c>
      <c r="D304" s="127">
        <f>(2.7*6.43-1.5*1.4)*10.764</f>
        <v>164.26940400000001</v>
      </c>
      <c r="E304" s="127">
        <f>(2.7*2.5-1.5*1.4)*10.764</f>
        <v>50.052599999999998</v>
      </c>
      <c r="F304" s="127">
        <f t="shared" si="10"/>
        <v>312.88364640000003</v>
      </c>
      <c r="G304" s="174"/>
      <c r="H304" s="174"/>
      <c r="I304" s="38"/>
      <c r="L304" s="182"/>
      <c r="M304" s="182"/>
      <c r="N304" s="38"/>
    </row>
    <row r="305" spans="1:14" s="94" customFormat="1" ht="15.75" customHeight="1" x14ac:dyDescent="0.35">
      <c r="A305" s="174">
        <f t="shared" si="8"/>
        <v>10</v>
      </c>
      <c r="B305" s="174"/>
      <c r="C305" s="127" t="s">
        <v>167</v>
      </c>
      <c r="D305" s="127">
        <f>(2.7*6.43-0.9*1.4)*10.764</f>
        <v>173.31116399999999</v>
      </c>
      <c r="E305" s="127">
        <f>(2.7*2.5-0.9*1.4)*10.764</f>
        <v>59.094360000000002</v>
      </c>
      <c r="F305" s="127">
        <f t="shared" ref="F305:F308" si="11">D305*(($F$261)+1)+(IF(E305&lt;101,E305,IF(E305&lt;201,E305/2,IF(E305&lt;=301,E305/3,E305/4))))</f>
        <v>336.39222239999998</v>
      </c>
      <c r="G305" s="174"/>
      <c r="H305" s="174"/>
      <c r="I305" s="38"/>
      <c r="L305" s="182"/>
      <c r="M305" s="182"/>
      <c r="N305" s="38"/>
    </row>
    <row r="306" spans="1:14" s="94" customFormat="1" ht="15.75" customHeight="1" x14ac:dyDescent="0.35">
      <c r="A306" s="174">
        <f t="shared" si="8"/>
        <v>11</v>
      </c>
      <c r="B306" s="174"/>
      <c r="C306" s="127" t="s">
        <v>167</v>
      </c>
      <c r="D306" s="127">
        <f>(2.52*6.43)*10.764</f>
        <v>174.41555039999997</v>
      </c>
      <c r="E306" s="127">
        <f>(2.5*2.52)*10.764</f>
        <v>67.813199999999995</v>
      </c>
      <c r="F306" s="127">
        <f t="shared" si="11"/>
        <v>346.87808063999995</v>
      </c>
      <c r="G306" s="174"/>
      <c r="H306" s="174"/>
      <c r="I306" s="38"/>
      <c r="L306" s="182"/>
      <c r="M306" s="182"/>
      <c r="N306" s="38"/>
    </row>
    <row r="307" spans="1:14" s="94" customFormat="1" ht="15.75" customHeight="1" x14ac:dyDescent="0.35">
      <c r="A307" s="174">
        <f t="shared" si="8"/>
        <v>12</v>
      </c>
      <c r="B307" s="174"/>
      <c r="C307" s="127" t="s">
        <v>167</v>
      </c>
      <c r="D307" s="127">
        <f>(2.7*6.43-1.5*1.4)*10.764</f>
        <v>164.26940400000001</v>
      </c>
      <c r="E307" s="127">
        <f>(2.7*2.5-1.5*1.4)*10.764</f>
        <v>50.052599999999998</v>
      </c>
      <c r="F307" s="127">
        <f t="shared" si="11"/>
        <v>312.88364640000003</v>
      </c>
      <c r="G307" s="174"/>
      <c r="H307" s="174"/>
      <c r="I307" s="38"/>
      <c r="L307" s="182"/>
      <c r="M307" s="182"/>
      <c r="N307" s="38"/>
    </row>
    <row r="308" spans="1:14" s="94" customFormat="1" ht="15.75" customHeight="1" x14ac:dyDescent="0.35">
      <c r="A308" s="174">
        <f t="shared" si="8"/>
        <v>13</v>
      </c>
      <c r="B308" s="174"/>
      <c r="C308" s="127" t="s">
        <v>167</v>
      </c>
      <c r="D308" s="127">
        <f>(3.52*6.43)*10.764</f>
        <v>243.62807039999996</v>
      </c>
      <c r="E308" s="127">
        <f>(3.52*2.5)*10.764</f>
        <v>94.723200000000006</v>
      </c>
      <c r="F308" s="127">
        <f t="shared" si="11"/>
        <v>484.52811263999996</v>
      </c>
      <c r="G308" s="174"/>
      <c r="H308" s="174"/>
      <c r="I308" s="38"/>
      <c r="L308" s="182"/>
      <c r="M308" s="182"/>
      <c r="N308" s="38"/>
    </row>
    <row r="309" spans="1:14" s="94" customFormat="1" ht="15.75" customHeight="1" x14ac:dyDescent="0.35">
      <c r="A309" s="174">
        <f t="shared" si="8"/>
        <v>14</v>
      </c>
      <c r="B309" s="174"/>
      <c r="C309" s="127" t="s">
        <v>167</v>
      </c>
      <c r="D309" s="127">
        <f>(2.7*6.43-1.5*1.4)*10.764</f>
        <v>164.26940400000001</v>
      </c>
      <c r="E309" s="127">
        <f>(2.7*2.5-1.5*1.4)*10.764</f>
        <v>50.052599999999998</v>
      </c>
      <c r="F309" s="127">
        <f>D309*(($F$261)+1)+(IF(E309&lt;101,E309,IF(E309&lt;201,E309/2,IF(E309&lt;=301,E309/3,E309/4))))</f>
        <v>312.88364640000003</v>
      </c>
      <c r="G309" s="174"/>
      <c r="H309" s="174"/>
      <c r="I309" s="38"/>
      <c r="L309" s="182"/>
      <c r="M309" s="182"/>
      <c r="N309" s="38"/>
    </row>
    <row r="310" spans="1:14" s="94" customFormat="1" ht="15.75" customHeight="1" x14ac:dyDescent="0.35">
      <c r="A310" s="174">
        <f t="shared" si="8"/>
        <v>15</v>
      </c>
      <c r="B310" s="174"/>
      <c r="C310" s="127" t="s">
        <v>167</v>
      </c>
      <c r="D310" s="127">
        <f>(2.52*6.43)*10.764</f>
        <v>174.41555039999997</v>
      </c>
      <c r="E310" s="127">
        <f>(2.5*2.52)*10.764</f>
        <v>67.813199999999995</v>
      </c>
      <c r="F310" s="127">
        <f t="shared" ref="F310:F315" si="12">D310*(($F$261)+1)+(IF(E310&lt;101,E310,IF(E310&lt;201,E310/2,IF(E310&lt;=301,E310/3,E310/4))))</f>
        <v>346.87808063999995</v>
      </c>
      <c r="G310" s="174"/>
      <c r="H310" s="174"/>
      <c r="I310" s="38"/>
      <c r="L310" s="182"/>
      <c r="M310" s="182"/>
      <c r="N310" s="38"/>
    </row>
    <row r="311" spans="1:14" s="94" customFormat="1" ht="15.75" customHeight="1" x14ac:dyDescent="0.35">
      <c r="A311" s="174">
        <f t="shared" si="8"/>
        <v>16</v>
      </c>
      <c r="B311" s="174"/>
      <c r="C311" s="127" t="s">
        <v>167</v>
      </c>
      <c r="D311" s="127">
        <f>(2.7*6.43-0.9*1.4)*10.764</f>
        <v>173.31116399999999</v>
      </c>
      <c r="E311" s="127">
        <f>(2.7*2.5-0.9*1.4)*10.764</f>
        <v>59.094360000000002</v>
      </c>
      <c r="F311" s="127">
        <f t="shared" si="12"/>
        <v>336.39222239999998</v>
      </c>
      <c r="G311" s="174"/>
      <c r="H311" s="174"/>
      <c r="I311" s="38"/>
      <c r="L311" s="182"/>
      <c r="M311" s="182"/>
      <c r="N311" s="38"/>
    </row>
    <row r="312" spans="1:14" s="94" customFormat="1" ht="15.75" customHeight="1" x14ac:dyDescent="0.35">
      <c r="A312" s="174">
        <f t="shared" si="8"/>
        <v>17</v>
      </c>
      <c r="B312" s="174"/>
      <c r="C312" s="127" t="s">
        <v>167</v>
      </c>
      <c r="D312" s="127">
        <f>(3.52*6.43)*10.764</f>
        <v>243.62807039999996</v>
      </c>
      <c r="E312" s="127">
        <f>(3.52*2.5)*10.764</f>
        <v>94.723200000000006</v>
      </c>
      <c r="F312" s="127">
        <f t="shared" si="12"/>
        <v>484.52811263999996</v>
      </c>
      <c r="G312" s="174"/>
      <c r="H312" s="174"/>
      <c r="I312" s="38"/>
      <c r="L312" s="182"/>
      <c r="M312" s="182"/>
      <c r="N312" s="38"/>
    </row>
    <row r="313" spans="1:14" s="94" customFormat="1" ht="15.75" customHeight="1" x14ac:dyDescent="0.35">
      <c r="A313" s="174">
        <f t="shared" si="8"/>
        <v>18</v>
      </c>
      <c r="B313" s="174"/>
      <c r="C313" s="127" t="s">
        <v>167</v>
      </c>
      <c r="D313" s="127">
        <f>(2.7*6.51-1.5*1.4)*10.764</f>
        <v>166.59442800000002</v>
      </c>
      <c r="E313" s="127">
        <f>(2.5*2.7-1.5*1.4)*10.764</f>
        <v>50.052599999999998</v>
      </c>
      <c r="F313" s="127">
        <f t="shared" si="12"/>
        <v>316.60368480000005</v>
      </c>
      <c r="G313" s="174"/>
      <c r="H313" s="174"/>
      <c r="I313" s="38"/>
      <c r="L313" s="182"/>
      <c r="M313" s="182"/>
      <c r="N313" s="38"/>
    </row>
    <row r="314" spans="1:14" s="94" customFormat="1" ht="15.75" customHeight="1" x14ac:dyDescent="0.35">
      <c r="A314" s="174">
        <f t="shared" si="8"/>
        <v>19</v>
      </c>
      <c r="B314" s="174"/>
      <c r="C314" s="127" t="s">
        <v>167</v>
      </c>
      <c r="D314" s="127">
        <f>(5.85*2.7)*10.764</f>
        <v>170.01738</v>
      </c>
      <c r="E314" s="127">
        <f>(2*2.7)*10.764</f>
        <v>58.125599999999999</v>
      </c>
      <c r="F314" s="127">
        <f t="shared" si="12"/>
        <v>330.15340800000001</v>
      </c>
      <c r="G314" s="174"/>
      <c r="H314" s="174"/>
      <c r="I314" s="38"/>
      <c r="L314" s="182"/>
      <c r="M314" s="182"/>
      <c r="N314" s="38"/>
    </row>
    <row r="315" spans="1:14" s="94" customFormat="1" ht="15.75" customHeight="1" x14ac:dyDescent="0.35">
      <c r="A315" s="174">
        <f t="shared" si="8"/>
        <v>20</v>
      </c>
      <c r="B315" s="174"/>
      <c r="C315" s="127" t="s">
        <v>167</v>
      </c>
      <c r="D315" s="127">
        <f>(5.85*3.52)*10.764</f>
        <v>221.65228799999997</v>
      </c>
      <c r="E315" s="127">
        <f>(2*3.52)*10.764</f>
        <v>75.778559999999999</v>
      </c>
      <c r="F315" s="127">
        <f t="shared" si="12"/>
        <v>430.42222079999999</v>
      </c>
      <c r="G315" s="174"/>
      <c r="H315" s="174"/>
      <c r="I315" s="38"/>
      <c r="L315" s="182"/>
      <c r="M315" s="182"/>
      <c r="N315" s="38"/>
    </row>
    <row r="316" spans="1:14" s="94" customFormat="1" ht="15.75" customHeight="1" x14ac:dyDescent="0.35">
      <c r="A316" s="174">
        <f t="shared" si="8"/>
        <v>21</v>
      </c>
      <c r="B316" s="174"/>
      <c r="C316" s="127" t="s">
        <v>167</v>
      </c>
      <c r="D316" s="127">
        <f>(5.85*2.7-0.9*0.9)*10.764</f>
        <v>161.29853999999997</v>
      </c>
      <c r="E316" s="127">
        <f>(2*2.7-0.9*0.9)*10.764</f>
        <v>49.406759999999998</v>
      </c>
      <c r="F316" s="127">
        <f>D316*(($F$261)+1)+(IF(E316&lt;101,E316,IF(E316&lt;201,E316/2,IF(E316&lt;=301,E316/3,E316/4))))</f>
        <v>307.48442399999999</v>
      </c>
      <c r="G316" s="174"/>
      <c r="H316" s="174"/>
      <c r="I316" s="38"/>
      <c r="L316" s="182"/>
      <c r="M316" s="182"/>
      <c r="N316" s="38"/>
    </row>
    <row r="317" spans="1:14" s="94" customFormat="1" ht="15.75" customHeight="1" x14ac:dyDescent="0.35">
      <c r="A317" s="174">
        <f t="shared" si="8"/>
        <v>22</v>
      </c>
      <c r="B317" s="174"/>
      <c r="C317" s="127" t="s">
        <v>167</v>
      </c>
      <c r="D317" s="127">
        <f>(5.85*2.52)*10.764</f>
        <v>158.68288799999999</v>
      </c>
      <c r="E317" s="127">
        <f>(2*2.52)*10.764</f>
        <v>54.25056</v>
      </c>
      <c r="F317" s="127">
        <f t="shared" ref="F317:F320" si="13">D317*(($F$261)+1)+(IF(E317&lt;101,E317,IF(E317&lt;201,E317/2,IF(E317&lt;=301,E317/3,E317/4))))</f>
        <v>308.14318079999998</v>
      </c>
      <c r="G317" s="174"/>
      <c r="H317" s="174"/>
      <c r="I317" s="38"/>
      <c r="L317" s="182"/>
      <c r="M317" s="182"/>
      <c r="N317" s="38"/>
    </row>
    <row r="318" spans="1:14" s="94" customFormat="1" ht="15.75" customHeight="1" x14ac:dyDescent="0.35">
      <c r="A318" s="174">
        <f t="shared" si="8"/>
        <v>23</v>
      </c>
      <c r="B318" s="174"/>
      <c r="C318" s="127" t="s">
        <v>167</v>
      </c>
      <c r="D318" s="127">
        <f>(5.85*2.7-0.9*1.6)*10.764</f>
        <v>154.51722000000001</v>
      </c>
      <c r="E318" s="127">
        <f>(2*2.7-1.6*0.9)*10.764</f>
        <v>42.625439999999998</v>
      </c>
      <c r="F318" s="127">
        <f t="shared" si="13"/>
        <v>289.85299200000003</v>
      </c>
      <c r="G318" s="174"/>
      <c r="H318" s="174"/>
      <c r="I318" s="38"/>
      <c r="L318" s="182"/>
      <c r="M318" s="182"/>
      <c r="N318" s="38"/>
    </row>
    <row r="319" spans="1:14" s="94" customFormat="1" ht="15.75" customHeight="1" x14ac:dyDescent="0.35">
      <c r="A319" s="174">
        <f t="shared" si="8"/>
        <v>24</v>
      </c>
      <c r="B319" s="174"/>
      <c r="C319" s="127" t="s">
        <v>167</v>
      </c>
      <c r="D319" s="127">
        <f>(5.85*3.52-0.9*1.6)*10.764</f>
        <v>206.15212799999995</v>
      </c>
      <c r="E319" s="127">
        <f>(2*3.52-1.6*0.9)*10.764</f>
        <v>60.278399999999991</v>
      </c>
      <c r="F319" s="127">
        <f t="shared" si="13"/>
        <v>390.12180479999989</v>
      </c>
      <c r="G319" s="174"/>
      <c r="H319" s="174"/>
      <c r="I319" s="38"/>
      <c r="L319" s="182"/>
      <c r="M319" s="182"/>
      <c r="N319" s="38"/>
    </row>
    <row r="320" spans="1:14" s="94" customFormat="1" ht="15.75" customHeight="1" x14ac:dyDescent="0.35">
      <c r="A320" s="174">
        <f t="shared" si="8"/>
        <v>25</v>
      </c>
      <c r="B320" s="174"/>
      <c r="C320" s="127" t="s">
        <v>167</v>
      </c>
      <c r="D320" s="127">
        <f>(5.85*2.7-0.9*1.1)*10.764</f>
        <v>159.36102</v>
      </c>
      <c r="E320" s="127">
        <f>(2*2.7-1.1*0.9)*10.764</f>
        <v>47.469239999999999</v>
      </c>
      <c r="F320" s="127">
        <f t="shared" si="13"/>
        <v>302.44687199999998</v>
      </c>
      <c r="G320" s="174"/>
      <c r="H320" s="174"/>
      <c r="I320" s="38"/>
      <c r="L320" s="182"/>
      <c r="M320" s="182"/>
      <c r="N320" s="38"/>
    </row>
    <row r="321" spans="1:14" x14ac:dyDescent="0.35">
      <c r="A321" s="177" t="s">
        <v>224</v>
      </c>
      <c r="B321" s="177"/>
      <c r="C321" s="177"/>
      <c r="D321" s="177"/>
      <c r="E321" s="177"/>
      <c r="F321" s="177"/>
      <c r="G321" s="177"/>
      <c r="H321" s="177"/>
    </row>
    <row r="322" spans="1:14" x14ac:dyDescent="0.35">
      <c r="A322" s="177" t="s">
        <v>205</v>
      </c>
      <c r="B322" s="177"/>
      <c r="C322" s="177"/>
      <c r="D322" s="177"/>
      <c r="E322" s="177"/>
      <c r="F322" s="177"/>
      <c r="G322" s="177"/>
      <c r="H322" s="177"/>
    </row>
    <row r="323" spans="1:14" s="107" customFormat="1" ht="15.75" customHeight="1" x14ac:dyDescent="0.35">
      <c r="A323" s="175">
        <v>1</v>
      </c>
      <c r="B323" s="176"/>
      <c r="C323" s="106" t="s">
        <v>167</v>
      </c>
      <c r="D323" s="106">
        <f>(5.85*2.7-0.9*1.4+1.2*2.7)*10.764</f>
        <v>191.33009999999996</v>
      </c>
      <c r="E323" s="106">
        <f>(2*2.7-0.9*1.4)*10.764</f>
        <v>44.562960000000004</v>
      </c>
      <c r="F323" s="106">
        <f>D323*(($F$261)+1)+(IF(E323&lt;101,E323,IF(E323&lt;201,E323/2,IF(E323&lt;=301,E323/3,E323/4))))</f>
        <v>350.69111999999996</v>
      </c>
      <c r="G323" s="168" t="str">
        <f>A322</f>
        <v>Ground Floor for Entrance Lobby, Meter Room, Society Office, Commercial &amp; Parking</v>
      </c>
      <c r="H323" s="169"/>
      <c r="I323" s="38"/>
      <c r="L323" s="182"/>
      <c r="M323" s="182"/>
      <c r="N323" s="38"/>
    </row>
    <row r="324" spans="1:14" s="107" customFormat="1" ht="15.75" customHeight="1" x14ac:dyDescent="0.35">
      <c r="A324" s="175">
        <f t="shared" ref="A324:A336" si="14">A323+1</f>
        <v>2</v>
      </c>
      <c r="B324" s="176"/>
      <c r="C324" s="106" t="s">
        <v>167</v>
      </c>
      <c r="D324" s="106">
        <f>(5.85*3.52+1.2*3.52)*10.764</f>
        <v>267.11942399999998</v>
      </c>
      <c r="E324" s="106">
        <f>(2*3.52)*10.764</f>
        <v>75.778559999999999</v>
      </c>
      <c r="F324" s="106">
        <f t="shared" ref="F324:F327" si="15">D324*(($F$261)+1)+(IF(E324&lt;101,E324,IF(E324&lt;201,E324/2,IF(E324&lt;=301,E324/3,E324/4))))</f>
        <v>503.16963839999994</v>
      </c>
      <c r="G324" s="170" t="str">
        <f t="shared" ref="G324:G336" si="16">G323</f>
        <v>Ground Floor for Entrance Lobby, Meter Room, Society Office, Commercial &amp; Parking</v>
      </c>
      <c r="H324" s="171"/>
      <c r="I324" s="38"/>
      <c r="L324" s="182"/>
      <c r="M324" s="182"/>
      <c r="N324" s="38"/>
    </row>
    <row r="325" spans="1:14" s="107" customFormat="1" ht="15.75" customHeight="1" x14ac:dyDescent="0.35">
      <c r="A325" s="175">
        <f t="shared" si="14"/>
        <v>3</v>
      </c>
      <c r="B325" s="176"/>
      <c r="C325" s="106" t="s">
        <v>167</v>
      </c>
      <c r="D325" s="106">
        <f>(5.85*2.7-0.9*1.4+1.2*2.7)*10.764</f>
        <v>191.33009999999996</v>
      </c>
      <c r="E325" s="106">
        <f>(2.7*2-0.9*1.4)*10.764</f>
        <v>44.562960000000004</v>
      </c>
      <c r="F325" s="106">
        <f t="shared" si="15"/>
        <v>350.69111999999996</v>
      </c>
      <c r="G325" s="170" t="str">
        <f t="shared" si="16"/>
        <v>Ground Floor for Entrance Lobby, Meter Room, Society Office, Commercial &amp; Parking</v>
      </c>
      <c r="H325" s="171"/>
      <c r="I325" s="38"/>
      <c r="L325" s="182"/>
      <c r="M325" s="182"/>
      <c r="N325" s="38"/>
    </row>
    <row r="326" spans="1:14" s="107" customFormat="1" ht="15.75" customHeight="1" x14ac:dyDescent="0.35">
      <c r="A326" s="175">
        <f t="shared" si="14"/>
        <v>4</v>
      </c>
      <c r="B326" s="176"/>
      <c r="C326" s="106" t="s">
        <v>167</v>
      </c>
      <c r="D326" s="106">
        <f>(5.85*2.52+1.2*0.52)*10.764</f>
        <v>165.39962399999999</v>
      </c>
      <c r="E326" s="106">
        <f>(2.52*2)*10.764</f>
        <v>54.25056</v>
      </c>
      <c r="F326" s="106">
        <f t="shared" si="15"/>
        <v>318.88995840000001</v>
      </c>
      <c r="G326" s="170" t="str">
        <f t="shared" si="16"/>
        <v>Ground Floor for Entrance Lobby, Meter Room, Society Office, Commercial &amp; Parking</v>
      </c>
      <c r="H326" s="171"/>
      <c r="I326" s="38"/>
      <c r="L326" s="182"/>
      <c r="M326" s="182"/>
      <c r="N326" s="38"/>
    </row>
    <row r="327" spans="1:14" s="107" customFormat="1" ht="15.75" customHeight="1" x14ac:dyDescent="0.35">
      <c r="A327" s="175">
        <f t="shared" si="14"/>
        <v>5</v>
      </c>
      <c r="B327" s="176"/>
      <c r="C327" s="106" t="s">
        <v>167</v>
      </c>
      <c r="D327" s="106">
        <f>(5.85*2.7-0.9*1.4+1.2*2.7)*10.764</f>
        <v>191.33009999999996</v>
      </c>
      <c r="E327" s="106">
        <f>(2.7*2-0.9*1.4)*10.764</f>
        <v>44.562960000000004</v>
      </c>
      <c r="F327" s="106">
        <f t="shared" si="15"/>
        <v>350.69111999999996</v>
      </c>
      <c r="G327" s="170" t="str">
        <f t="shared" si="16"/>
        <v>Ground Floor for Entrance Lobby, Meter Room, Society Office, Commercial &amp; Parking</v>
      </c>
      <c r="H327" s="171"/>
      <c r="I327" s="38"/>
      <c r="L327" s="182"/>
      <c r="M327" s="182"/>
      <c r="N327" s="38"/>
    </row>
    <row r="328" spans="1:14" s="107" customFormat="1" ht="15.75" customHeight="1" x14ac:dyDescent="0.35">
      <c r="A328" s="175">
        <f t="shared" si="14"/>
        <v>6</v>
      </c>
      <c r="B328" s="176"/>
      <c r="C328" s="106" t="s">
        <v>167</v>
      </c>
      <c r="D328" s="106">
        <f>(5.85*3.52+1.2*3.52)*10.764</f>
        <v>267.11942399999998</v>
      </c>
      <c r="E328" s="106">
        <f>(2*3.52)*10.764</f>
        <v>75.778559999999999</v>
      </c>
      <c r="F328" s="106">
        <f>D328*(($F$261)+1)+(IF(E328&lt;101,E328,IF(E328&lt;201,E328/2,IF(E328&lt;=301,E328/3,E328/4))))</f>
        <v>503.16963839999994</v>
      </c>
      <c r="G328" s="170" t="str">
        <f t="shared" si="16"/>
        <v>Ground Floor for Entrance Lobby, Meter Room, Society Office, Commercial &amp; Parking</v>
      </c>
      <c r="H328" s="171"/>
      <c r="I328" s="38"/>
      <c r="L328" s="182"/>
      <c r="M328" s="182"/>
      <c r="N328" s="38"/>
    </row>
    <row r="329" spans="1:14" s="107" customFormat="1" ht="15.75" customHeight="1" x14ac:dyDescent="0.35">
      <c r="A329" s="175">
        <f t="shared" si="14"/>
        <v>7</v>
      </c>
      <c r="B329" s="176"/>
      <c r="C329" s="106" t="s">
        <v>167</v>
      </c>
      <c r="D329" s="106">
        <f>(5.85*2.7-0.9*1.4+1.2*2.7)*10.764</f>
        <v>191.33009999999996</v>
      </c>
      <c r="E329" s="106">
        <f>(2*2.7-0.9*1.4)*10.764</f>
        <v>44.562960000000004</v>
      </c>
      <c r="F329" s="106">
        <f t="shared" ref="F329:F335" si="17">D329*(($F$261)+1)+(IF(E329&lt;101,E329,IF(E329&lt;201,E329/2,IF(E329&lt;=301,E329/3,E329/4))))</f>
        <v>350.69111999999996</v>
      </c>
      <c r="G329" s="170" t="str">
        <f t="shared" si="16"/>
        <v>Ground Floor for Entrance Lobby, Meter Room, Society Office, Commercial &amp; Parking</v>
      </c>
      <c r="H329" s="171"/>
      <c r="I329" s="38"/>
      <c r="L329" s="182"/>
      <c r="M329" s="182"/>
      <c r="N329" s="38"/>
    </row>
    <row r="330" spans="1:14" s="107" customFormat="1" ht="15.75" customHeight="1" x14ac:dyDescent="0.35">
      <c r="A330" s="175">
        <f t="shared" si="14"/>
        <v>8</v>
      </c>
      <c r="B330" s="176"/>
      <c r="C330" s="106" t="s">
        <v>167</v>
      </c>
      <c r="D330" s="106">
        <f>(5.85*2.7-0.9*1.4+1.2*2.7)*10.764</f>
        <v>191.33009999999996</v>
      </c>
      <c r="E330" s="106">
        <f>(2*2.7-0.9*1.4)*10.764</f>
        <v>44.562960000000004</v>
      </c>
      <c r="F330" s="106">
        <f t="shared" si="17"/>
        <v>350.69111999999996</v>
      </c>
      <c r="G330" s="170" t="str">
        <f t="shared" si="16"/>
        <v>Ground Floor for Entrance Lobby, Meter Room, Society Office, Commercial &amp; Parking</v>
      </c>
      <c r="H330" s="171"/>
      <c r="I330" s="38"/>
      <c r="L330" s="182"/>
      <c r="M330" s="182"/>
      <c r="N330" s="38"/>
    </row>
    <row r="331" spans="1:14" s="107" customFormat="1" ht="15.75" customHeight="1" x14ac:dyDescent="0.35">
      <c r="A331" s="175">
        <f t="shared" si="14"/>
        <v>9</v>
      </c>
      <c r="B331" s="176"/>
      <c r="C331" s="106" t="s">
        <v>167</v>
      </c>
      <c r="D331" s="106">
        <f>(5.85*3.52+1.2*3.52)*10.764</f>
        <v>267.11942399999998</v>
      </c>
      <c r="E331" s="106">
        <f>(2*3.52)*10.764</f>
        <v>75.778559999999999</v>
      </c>
      <c r="F331" s="106">
        <f t="shared" si="17"/>
        <v>503.16963839999994</v>
      </c>
      <c r="G331" s="170" t="str">
        <f t="shared" si="16"/>
        <v>Ground Floor for Entrance Lobby, Meter Room, Society Office, Commercial &amp; Parking</v>
      </c>
      <c r="H331" s="171"/>
      <c r="I331" s="38"/>
      <c r="L331" s="182"/>
      <c r="M331" s="182"/>
      <c r="N331" s="38"/>
    </row>
    <row r="332" spans="1:14" s="107" customFormat="1" ht="15.75" customHeight="1" x14ac:dyDescent="0.35">
      <c r="A332" s="175">
        <f t="shared" si="14"/>
        <v>10</v>
      </c>
      <c r="B332" s="176"/>
      <c r="C332" s="106" t="s">
        <v>167</v>
      </c>
      <c r="D332" s="106">
        <f>(5.85*2.7-0.9*1.4+1.2*1.4)*10.764</f>
        <v>174.53825999999998</v>
      </c>
      <c r="E332" s="106">
        <f>(2*2.7-0.9*1.4)*10.764</f>
        <v>44.562960000000004</v>
      </c>
      <c r="F332" s="106">
        <f t="shared" si="17"/>
        <v>323.82417599999997</v>
      </c>
      <c r="G332" s="170" t="str">
        <f t="shared" si="16"/>
        <v>Ground Floor for Entrance Lobby, Meter Room, Society Office, Commercial &amp; Parking</v>
      </c>
      <c r="H332" s="171"/>
      <c r="I332" s="38"/>
      <c r="L332" s="182"/>
      <c r="M332" s="182"/>
      <c r="N332" s="38"/>
    </row>
    <row r="333" spans="1:14" s="107" customFormat="1" ht="15.75" customHeight="1" x14ac:dyDescent="0.35">
      <c r="A333" s="175">
        <f t="shared" si="14"/>
        <v>11</v>
      </c>
      <c r="B333" s="176"/>
      <c r="C333" s="106" t="s">
        <v>167</v>
      </c>
      <c r="D333" s="106">
        <f>(5.85*2.52+1.2*2.52)*10.764</f>
        <v>191.23322399999998</v>
      </c>
      <c r="E333" s="106">
        <f>(2.52*2)*10.764</f>
        <v>54.25056</v>
      </c>
      <c r="F333" s="106">
        <f t="shared" si="17"/>
        <v>360.2237184</v>
      </c>
      <c r="G333" s="170" t="str">
        <f t="shared" si="16"/>
        <v>Ground Floor for Entrance Lobby, Meter Room, Society Office, Commercial &amp; Parking</v>
      </c>
      <c r="H333" s="171"/>
      <c r="I333" s="38"/>
      <c r="L333" s="182"/>
      <c r="M333" s="182"/>
      <c r="N333" s="38"/>
    </row>
    <row r="334" spans="1:14" s="107" customFormat="1" ht="15.75" customHeight="1" x14ac:dyDescent="0.35">
      <c r="A334" s="175">
        <f t="shared" si="14"/>
        <v>12</v>
      </c>
      <c r="B334" s="176"/>
      <c r="C334" s="106" t="s">
        <v>167</v>
      </c>
      <c r="D334" s="106">
        <f>(5.85*2.7-0.9*1.4+1.2*2.7)*10.764</f>
        <v>191.33009999999996</v>
      </c>
      <c r="E334" s="106">
        <f>(2*2.7-0.9*1.4)*10.764</f>
        <v>44.562960000000004</v>
      </c>
      <c r="F334" s="106">
        <f t="shared" si="17"/>
        <v>350.69111999999996</v>
      </c>
      <c r="G334" s="170" t="str">
        <f t="shared" si="16"/>
        <v>Ground Floor for Entrance Lobby, Meter Room, Society Office, Commercial &amp; Parking</v>
      </c>
      <c r="H334" s="171"/>
      <c r="I334" s="38"/>
      <c r="L334" s="182"/>
      <c r="M334" s="182"/>
      <c r="N334" s="38"/>
    </row>
    <row r="335" spans="1:14" s="107" customFormat="1" ht="15.75" customHeight="1" x14ac:dyDescent="0.35">
      <c r="A335" s="175">
        <f t="shared" si="14"/>
        <v>13</v>
      </c>
      <c r="B335" s="176"/>
      <c r="C335" s="106" t="s">
        <v>167</v>
      </c>
      <c r="D335" s="106">
        <f>(5.85*3.52+1.2*3.52)*10.764</f>
        <v>267.11942399999998</v>
      </c>
      <c r="E335" s="106">
        <f>(2*3.52)*10.764</f>
        <v>75.778559999999999</v>
      </c>
      <c r="F335" s="106">
        <f t="shared" si="17"/>
        <v>503.16963839999994</v>
      </c>
      <c r="G335" s="170" t="str">
        <f t="shared" si="16"/>
        <v>Ground Floor for Entrance Lobby, Meter Room, Society Office, Commercial &amp; Parking</v>
      </c>
      <c r="H335" s="171"/>
      <c r="I335" s="38"/>
      <c r="L335" s="182"/>
      <c r="M335" s="182"/>
      <c r="N335" s="38"/>
    </row>
    <row r="336" spans="1:14" s="107" customFormat="1" ht="15.75" customHeight="1" x14ac:dyDescent="0.35">
      <c r="A336" s="175">
        <f t="shared" si="14"/>
        <v>14</v>
      </c>
      <c r="B336" s="176"/>
      <c r="C336" s="106" t="s">
        <v>167</v>
      </c>
      <c r="D336" s="106">
        <f>(5.85*2.7-0.9*1.4+1.2*2.7)*10.764</f>
        <v>191.33009999999996</v>
      </c>
      <c r="E336" s="106">
        <f>(2*2.7-0.9*1.4)*10.764</f>
        <v>44.562960000000004</v>
      </c>
      <c r="F336" s="106">
        <f>D336*(($F$261)+1)+(IF(E336&lt;101,E336,IF(E336&lt;201,E336/2,IF(E336&lt;=301,E336/3,E336/4))))</f>
        <v>350.69111999999996</v>
      </c>
      <c r="G336" s="170" t="str">
        <f t="shared" si="16"/>
        <v>Ground Floor for Entrance Lobby, Meter Room, Society Office, Commercial &amp; Parking</v>
      </c>
      <c r="H336" s="171"/>
      <c r="I336" s="38"/>
      <c r="L336" s="182"/>
      <c r="M336" s="182"/>
      <c r="N336" s="38"/>
    </row>
    <row r="337" spans="1:14" x14ac:dyDescent="0.35">
      <c r="A337" s="177" t="s">
        <v>225</v>
      </c>
      <c r="B337" s="177"/>
      <c r="C337" s="177"/>
      <c r="D337" s="177"/>
      <c r="E337" s="177"/>
      <c r="F337" s="177"/>
      <c r="G337" s="177"/>
      <c r="H337" s="177"/>
    </row>
    <row r="338" spans="1:14" x14ac:dyDescent="0.35">
      <c r="A338" s="177" t="s">
        <v>205</v>
      </c>
      <c r="B338" s="177"/>
      <c r="C338" s="177"/>
      <c r="D338" s="177"/>
      <c r="E338" s="177"/>
      <c r="F338" s="177"/>
      <c r="G338" s="177"/>
      <c r="H338" s="177"/>
    </row>
    <row r="339" spans="1:14" s="107" customFormat="1" ht="15.75" customHeight="1" x14ac:dyDescent="0.35">
      <c r="A339" s="174">
        <v>1</v>
      </c>
      <c r="B339" s="174"/>
      <c r="C339" s="127" t="s">
        <v>167</v>
      </c>
      <c r="D339" s="127">
        <f>(5.85*2.7-0.9*1.4+1.2*2.7)*10.764</f>
        <v>191.33009999999996</v>
      </c>
      <c r="E339" s="127">
        <f>(2*2.7-0.9*1.4)*10.764</f>
        <v>44.562960000000004</v>
      </c>
      <c r="F339" s="127">
        <f>D339*(($F$261)+1)+(IF(E339&lt;101,E339,IF(E339&lt;201,E339/2,IF(E339&lt;=301,E339/3,E339/4))))</f>
        <v>350.69111999999996</v>
      </c>
      <c r="G339" s="174" t="str">
        <f>A338</f>
        <v>Ground Floor for Entrance Lobby, Meter Room, Society Office, Commercial &amp; Parking</v>
      </c>
      <c r="H339" s="174"/>
      <c r="I339" s="38"/>
      <c r="L339" s="182"/>
      <c r="M339" s="182"/>
      <c r="N339" s="38"/>
    </row>
    <row r="340" spans="1:14" s="107" customFormat="1" ht="15.75" customHeight="1" x14ac:dyDescent="0.35">
      <c r="A340" s="174">
        <f t="shared" ref="A340:A345" si="18">A339+1</f>
        <v>2</v>
      </c>
      <c r="B340" s="174"/>
      <c r="C340" s="127" t="s">
        <v>167</v>
      </c>
      <c r="D340" s="127">
        <f>(5.85*3.52-0.9*1.4+1.2*3.52)*10.764</f>
        <v>253.55678399999996</v>
      </c>
      <c r="E340" s="127">
        <f>(2*3.52)*10.764</f>
        <v>75.778559999999999</v>
      </c>
      <c r="F340" s="127">
        <f t="shared" ref="F340:F343" si="19">D340*(($F$261)+1)+(IF(E340&lt;101,E340,IF(E340&lt;201,E340/2,IF(E340&lt;=301,E340/3,E340/4))))</f>
        <v>481.46941440000001</v>
      </c>
      <c r="G340" s="174" t="str">
        <f t="shared" ref="G340:G345" si="20">G339</f>
        <v>Ground Floor for Entrance Lobby, Meter Room, Society Office, Commercial &amp; Parking</v>
      </c>
      <c r="H340" s="174"/>
      <c r="I340" s="38"/>
      <c r="L340" s="182"/>
      <c r="M340" s="182"/>
      <c r="N340" s="38"/>
    </row>
    <row r="341" spans="1:14" s="107" customFormat="1" ht="15.75" customHeight="1" x14ac:dyDescent="0.35">
      <c r="A341" s="174">
        <f t="shared" si="18"/>
        <v>3</v>
      </c>
      <c r="B341" s="174"/>
      <c r="C341" s="127" t="s">
        <v>167</v>
      </c>
      <c r="D341" s="127">
        <f>(5.85*2.7-0.9*1.4+1.2*2.7)*10.764</f>
        <v>191.33009999999996</v>
      </c>
      <c r="E341" s="127">
        <f>(2.7*2-0.9*1.4)*10.764</f>
        <v>44.562960000000004</v>
      </c>
      <c r="F341" s="127">
        <f t="shared" si="19"/>
        <v>350.69111999999996</v>
      </c>
      <c r="G341" s="174" t="str">
        <f t="shared" si="20"/>
        <v>Ground Floor for Entrance Lobby, Meter Room, Society Office, Commercial &amp; Parking</v>
      </c>
      <c r="H341" s="174"/>
      <c r="I341" s="38"/>
      <c r="L341" s="182"/>
      <c r="M341" s="182"/>
      <c r="N341" s="38"/>
    </row>
    <row r="342" spans="1:14" s="107" customFormat="1" ht="15.75" customHeight="1" x14ac:dyDescent="0.35">
      <c r="A342" s="174">
        <f t="shared" si="18"/>
        <v>4</v>
      </c>
      <c r="B342" s="174"/>
      <c r="C342" s="127" t="s">
        <v>167</v>
      </c>
      <c r="D342" s="127">
        <f>(5.85*2.52+1.2*2.52)*10.764</f>
        <v>191.23322399999998</v>
      </c>
      <c r="E342" s="127">
        <f>(2.52*2)*10.764</f>
        <v>54.25056</v>
      </c>
      <c r="F342" s="127">
        <f t="shared" si="19"/>
        <v>360.2237184</v>
      </c>
      <c r="G342" s="174" t="str">
        <f t="shared" si="20"/>
        <v>Ground Floor for Entrance Lobby, Meter Room, Society Office, Commercial &amp; Parking</v>
      </c>
      <c r="H342" s="174"/>
      <c r="I342" s="38"/>
      <c r="L342" s="182"/>
      <c r="M342" s="182"/>
      <c r="N342" s="38"/>
    </row>
    <row r="343" spans="1:14" s="107" customFormat="1" ht="15.75" customHeight="1" x14ac:dyDescent="0.35">
      <c r="A343" s="174">
        <f t="shared" si="18"/>
        <v>5</v>
      </c>
      <c r="B343" s="174"/>
      <c r="C343" s="127" t="s">
        <v>167</v>
      </c>
      <c r="D343" s="127">
        <f>(5.85*2.7-0.9*1.4+1.2*2.7)*10.764</f>
        <v>191.33009999999996</v>
      </c>
      <c r="E343" s="127">
        <f>(2.7*2-0.9*1.4)*10.764</f>
        <v>44.562960000000004</v>
      </c>
      <c r="F343" s="127">
        <f t="shared" si="19"/>
        <v>350.69111999999996</v>
      </c>
      <c r="G343" s="174" t="str">
        <f t="shared" si="20"/>
        <v>Ground Floor for Entrance Lobby, Meter Room, Society Office, Commercial &amp; Parking</v>
      </c>
      <c r="H343" s="174"/>
      <c r="I343" s="38"/>
      <c r="L343" s="182"/>
      <c r="M343" s="182"/>
      <c r="N343" s="38"/>
    </row>
    <row r="344" spans="1:14" s="107" customFormat="1" ht="15.75" customHeight="1" x14ac:dyDescent="0.35">
      <c r="A344" s="174">
        <f t="shared" si="18"/>
        <v>6</v>
      </c>
      <c r="B344" s="174"/>
      <c r="C344" s="127" t="s">
        <v>167</v>
      </c>
      <c r="D344" s="127">
        <f>(5.85*3.52+1.2*3.52)*10.764</f>
        <v>267.11942399999998</v>
      </c>
      <c r="E344" s="127">
        <f>(2*3.52)*10.764</f>
        <v>75.778559999999999</v>
      </c>
      <c r="F344" s="127">
        <f>D344*(($F$261)+1)+(IF(E344&lt;101,E344,IF(E344&lt;201,E344/2,IF(E344&lt;=301,E344/3,E344/4))))</f>
        <v>503.16963839999994</v>
      </c>
      <c r="G344" s="174" t="str">
        <f t="shared" si="20"/>
        <v>Ground Floor for Entrance Lobby, Meter Room, Society Office, Commercial &amp; Parking</v>
      </c>
      <c r="H344" s="174"/>
      <c r="I344" s="38"/>
      <c r="L344" s="182"/>
      <c r="M344" s="182"/>
      <c r="N344" s="38"/>
    </row>
    <row r="345" spans="1:14" s="107" customFormat="1" ht="15.75" customHeight="1" x14ac:dyDescent="0.35">
      <c r="A345" s="174">
        <f t="shared" si="18"/>
        <v>7</v>
      </c>
      <c r="B345" s="174"/>
      <c r="C345" s="127" t="s">
        <v>167</v>
      </c>
      <c r="D345" s="127">
        <f>(5.85*2.7+1.2*2.7)*10.764</f>
        <v>204.89273999999997</v>
      </c>
      <c r="E345" s="127">
        <f>(2*2.7-0.9*1.4)*10.764</f>
        <v>44.562960000000004</v>
      </c>
      <c r="F345" s="127">
        <f t="shared" ref="F345" si="21">D345*(($F$261)+1)+(IF(E345&lt;101,E345,IF(E345&lt;201,E345/2,IF(E345&lt;=301,E345/3,E345/4))))</f>
        <v>372.391344</v>
      </c>
      <c r="G345" s="174" t="str">
        <f t="shared" si="20"/>
        <v>Ground Floor for Entrance Lobby, Meter Room, Society Office, Commercial &amp; Parking</v>
      </c>
      <c r="H345" s="174"/>
      <c r="I345" s="38"/>
      <c r="L345" s="182"/>
      <c r="M345" s="182"/>
      <c r="N345" s="38"/>
    </row>
    <row r="346" spans="1:14" x14ac:dyDescent="0.35">
      <c r="A346" s="184" t="s">
        <v>226</v>
      </c>
      <c r="B346" s="184"/>
      <c r="C346" s="184"/>
      <c r="D346" s="184"/>
      <c r="E346" s="184"/>
      <c r="F346" s="184"/>
      <c r="G346" s="184"/>
      <c r="H346" s="184"/>
    </row>
    <row r="347" spans="1:14" x14ac:dyDescent="0.35">
      <c r="A347" s="177" t="s">
        <v>191</v>
      </c>
      <c r="B347" s="177"/>
      <c r="C347" s="177"/>
      <c r="D347" s="177"/>
      <c r="E347" s="177"/>
      <c r="F347" s="177"/>
      <c r="G347" s="177"/>
      <c r="H347" s="177"/>
    </row>
    <row r="348" spans="1:14" x14ac:dyDescent="0.35">
      <c r="A348" s="177" t="s">
        <v>168</v>
      </c>
      <c r="B348" s="177"/>
      <c r="C348" s="177"/>
      <c r="D348" s="177"/>
      <c r="E348" s="177"/>
      <c r="F348" s="177"/>
      <c r="G348" s="177"/>
      <c r="H348" s="177"/>
    </row>
    <row r="349" spans="1:14" s="107" customFormat="1" ht="15.75" customHeight="1" x14ac:dyDescent="0.35">
      <c r="A349" s="174">
        <v>1</v>
      </c>
      <c r="B349" s="174"/>
      <c r="C349" s="127" t="s">
        <v>167</v>
      </c>
      <c r="D349" s="127">
        <f>(6.43*2.7-0.9*1.7+1.2*2.7)*10.764</f>
        <v>205.28024400000001</v>
      </c>
      <c r="E349" s="127">
        <f>(2*2.7-0.9*1.7)*10.764</f>
        <v>41.656680000000001</v>
      </c>
      <c r="F349" s="127">
        <f>D349*(($F$261)+1)+(IF(E349&lt;101,E349,IF(E349&lt;201,E349/2,IF(E349&lt;=301,E349/3,E349/4))))</f>
        <v>370.10507040000005</v>
      </c>
      <c r="G349" s="174" t="str">
        <f>A348</f>
        <v>Ground Floor for Commercial &amp; Parking</v>
      </c>
      <c r="H349" s="174"/>
      <c r="I349" s="38"/>
      <c r="L349" s="182"/>
      <c r="M349" s="182"/>
      <c r="N349" s="38"/>
    </row>
    <row r="350" spans="1:14" s="107" customFormat="1" ht="15.75" customHeight="1" x14ac:dyDescent="0.35">
      <c r="A350" s="174">
        <f t="shared" ref="A350:A357" si="22">A349+1</f>
        <v>2</v>
      </c>
      <c r="B350" s="174"/>
      <c r="C350" s="127" t="s">
        <v>167</v>
      </c>
      <c r="D350" s="127">
        <f>(6.43*2.52+1.2*2.52)*10.764</f>
        <v>206.96588639999999</v>
      </c>
      <c r="E350" s="127">
        <f>(2*2.52)*10.764</f>
        <v>54.25056</v>
      </c>
      <c r="F350" s="127">
        <f t="shared" ref="F350:F353" si="23">D350*(($F$261)+1)+(IF(E350&lt;101,E350,IF(E350&lt;201,E350/2,IF(E350&lt;=301,E350/3,E350/4))))</f>
        <v>385.39597824000003</v>
      </c>
      <c r="G350" s="174" t="str">
        <f t="shared" ref="G350:G357" si="24">G349</f>
        <v>Ground Floor for Commercial &amp; Parking</v>
      </c>
      <c r="H350" s="174"/>
      <c r="I350" s="38"/>
      <c r="L350" s="182"/>
      <c r="M350" s="182"/>
      <c r="N350" s="38"/>
    </row>
    <row r="351" spans="1:14" s="107" customFormat="1" ht="15.75" customHeight="1" x14ac:dyDescent="0.35">
      <c r="A351" s="174">
        <f t="shared" si="22"/>
        <v>3</v>
      </c>
      <c r="B351" s="174"/>
      <c r="C351" s="127" t="s">
        <v>167</v>
      </c>
      <c r="D351" s="127">
        <f>(6.43*2.7-0.9*1.4+1.2*2.7)*10.764</f>
        <v>208.18652399999999</v>
      </c>
      <c r="E351" s="127">
        <f>(2*2.7-0.9*1.4)*10.764</f>
        <v>44.562960000000004</v>
      </c>
      <c r="F351" s="127">
        <f t="shared" si="23"/>
        <v>377.66139840000005</v>
      </c>
      <c r="G351" s="174" t="str">
        <f t="shared" si="24"/>
        <v>Ground Floor for Commercial &amp; Parking</v>
      </c>
      <c r="H351" s="174"/>
      <c r="I351" s="38"/>
      <c r="L351" s="182"/>
      <c r="M351" s="182"/>
      <c r="N351" s="38"/>
    </row>
    <row r="352" spans="1:14" s="107" customFormat="1" ht="15.75" customHeight="1" x14ac:dyDescent="0.35">
      <c r="A352" s="174">
        <f t="shared" si="22"/>
        <v>4</v>
      </c>
      <c r="B352" s="174"/>
      <c r="C352" s="127" t="s">
        <v>167</v>
      </c>
      <c r="D352" s="127">
        <f>(6.43*3.52+1.2*3.52)*10.764</f>
        <v>289.09520639999994</v>
      </c>
      <c r="E352" s="127">
        <f>(2*3.5)*10.764</f>
        <v>75.347999999999999</v>
      </c>
      <c r="F352" s="127">
        <f t="shared" si="23"/>
        <v>537.9003302399999</v>
      </c>
      <c r="G352" s="174" t="str">
        <f t="shared" si="24"/>
        <v>Ground Floor for Commercial &amp; Parking</v>
      </c>
      <c r="H352" s="174"/>
      <c r="I352" s="38"/>
      <c r="L352" s="182"/>
      <c r="M352" s="182"/>
      <c r="N352" s="38"/>
    </row>
    <row r="353" spans="1:14" s="107" customFormat="1" ht="15.75" customHeight="1" x14ac:dyDescent="0.35">
      <c r="A353" s="174">
        <f t="shared" si="22"/>
        <v>5</v>
      </c>
      <c r="B353" s="174"/>
      <c r="C353" s="127" t="s">
        <v>167</v>
      </c>
      <c r="D353" s="127">
        <f>(6.43*2.7-0.9*1.4+1.2*2.7)*10.764</f>
        <v>208.18652399999999</v>
      </c>
      <c r="E353" s="127">
        <f>(2*2.7-0.9*1.4)*10.764</f>
        <v>44.562960000000004</v>
      </c>
      <c r="F353" s="127">
        <f t="shared" si="23"/>
        <v>377.66139840000005</v>
      </c>
      <c r="G353" s="174" t="str">
        <f t="shared" si="24"/>
        <v>Ground Floor for Commercial &amp; Parking</v>
      </c>
      <c r="H353" s="174"/>
      <c r="I353" s="38"/>
      <c r="L353" s="182"/>
      <c r="M353" s="182"/>
      <c r="N353" s="38"/>
    </row>
    <row r="354" spans="1:14" s="107" customFormat="1" ht="15.75" customHeight="1" x14ac:dyDescent="0.35">
      <c r="A354" s="174">
        <f t="shared" si="22"/>
        <v>6</v>
      </c>
      <c r="B354" s="174"/>
      <c r="C354" s="127" t="s">
        <v>167</v>
      </c>
      <c r="D354" s="127">
        <f>(6.43*2.52+1.2*2.52)*10.764</f>
        <v>206.96588639999999</v>
      </c>
      <c r="E354" s="127">
        <f>(2*2.52)*10.764</f>
        <v>54.25056</v>
      </c>
      <c r="F354" s="127">
        <f>D354*(($F$261)+1)+(IF(E354&lt;101,E354,IF(E354&lt;201,E354/2,IF(E354&lt;=301,E354/3,E354/4))))</f>
        <v>385.39597824000003</v>
      </c>
      <c r="G354" s="174" t="str">
        <f t="shared" si="24"/>
        <v>Ground Floor for Commercial &amp; Parking</v>
      </c>
      <c r="H354" s="174"/>
      <c r="I354" s="38"/>
      <c r="L354" s="182"/>
      <c r="M354" s="182"/>
      <c r="N354" s="38"/>
    </row>
    <row r="355" spans="1:14" s="107" customFormat="1" ht="15.75" customHeight="1" x14ac:dyDescent="0.35">
      <c r="A355" s="174">
        <f t="shared" si="22"/>
        <v>7</v>
      </c>
      <c r="B355" s="174"/>
      <c r="C355" s="127" t="s">
        <v>167</v>
      </c>
      <c r="D355" s="127">
        <f>(5.85*2.7+1.2*2.7-0.9*1.7)*10.764</f>
        <v>188.42381999999998</v>
      </c>
      <c r="E355" s="127">
        <f>(2*2.7-0.9*1.7)*10.764</f>
        <v>41.656680000000001</v>
      </c>
      <c r="F355" s="127">
        <f t="shared" ref="F355:F357" si="25">D355*(($F$261)+1)+(IF(E355&lt;101,E355,IF(E355&lt;201,E355/2,IF(E355&lt;=301,E355/3,E355/4))))</f>
        <v>343.13479199999995</v>
      </c>
      <c r="G355" s="174" t="str">
        <f t="shared" si="24"/>
        <v>Ground Floor for Commercial &amp; Parking</v>
      </c>
      <c r="H355" s="174"/>
      <c r="I355" s="38"/>
      <c r="L355" s="182"/>
      <c r="M355" s="182"/>
      <c r="N355" s="38"/>
    </row>
    <row r="356" spans="1:14" s="107" customFormat="1" ht="15.75" customHeight="1" x14ac:dyDescent="0.35">
      <c r="A356" s="174">
        <f t="shared" si="22"/>
        <v>8</v>
      </c>
      <c r="B356" s="174"/>
      <c r="C356" s="127" t="s">
        <v>167</v>
      </c>
      <c r="D356" s="127">
        <f>(3.52*6.43+1.2*3.52)*10.764</f>
        <v>289.09520639999994</v>
      </c>
      <c r="E356" s="127">
        <f>(2*3.52)*10.764</f>
        <v>75.778559999999999</v>
      </c>
      <c r="F356" s="127">
        <f t="shared" si="25"/>
        <v>538.33089023999992</v>
      </c>
      <c r="G356" s="174" t="str">
        <f t="shared" si="24"/>
        <v>Ground Floor for Commercial &amp; Parking</v>
      </c>
      <c r="H356" s="174"/>
      <c r="I356" s="38"/>
      <c r="L356" s="182"/>
      <c r="M356" s="182"/>
      <c r="N356" s="38"/>
    </row>
    <row r="357" spans="1:14" s="107" customFormat="1" ht="15.75" customHeight="1" x14ac:dyDescent="0.35">
      <c r="A357" s="174">
        <f t="shared" si="22"/>
        <v>9</v>
      </c>
      <c r="B357" s="174"/>
      <c r="C357" s="127" t="s">
        <v>167</v>
      </c>
      <c r="D357" s="127">
        <f>(5.51*2.7+1.69*2.28-0.9*1.7)*10.764</f>
        <v>185.14295279999999</v>
      </c>
      <c r="E357" s="127">
        <f>(2*2.7-0.9*1.4)*10.764</f>
        <v>44.562960000000004</v>
      </c>
      <c r="F357" s="127">
        <f t="shared" si="25"/>
        <v>340.79168447999996</v>
      </c>
      <c r="G357" s="174" t="str">
        <f t="shared" si="24"/>
        <v>Ground Floor for Commercial &amp; Parking</v>
      </c>
      <c r="H357" s="174"/>
      <c r="I357" s="38"/>
      <c r="L357" s="182"/>
      <c r="M357" s="182"/>
      <c r="N357" s="38"/>
    </row>
    <row r="358" spans="1:14" x14ac:dyDescent="0.35">
      <c r="A358" s="177" t="s">
        <v>192</v>
      </c>
      <c r="B358" s="177"/>
      <c r="C358" s="177"/>
      <c r="D358" s="177"/>
      <c r="E358" s="177"/>
      <c r="F358" s="177"/>
      <c r="G358" s="177"/>
      <c r="H358" s="177"/>
    </row>
    <row r="359" spans="1:14" x14ac:dyDescent="0.35">
      <c r="A359" s="177" t="s">
        <v>168</v>
      </c>
      <c r="B359" s="177"/>
      <c r="C359" s="177"/>
      <c r="D359" s="177"/>
      <c r="E359" s="177"/>
      <c r="F359" s="177"/>
      <c r="G359" s="177"/>
      <c r="H359" s="177"/>
    </row>
    <row r="360" spans="1:14" s="103" customFormat="1" ht="15.75" customHeight="1" x14ac:dyDescent="0.35">
      <c r="A360" s="174">
        <v>1</v>
      </c>
      <c r="B360" s="174"/>
      <c r="C360" s="127" t="s">
        <v>167</v>
      </c>
      <c r="D360" s="127">
        <f>(2.7*6.51+2.28*1.69+1.2*2.7)*10.764</f>
        <v>265.5500328</v>
      </c>
      <c r="E360" s="127">
        <f>(2.7*2.5+2.28*1.59-1*0.9-1*0.9)*10.764</f>
        <v>92.303452799999988</v>
      </c>
      <c r="F360" s="127">
        <f>D360*(($F$261)+1)+(IF(E360&lt;101,E360,IF(E360&lt;201,E360/2,IF(E360&lt;=301,E360/3,E360/4))))</f>
        <v>517.18350527999996</v>
      </c>
      <c r="G360" s="174" t="str">
        <f>A359</f>
        <v>Ground Floor for Commercial &amp; Parking</v>
      </c>
      <c r="H360" s="174"/>
      <c r="I360" s="38"/>
      <c r="L360" s="182"/>
      <c r="M360" s="182"/>
      <c r="N360" s="38"/>
    </row>
    <row r="361" spans="1:14" s="103" customFormat="1" ht="15.75" customHeight="1" x14ac:dyDescent="0.35">
      <c r="A361" s="174">
        <f t="shared" ref="A361:A384" si="26">A360+1</f>
        <v>2</v>
      </c>
      <c r="B361" s="174"/>
      <c r="C361" s="127" t="s">
        <v>167</v>
      </c>
      <c r="D361" s="127">
        <f>(3.52*6.43+1.2*3.52)*10.764</f>
        <v>289.09520639999994</v>
      </c>
      <c r="E361" s="127">
        <f>(3.52*2.5-1.6*0.9)*10.764</f>
        <v>79.223039999999997</v>
      </c>
      <c r="F361" s="127">
        <f t="shared" ref="F361:F364" si="27">D361*(($F$261)+1)+(IF(E361&lt;101,E361,IF(E361&lt;201,E361/2,IF(E361&lt;=301,E361/3,E361/4))))</f>
        <v>541.77537023999992</v>
      </c>
      <c r="G361" s="174"/>
      <c r="H361" s="174"/>
      <c r="I361" s="38"/>
      <c r="L361" s="182"/>
      <c r="M361" s="182"/>
      <c r="N361" s="38"/>
    </row>
    <row r="362" spans="1:14" s="103" customFormat="1" ht="15.75" customHeight="1" x14ac:dyDescent="0.35">
      <c r="A362" s="174">
        <f t="shared" si="26"/>
        <v>3</v>
      </c>
      <c r="B362" s="174"/>
      <c r="C362" s="127" t="s">
        <v>167</v>
      </c>
      <c r="D362" s="127">
        <f>(2.7*6.43+1.2*2.7)*10.764</f>
        <v>221.74916399999998</v>
      </c>
      <c r="E362" s="127">
        <f>(1*1+1.1*2.5)*10.764</f>
        <v>40.364999999999995</v>
      </c>
      <c r="F362" s="127">
        <f t="shared" si="27"/>
        <v>395.16366240000002</v>
      </c>
      <c r="G362" s="174"/>
      <c r="H362" s="174"/>
      <c r="I362" s="38"/>
      <c r="L362" s="182"/>
      <c r="M362" s="182"/>
      <c r="N362" s="38"/>
    </row>
    <row r="363" spans="1:14" s="103" customFormat="1" ht="15.75" customHeight="1" x14ac:dyDescent="0.35">
      <c r="A363" s="174">
        <f t="shared" si="26"/>
        <v>4</v>
      </c>
      <c r="B363" s="174"/>
      <c r="C363" s="127" t="s">
        <v>167</v>
      </c>
      <c r="D363" s="127">
        <f>(2.52*5.4+1.2*2.52)*10.764</f>
        <v>179.026848</v>
      </c>
      <c r="E363" s="127">
        <f>(0.9*1*2)*10.764</f>
        <v>19.3752</v>
      </c>
      <c r="F363" s="127">
        <f t="shared" si="27"/>
        <v>305.8181568</v>
      </c>
      <c r="G363" s="174"/>
      <c r="H363" s="174"/>
      <c r="I363" s="38"/>
      <c r="L363" s="182"/>
      <c r="M363" s="182"/>
      <c r="N363" s="38"/>
    </row>
    <row r="364" spans="1:14" s="103" customFormat="1" ht="15.75" customHeight="1" x14ac:dyDescent="0.35">
      <c r="A364" s="174">
        <f t="shared" si="26"/>
        <v>5</v>
      </c>
      <c r="B364" s="174"/>
      <c r="C364" s="127" t="s">
        <v>167</v>
      </c>
      <c r="D364" s="127">
        <f>(2.7*6.43+1.2*2.7)*10.764</f>
        <v>221.74916399999998</v>
      </c>
      <c r="E364" s="127">
        <f>(1*1+1.1*2.5)*10.764</f>
        <v>40.364999999999995</v>
      </c>
      <c r="F364" s="127">
        <f t="shared" si="27"/>
        <v>395.16366240000002</v>
      </c>
      <c r="G364" s="174"/>
      <c r="H364" s="174"/>
      <c r="I364" s="38"/>
      <c r="L364" s="182"/>
      <c r="M364" s="182"/>
      <c r="N364" s="38"/>
    </row>
    <row r="365" spans="1:14" s="103" customFormat="1" ht="15.75" customHeight="1" x14ac:dyDescent="0.35">
      <c r="A365" s="174">
        <f t="shared" si="26"/>
        <v>6</v>
      </c>
      <c r="B365" s="174"/>
      <c r="C365" s="127" t="s">
        <v>167</v>
      </c>
      <c r="D365" s="127">
        <f>(3.52*6.43+1.2*3.52)*10.764</f>
        <v>289.09520639999994</v>
      </c>
      <c r="E365" s="127">
        <f>(3.52*2.5-1.6*0.9)*10.764</f>
        <v>79.223039999999997</v>
      </c>
      <c r="F365" s="127">
        <f>D365*(($F$261)+1)+(IF(E365&lt;101,E365,IF(E365&lt;201,E365/2,IF(E365&lt;=301,E365/3,E365/4))))</f>
        <v>541.77537023999992</v>
      </c>
      <c r="G365" s="174"/>
      <c r="H365" s="174"/>
      <c r="I365" s="38"/>
      <c r="L365" s="182"/>
      <c r="M365" s="182"/>
      <c r="N365" s="38"/>
    </row>
    <row r="366" spans="1:14" s="103" customFormat="1" ht="15.75" customHeight="1" x14ac:dyDescent="0.35">
      <c r="A366" s="174">
        <f t="shared" si="26"/>
        <v>7</v>
      </c>
      <c r="B366" s="174"/>
      <c r="C366" s="127" t="s">
        <v>167</v>
      </c>
      <c r="D366" s="127">
        <f>(2.7*6.43+1.2*2.7)*10.764</f>
        <v>221.74916399999998</v>
      </c>
      <c r="E366" s="127">
        <f>(1*1+1.1*2.5)*10.764</f>
        <v>40.364999999999995</v>
      </c>
      <c r="F366" s="127">
        <f t="shared" ref="F366:F372" si="28">D366*(($F$261)+1)+(IF(E366&lt;101,E366,IF(E366&lt;201,E366/2,IF(E366&lt;=301,E366/3,E366/4))))</f>
        <v>395.16366240000002</v>
      </c>
      <c r="G366" s="174"/>
      <c r="H366" s="174"/>
      <c r="I366" s="38"/>
      <c r="L366" s="182"/>
      <c r="M366" s="182"/>
      <c r="N366" s="38"/>
    </row>
    <row r="367" spans="1:14" s="103" customFormat="1" ht="15.75" customHeight="1" x14ac:dyDescent="0.35">
      <c r="A367" s="174">
        <f t="shared" si="26"/>
        <v>8</v>
      </c>
      <c r="B367" s="174"/>
      <c r="C367" s="127" t="s">
        <v>167</v>
      </c>
      <c r="D367" s="127">
        <f>(2.52*6.43+1.2*2.52)*10.764</f>
        <v>206.96588639999999</v>
      </c>
      <c r="E367" s="127">
        <f>(2.5*2.52-0.9*1)*10.764</f>
        <v>58.125599999999991</v>
      </c>
      <c r="F367" s="127">
        <f t="shared" si="28"/>
        <v>389.27101823999999</v>
      </c>
      <c r="G367" s="174"/>
      <c r="H367" s="174"/>
      <c r="I367" s="38"/>
      <c r="L367" s="182"/>
      <c r="M367" s="182"/>
      <c r="N367" s="38"/>
    </row>
    <row r="368" spans="1:14" s="103" customFormat="1" ht="15.75" customHeight="1" x14ac:dyDescent="0.35">
      <c r="A368" s="174">
        <f t="shared" si="26"/>
        <v>9</v>
      </c>
      <c r="B368" s="174"/>
      <c r="C368" s="127" t="s">
        <v>167</v>
      </c>
      <c r="D368" s="127">
        <f>(2.7*6.43+1.2*2.7)*10.764</f>
        <v>221.74916399999998</v>
      </c>
      <c r="E368" s="127">
        <f>(1*1+1.1*2.5)*10.764</f>
        <v>40.364999999999995</v>
      </c>
      <c r="F368" s="127">
        <f t="shared" si="28"/>
        <v>395.16366240000002</v>
      </c>
      <c r="G368" s="174"/>
      <c r="H368" s="174"/>
      <c r="I368" s="38"/>
      <c r="L368" s="182"/>
      <c r="M368" s="182"/>
      <c r="N368" s="38"/>
    </row>
    <row r="369" spans="1:14" s="103" customFormat="1" ht="15.75" customHeight="1" x14ac:dyDescent="0.35">
      <c r="A369" s="174">
        <f t="shared" si="26"/>
        <v>10</v>
      </c>
      <c r="B369" s="174"/>
      <c r="C369" s="127" t="s">
        <v>167</v>
      </c>
      <c r="D369" s="127">
        <f>(2.7*5.4+1.2*2.7)*10.764</f>
        <v>191.81448</v>
      </c>
      <c r="E369" s="127">
        <f>(0.9*1*2)*10.764</f>
        <v>19.3752</v>
      </c>
      <c r="F369" s="127">
        <f t="shared" si="28"/>
        <v>326.278368</v>
      </c>
      <c r="G369" s="174"/>
      <c r="H369" s="174"/>
      <c r="I369" s="38"/>
      <c r="L369" s="182"/>
      <c r="M369" s="182"/>
      <c r="N369" s="38"/>
    </row>
    <row r="370" spans="1:14" s="103" customFormat="1" ht="15.75" customHeight="1" x14ac:dyDescent="0.35">
      <c r="A370" s="174">
        <f t="shared" si="26"/>
        <v>11</v>
      </c>
      <c r="B370" s="174"/>
      <c r="C370" s="127" t="s">
        <v>167</v>
      </c>
      <c r="D370" s="127">
        <f>(2.52*6.43+1.2*2.52)*10.764</f>
        <v>206.96588639999999</v>
      </c>
      <c r="E370" s="127">
        <f>(2.5*2.52-0.9*1)*10.764</f>
        <v>58.125599999999991</v>
      </c>
      <c r="F370" s="127">
        <f t="shared" si="28"/>
        <v>389.27101823999999</v>
      </c>
      <c r="G370" s="174"/>
      <c r="H370" s="174"/>
      <c r="I370" s="38"/>
      <c r="L370" s="182"/>
      <c r="M370" s="182"/>
      <c r="N370" s="38"/>
    </row>
    <row r="371" spans="1:14" s="103" customFormat="1" ht="15.75" customHeight="1" x14ac:dyDescent="0.35">
      <c r="A371" s="174">
        <f t="shared" si="26"/>
        <v>12</v>
      </c>
      <c r="B371" s="174"/>
      <c r="C371" s="127" t="s">
        <v>167</v>
      </c>
      <c r="D371" s="127">
        <f>(2.7*6.43+1.2*2.7)*10.764</f>
        <v>221.74916399999998</v>
      </c>
      <c r="E371" s="127">
        <f>(1*1+1.1*2.5)*10.764</f>
        <v>40.364999999999995</v>
      </c>
      <c r="F371" s="127">
        <f t="shared" si="28"/>
        <v>395.16366240000002</v>
      </c>
      <c r="G371" s="174"/>
      <c r="H371" s="174"/>
      <c r="I371" s="38"/>
      <c r="L371" s="182"/>
      <c r="M371" s="182"/>
      <c r="N371" s="38"/>
    </row>
    <row r="372" spans="1:14" s="103" customFormat="1" ht="15.75" customHeight="1" x14ac:dyDescent="0.35">
      <c r="A372" s="174">
        <f t="shared" si="26"/>
        <v>13</v>
      </c>
      <c r="B372" s="174"/>
      <c r="C372" s="127" t="s">
        <v>167</v>
      </c>
      <c r="D372" s="127">
        <f>(3.52*6.43+1.2*3.52)*10.764</f>
        <v>289.09520639999994</v>
      </c>
      <c r="E372" s="127">
        <f>(3.52*2.5-1.6*0.9)*10.764</f>
        <v>79.223039999999997</v>
      </c>
      <c r="F372" s="127">
        <f t="shared" si="28"/>
        <v>541.77537023999992</v>
      </c>
      <c r="G372" s="174"/>
      <c r="H372" s="174"/>
      <c r="I372" s="38"/>
      <c r="L372" s="182"/>
      <c r="M372" s="182"/>
      <c r="N372" s="38"/>
    </row>
    <row r="373" spans="1:14" s="103" customFormat="1" ht="15.75" customHeight="1" x14ac:dyDescent="0.35">
      <c r="A373" s="174">
        <f t="shared" si="26"/>
        <v>14</v>
      </c>
      <c r="B373" s="174"/>
      <c r="C373" s="127" t="s">
        <v>167</v>
      </c>
      <c r="D373" s="127">
        <f>(2.7*5.4+1.2*2.7)*10.764</f>
        <v>191.81448</v>
      </c>
      <c r="E373" s="127">
        <f>(0.9*1*2)*10.764</f>
        <v>19.3752</v>
      </c>
      <c r="F373" s="127">
        <f>D373*(($F$261)+1)+(IF(E373&lt;101,E373,IF(E373&lt;201,E373/2,IF(E373&lt;=301,E373/3,E373/4))))</f>
        <v>326.278368</v>
      </c>
      <c r="G373" s="174"/>
      <c r="H373" s="174"/>
      <c r="I373" s="38"/>
      <c r="L373" s="182"/>
      <c r="M373" s="182"/>
      <c r="N373" s="38"/>
    </row>
    <row r="374" spans="1:14" s="103" customFormat="1" ht="15.75" customHeight="1" x14ac:dyDescent="0.35">
      <c r="A374" s="174">
        <f t="shared" si="26"/>
        <v>15</v>
      </c>
      <c r="B374" s="174"/>
      <c r="C374" s="127" t="s">
        <v>167</v>
      </c>
      <c r="D374" s="127">
        <f>(2.52*6.43+1.2*2.52)*10.764</f>
        <v>206.96588639999999</v>
      </c>
      <c r="E374" s="127">
        <f>(2.5*2.52-0.9*1)*10.764</f>
        <v>58.125599999999991</v>
      </c>
      <c r="F374" s="127">
        <f t="shared" ref="F374:F379" si="29">D374*(($F$261)+1)+(IF(E374&lt;101,E374,IF(E374&lt;201,E374/2,IF(E374&lt;=301,E374/3,E374/4))))</f>
        <v>389.27101823999999</v>
      </c>
      <c r="G374" s="174"/>
      <c r="H374" s="174"/>
      <c r="I374" s="38"/>
      <c r="L374" s="182"/>
      <c r="M374" s="182"/>
      <c r="N374" s="38"/>
    </row>
    <row r="375" spans="1:14" s="103" customFormat="1" ht="15.75" customHeight="1" x14ac:dyDescent="0.35">
      <c r="A375" s="174">
        <f t="shared" si="26"/>
        <v>16</v>
      </c>
      <c r="B375" s="174"/>
      <c r="C375" s="127" t="s">
        <v>167</v>
      </c>
      <c r="D375" s="127">
        <f>(2.7*6.43+1.2*2.7)*10.764</f>
        <v>221.74916399999998</v>
      </c>
      <c r="E375" s="127">
        <f>(1*1+1.1*2.5)*10.764</f>
        <v>40.364999999999995</v>
      </c>
      <c r="F375" s="127">
        <f t="shared" si="29"/>
        <v>395.16366240000002</v>
      </c>
      <c r="G375" s="174"/>
      <c r="H375" s="174"/>
      <c r="I375" s="38"/>
      <c r="L375" s="182"/>
      <c r="M375" s="182"/>
      <c r="N375" s="38"/>
    </row>
    <row r="376" spans="1:14" s="103" customFormat="1" ht="15.75" customHeight="1" x14ac:dyDescent="0.35">
      <c r="A376" s="174">
        <f t="shared" si="26"/>
        <v>17</v>
      </c>
      <c r="B376" s="174"/>
      <c r="C376" s="127" t="s">
        <v>167</v>
      </c>
      <c r="D376" s="127">
        <f>(3.52*6.43+1.2*3.52)*10.764</f>
        <v>289.09520639999994</v>
      </c>
      <c r="E376" s="127">
        <f>(3.52*2.5-1.6*0.9)*10.764</f>
        <v>79.223039999999997</v>
      </c>
      <c r="F376" s="127">
        <f t="shared" si="29"/>
        <v>541.77537023999992</v>
      </c>
      <c r="G376" s="174"/>
      <c r="H376" s="174"/>
      <c r="I376" s="38"/>
      <c r="L376" s="182"/>
      <c r="M376" s="182"/>
      <c r="N376" s="38"/>
    </row>
    <row r="377" spans="1:14" s="103" customFormat="1" ht="15.75" customHeight="1" x14ac:dyDescent="0.35">
      <c r="A377" s="174">
        <f t="shared" si="26"/>
        <v>18</v>
      </c>
      <c r="B377" s="174"/>
      <c r="C377" s="127" t="s">
        <v>167</v>
      </c>
      <c r="D377" s="127">
        <f>(2.7*6.51+2.28*1.69+1.2*2.7)*10.764</f>
        <v>265.5500328</v>
      </c>
      <c r="E377" s="127">
        <f>(2.5*2.7+2.28*1.68-1.7*1.6-1.1*1.3)*10.764</f>
        <v>69.216825599999979</v>
      </c>
      <c r="F377" s="127">
        <f t="shared" si="29"/>
        <v>494.09687808000001</v>
      </c>
      <c r="G377" s="174"/>
      <c r="H377" s="174"/>
      <c r="I377" s="38"/>
      <c r="L377" s="182"/>
      <c r="M377" s="182"/>
      <c r="N377" s="38"/>
    </row>
    <row r="378" spans="1:14" s="103" customFormat="1" ht="15.75" customHeight="1" x14ac:dyDescent="0.35">
      <c r="A378" s="174">
        <f t="shared" si="26"/>
        <v>19</v>
      </c>
      <c r="B378" s="174"/>
      <c r="C378" s="127" t="s">
        <v>167</v>
      </c>
      <c r="D378" s="127">
        <f>(5.85*2.7+1.2*2.7)*10.764</f>
        <v>204.89273999999997</v>
      </c>
      <c r="E378" s="127">
        <f>(2*2.7)*10.764</f>
        <v>58.125599999999999</v>
      </c>
      <c r="F378" s="127">
        <f t="shared" si="29"/>
        <v>385.95398399999999</v>
      </c>
      <c r="G378" s="174"/>
      <c r="H378" s="174"/>
      <c r="I378" s="38"/>
      <c r="L378" s="182"/>
      <c r="M378" s="182"/>
      <c r="N378" s="38"/>
    </row>
    <row r="379" spans="1:14" s="103" customFormat="1" ht="15.75" customHeight="1" x14ac:dyDescent="0.35">
      <c r="A379" s="174">
        <f t="shared" si="26"/>
        <v>20</v>
      </c>
      <c r="B379" s="174"/>
      <c r="C379" s="127" t="s">
        <v>167</v>
      </c>
      <c r="D379" s="127">
        <f>(5.85*3.52+1.2*3.52)*10.764</f>
        <v>267.11942399999998</v>
      </c>
      <c r="E379" s="127">
        <f>(2*3.52)*10.764</f>
        <v>75.778559999999999</v>
      </c>
      <c r="F379" s="127">
        <f t="shared" si="29"/>
        <v>503.16963839999994</v>
      </c>
      <c r="G379" s="174"/>
      <c r="H379" s="174"/>
      <c r="I379" s="38"/>
      <c r="L379" s="182"/>
      <c r="M379" s="182"/>
      <c r="N379" s="38"/>
    </row>
    <row r="380" spans="1:14" s="103" customFormat="1" ht="15.75" customHeight="1" x14ac:dyDescent="0.35">
      <c r="A380" s="174">
        <f t="shared" si="26"/>
        <v>21</v>
      </c>
      <c r="B380" s="174"/>
      <c r="C380" s="127" t="s">
        <v>167</v>
      </c>
      <c r="D380" s="127">
        <f>(5.85*2.7+1.2*2.7)*10.764</f>
        <v>204.89273999999997</v>
      </c>
      <c r="E380" s="127">
        <f>(2*2.7-1.3*0.9)*10.764</f>
        <v>45.53172</v>
      </c>
      <c r="F380" s="127">
        <f>D380*(($F$261)+1)+(IF(E380&lt;101,E380,IF(E380&lt;201,E380/2,IF(E380&lt;=301,E380/3,E380/4))))</f>
        <v>373.36010399999998</v>
      </c>
      <c r="G380" s="174"/>
      <c r="H380" s="174"/>
      <c r="I380" s="38"/>
      <c r="L380" s="182"/>
      <c r="M380" s="182"/>
      <c r="N380" s="38"/>
    </row>
    <row r="381" spans="1:14" s="103" customFormat="1" ht="15.75" customHeight="1" x14ac:dyDescent="0.35">
      <c r="A381" s="174">
        <f t="shared" si="26"/>
        <v>22</v>
      </c>
      <c r="B381" s="174"/>
      <c r="C381" s="127" t="s">
        <v>167</v>
      </c>
      <c r="D381" s="127">
        <f>(5.85*2.52+1.2*2.52)*10.764</f>
        <v>191.23322399999998</v>
      </c>
      <c r="E381" s="127">
        <f>(2*2.52)*10.764</f>
        <v>54.25056</v>
      </c>
      <c r="F381" s="127">
        <f t="shared" ref="F381:F384" si="30">D381*(($F$261)+1)+(IF(E381&lt;101,E381,IF(E381&lt;201,E381/2,IF(E381&lt;=301,E381/3,E381/4))))</f>
        <v>360.2237184</v>
      </c>
      <c r="G381" s="174"/>
      <c r="H381" s="174"/>
      <c r="I381" s="38"/>
      <c r="L381" s="182"/>
      <c r="M381" s="182"/>
      <c r="N381" s="38"/>
    </row>
    <row r="382" spans="1:14" s="103" customFormat="1" ht="15.75" customHeight="1" x14ac:dyDescent="0.35">
      <c r="A382" s="174">
        <f t="shared" si="26"/>
        <v>23</v>
      </c>
      <c r="B382" s="174"/>
      <c r="C382" s="127" t="s">
        <v>167</v>
      </c>
      <c r="D382" s="127">
        <f>(5.85*2.7+1.2*2.7)*10.764</f>
        <v>204.89273999999997</v>
      </c>
      <c r="E382" s="127">
        <f>(2*2.7-1.3*0.9)*10.764</f>
        <v>45.53172</v>
      </c>
      <c r="F382" s="127">
        <f t="shared" si="30"/>
        <v>373.36010399999998</v>
      </c>
      <c r="G382" s="174"/>
      <c r="H382" s="174"/>
      <c r="I382" s="38"/>
      <c r="L382" s="182"/>
      <c r="M382" s="182"/>
      <c r="N382" s="38"/>
    </row>
    <row r="383" spans="1:14" s="103" customFormat="1" ht="15.75" customHeight="1" x14ac:dyDescent="0.35">
      <c r="A383" s="174">
        <f t="shared" si="26"/>
        <v>24</v>
      </c>
      <c r="B383" s="174"/>
      <c r="C383" s="127" t="s">
        <v>167</v>
      </c>
      <c r="D383" s="127">
        <f>(5.85*3.52+1.2*3.52)*10.764</f>
        <v>267.11942399999998</v>
      </c>
      <c r="E383" s="127">
        <f>(2*3.52)*10.764</f>
        <v>75.778559999999999</v>
      </c>
      <c r="F383" s="127">
        <f t="shared" si="30"/>
        <v>503.16963839999994</v>
      </c>
      <c r="G383" s="174"/>
      <c r="H383" s="174"/>
      <c r="I383" s="38"/>
      <c r="L383" s="182"/>
      <c r="M383" s="182"/>
      <c r="N383" s="38"/>
    </row>
    <row r="384" spans="1:14" s="103" customFormat="1" ht="15.75" customHeight="1" x14ac:dyDescent="0.35">
      <c r="A384" s="174">
        <f t="shared" si="26"/>
        <v>25</v>
      </c>
      <c r="B384" s="174"/>
      <c r="C384" s="127" t="s">
        <v>167</v>
      </c>
      <c r="D384" s="127">
        <f>(5.85*2.7+1.2*2.7)*10.764</f>
        <v>204.89273999999997</v>
      </c>
      <c r="E384" s="127">
        <f>(2*2.7-1.3*0.9)*10.764</f>
        <v>45.53172</v>
      </c>
      <c r="F384" s="127">
        <f t="shared" si="30"/>
        <v>373.36010399999998</v>
      </c>
      <c r="G384" s="174"/>
      <c r="H384" s="174"/>
      <c r="I384" s="38"/>
      <c r="L384" s="182"/>
      <c r="M384" s="182"/>
      <c r="N384" s="38"/>
    </row>
    <row r="385" spans="1:14" x14ac:dyDescent="0.35">
      <c r="A385" s="177" t="s">
        <v>208</v>
      </c>
      <c r="B385" s="177"/>
      <c r="C385" s="177"/>
      <c r="D385" s="177"/>
      <c r="E385" s="177"/>
      <c r="F385" s="177"/>
      <c r="G385" s="177"/>
      <c r="H385" s="177"/>
    </row>
    <row r="386" spans="1:14" x14ac:dyDescent="0.35">
      <c r="A386" s="177" t="s">
        <v>168</v>
      </c>
      <c r="B386" s="177"/>
      <c r="C386" s="177"/>
      <c r="D386" s="177"/>
      <c r="E386" s="177"/>
      <c r="F386" s="177"/>
      <c r="G386" s="177"/>
      <c r="H386" s="177"/>
    </row>
    <row r="387" spans="1:14" s="94" customFormat="1" ht="15.75" customHeight="1" x14ac:dyDescent="0.35">
      <c r="A387" s="174">
        <v>1</v>
      </c>
      <c r="B387" s="174"/>
      <c r="C387" s="127" t="s">
        <v>167</v>
      </c>
      <c r="D387" s="127">
        <f>(23.69+1.5*1.8+0.45*1.67+0.6*2.24)*10.764</f>
        <v>306.61792200000002</v>
      </c>
      <c r="E387" s="127">
        <f>(2*2.7-1.5*1)*10.764</f>
        <v>41.979599999999998</v>
      </c>
      <c r="F387" s="127">
        <f>D387*(($F$261)+1)+(IF(E387&lt;101,E387,IF(E387&lt;201,E387/2,IF(E387&lt;=301,E387/3,E387/4))))</f>
        <v>532.56827520000002</v>
      </c>
      <c r="G387" s="174" t="str">
        <f>A386</f>
        <v>Ground Floor for Commercial &amp; Parking</v>
      </c>
      <c r="H387" s="174"/>
      <c r="I387" s="38"/>
      <c r="L387" s="182"/>
      <c r="M387" s="182"/>
      <c r="N387" s="38"/>
    </row>
    <row r="388" spans="1:14" s="94" customFormat="1" ht="15.75" customHeight="1" x14ac:dyDescent="0.35">
      <c r="A388" s="174">
        <f t="shared" ref="A388:A400" si="31">A387+1</f>
        <v>2</v>
      </c>
      <c r="B388" s="174"/>
      <c r="C388" s="127" t="s">
        <v>167</v>
      </c>
      <c r="D388" s="127">
        <f>(6.1*3.52+1.2*3.52)*10.764</f>
        <v>276.59174399999995</v>
      </c>
      <c r="E388" s="127">
        <f>(2*3.52)*10.764</f>
        <v>75.778559999999999</v>
      </c>
      <c r="F388" s="127">
        <f t="shared" ref="F388:F391" si="32">D388*(($F$261)+1)+(IF(E388&lt;101,E388,IF(E388&lt;201,E388/2,IF(E388&lt;=301,E388/3,E388/4))))</f>
        <v>518.32535039999993</v>
      </c>
      <c r="G388" s="174" t="str">
        <f t="shared" ref="G388:G400" si="33">G387</f>
        <v>Ground Floor for Commercial &amp; Parking</v>
      </c>
      <c r="H388" s="174"/>
      <c r="I388" s="38"/>
      <c r="L388" s="182"/>
      <c r="M388" s="182"/>
      <c r="N388" s="38"/>
    </row>
    <row r="389" spans="1:14" s="94" customFormat="1" ht="15.75" customHeight="1" x14ac:dyDescent="0.35">
      <c r="A389" s="174">
        <f t="shared" si="31"/>
        <v>3</v>
      </c>
      <c r="B389" s="174"/>
      <c r="C389" s="127" t="s">
        <v>167</v>
      </c>
      <c r="D389" s="127">
        <f>(3.85*2.7+1.2*2.7+2*1.1+1.6*0.8)*10.764</f>
        <v>184.22586000000001</v>
      </c>
      <c r="E389" s="127">
        <f>(2*2.7-1.5*1)*10.764</f>
        <v>41.979599999999998</v>
      </c>
      <c r="F389" s="127">
        <f t="shared" si="32"/>
        <v>336.74097600000005</v>
      </c>
      <c r="G389" s="174" t="str">
        <f t="shared" si="33"/>
        <v>Ground Floor for Commercial &amp; Parking</v>
      </c>
      <c r="H389" s="174"/>
      <c r="I389" s="38"/>
      <c r="L389" s="182"/>
      <c r="M389" s="182"/>
      <c r="N389" s="38"/>
    </row>
    <row r="390" spans="1:14" s="94" customFormat="1" ht="15.75" customHeight="1" x14ac:dyDescent="0.35">
      <c r="A390" s="174">
        <f t="shared" si="31"/>
        <v>4</v>
      </c>
      <c r="B390" s="174"/>
      <c r="C390" s="127" t="s">
        <v>167</v>
      </c>
      <c r="D390" s="127">
        <f>(6.1*2.52+1.2*2.52)*10.764</f>
        <v>198.014544</v>
      </c>
      <c r="E390" s="127">
        <f>(2*2.52)*10.764</f>
        <v>54.25056</v>
      </c>
      <c r="F390" s="127">
        <f t="shared" si="32"/>
        <v>371.07383040000002</v>
      </c>
      <c r="G390" s="174" t="str">
        <f t="shared" si="33"/>
        <v>Ground Floor for Commercial &amp; Parking</v>
      </c>
      <c r="H390" s="174"/>
      <c r="I390" s="38"/>
      <c r="L390" s="182"/>
      <c r="M390" s="182"/>
      <c r="N390" s="38"/>
    </row>
    <row r="391" spans="1:14" s="94" customFormat="1" ht="15.75" customHeight="1" x14ac:dyDescent="0.35">
      <c r="A391" s="174">
        <f t="shared" si="31"/>
        <v>5</v>
      </c>
      <c r="B391" s="174"/>
      <c r="C391" s="127" t="s">
        <v>167</v>
      </c>
      <c r="D391" s="127">
        <f>(3.85*2.7+1.2*2.7+2*1.1+1.6*0.8)*10.764</f>
        <v>184.22586000000001</v>
      </c>
      <c r="E391" s="127">
        <f>(2*2.7-1.5*1)*10.764</f>
        <v>41.979599999999998</v>
      </c>
      <c r="F391" s="127">
        <f t="shared" si="32"/>
        <v>336.74097600000005</v>
      </c>
      <c r="G391" s="174" t="str">
        <f t="shared" si="33"/>
        <v>Ground Floor for Commercial &amp; Parking</v>
      </c>
      <c r="H391" s="174"/>
      <c r="I391" s="38"/>
      <c r="L391" s="182"/>
      <c r="M391" s="182"/>
      <c r="N391" s="38"/>
    </row>
    <row r="392" spans="1:14" s="94" customFormat="1" ht="15.75" customHeight="1" x14ac:dyDescent="0.35">
      <c r="A392" s="174">
        <f t="shared" si="31"/>
        <v>6</v>
      </c>
      <c r="B392" s="174"/>
      <c r="C392" s="127" t="s">
        <v>167</v>
      </c>
      <c r="D392" s="127">
        <f>(6.1*3.52+1.2*3.52)*10.764</f>
        <v>276.59174399999995</v>
      </c>
      <c r="E392" s="127">
        <f>(2*3.52)*10.764</f>
        <v>75.778559999999999</v>
      </c>
      <c r="F392" s="127">
        <f>D392*(($F$261)+1)+(IF(E392&lt;101,E392,IF(E392&lt;201,E392/2,IF(E392&lt;=301,E392/3,E392/4))))</f>
        <v>518.32535039999993</v>
      </c>
      <c r="G392" s="174" t="str">
        <f t="shared" si="33"/>
        <v>Ground Floor for Commercial &amp; Parking</v>
      </c>
      <c r="H392" s="174"/>
      <c r="I392" s="38"/>
      <c r="L392" s="182"/>
      <c r="M392" s="182"/>
      <c r="N392" s="38"/>
    </row>
    <row r="393" spans="1:14" s="94" customFormat="1" ht="15.75" customHeight="1" x14ac:dyDescent="0.35">
      <c r="A393" s="174">
        <f t="shared" si="31"/>
        <v>7</v>
      </c>
      <c r="B393" s="174"/>
      <c r="C393" s="127" t="s">
        <v>167</v>
      </c>
      <c r="D393" s="127">
        <f>(3.85*2.7+1.2*2.7+2*1.1+1.6*0.8)*10.764</f>
        <v>184.22586000000001</v>
      </c>
      <c r="E393" s="127">
        <f>(2*2.7-1.5*1)*10.764</f>
        <v>41.979599999999998</v>
      </c>
      <c r="F393" s="127">
        <f t="shared" ref="F393:F399" si="34">D393*(($F$261)+1)+(IF(E393&lt;101,E393,IF(E393&lt;201,E393/2,IF(E393&lt;=301,E393/3,E393/4))))</f>
        <v>336.74097600000005</v>
      </c>
      <c r="G393" s="174" t="str">
        <f t="shared" si="33"/>
        <v>Ground Floor for Commercial &amp; Parking</v>
      </c>
      <c r="H393" s="174"/>
      <c r="I393" s="38"/>
      <c r="L393" s="182"/>
      <c r="M393" s="182"/>
      <c r="N393" s="38"/>
    </row>
    <row r="394" spans="1:14" s="94" customFormat="1" ht="15.75" customHeight="1" x14ac:dyDescent="0.35">
      <c r="A394" s="174">
        <f t="shared" si="31"/>
        <v>8</v>
      </c>
      <c r="B394" s="174"/>
      <c r="C394" s="127" t="s">
        <v>167</v>
      </c>
      <c r="D394" s="127">
        <f>(3.85*2.7+1.2*2.7+2*1.1+1.6*0.8)*10.764</f>
        <v>184.22586000000001</v>
      </c>
      <c r="E394" s="127">
        <f>(2*2.7-1.5*1)*10.764</f>
        <v>41.979599999999998</v>
      </c>
      <c r="F394" s="127">
        <f t="shared" si="34"/>
        <v>336.74097600000005</v>
      </c>
      <c r="G394" s="174" t="str">
        <f t="shared" si="33"/>
        <v>Ground Floor for Commercial &amp; Parking</v>
      </c>
      <c r="H394" s="174"/>
      <c r="I394" s="38"/>
      <c r="L394" s="182"/>
      <c r="M394" s="182"/>
      <c r="N394" s="38"/>
    </row>
    <row r="395" spans="1:14" s="94" customFormat="1" ht="15.75" customHeight="1" x14ac:dyDescent="0.35">
      <c r="A395" s="174">
        <f t="shared" si="31"/>
        <v>9</v>
      </c>
      <c r="B395" s="174"/>
      <c r="C395" s="127" t="s">
        <v>167</v>
      </c>
      <c r="D395" s="127">
        <f>(6.1*3.52+1.2*3.52)*10.764</f>
        <v>276.59174399999995</v>
      </c>
      <c r="E395" s="127">
        <f>(2*3.52)*10.764</f>
        <v>75.778559999999999</v>
      </c>
      <c r="F395" s="127">
        <f t="shared" si="34"/>
        <v>518.32535039999993</v>
      </c>
      <c r="G395" s="174" t="str">
        <f t="shared" si="33"/>
        <v>Ground Floor for Commercial &amp; Parking</v>
      </c>
      <c r="H395" s="174"/>
      <c r="I395" s="38"/>
      <c r="L395" s="182"/>
      <c r="M395" s="182"/>
      <c r="N395" s="38"/>
    </row>
    <row r="396" spans="1:14" s="94" customFormat="1" ht="15.75" customHeight="1" x14ac:dyDescent="0.35">
      <c r="A396" s="174">
        <f t="shared" si="31"/>
        <v>10</v>
      </c>
      <c r="B396" s="174"/>
      <c r="C396" s="127" t="s">
        <v>167</v>
      </c>
      <c r="D396" s="127">
        <f>(3.85*2.7+1.2*2.7+2*1.1+1.6*0.8)*10.764</f>
        <v>184.22586000000001</v>
      </c>
      <c r="E396" s="127">
        <f>(2*2.7-1.5*1)*10.764</f>
        <v>41.979599999999998</v>
      </c>
      <c r="F396" s="127">
        <f t="shared" si="34"/>
        <v>336.74097600000005</v>
      </c>
      <c r="G396" s="174" t="str">
        <f t="shared" si="33"/>
        <v>Ground Floor for Commercial &amp; Parking</v>
      </c>
      <c r="H396" s="174"/>
      <c r="I396" s="38"/>
      <c r="L396" s="182"/>
      <c r="M396" s="182"/>
      <c r="N396" s="38"/>
    </row>
    <row r="397" spans="1:14" s="94" customFormat="1" ht="15.75" customHeight="1" x14ac:dyDescent="0.35">
      <c r="A397" s="174">
        <f t="shared" si="31"/>
        <v>11</v>
      </c>
      <c r="B397" s="174"/>
      <c r="C397" s="127" t="s">
        <v>167</v>
      </c>
      <c r="D397" s="127">
        <f>(6.1*2.52+1.2*2.52)*10.764</f>
        <v>198.014544</v>
      </c>
      <c r="E397" s="127">
        <f>(2*2.52)*10.764</f>
        <v>54.25056</v>
      </c>
      <c r="F397" s="127">
        <f t="shared" si="34"/>
        <v>371.07383040000002</v>
      </c>
      <c r="G397" s="174" t="str">
        <f t="shared" si="33"/>
        <v>Ground Floor for Commercial &amp; Parking</v>
      </c>
      <c r="H397" s="174"/>
      <c r="I397" s="38"/>
      <c r="L397" s="182"/>
      <c r="M397" s="182"/>
      <c r="N397" s="38"/>
    </row>
    <row r="398" spans="1:14" s="94" customFormat="1" ht="15.75" customHeight="1" x14ac:dyDescent="0.35">
      <c r="A398" s="174">
        <f t="shared" si="31"/>
        <v>12</v>
      </c>
      <c r="B398" s="174"/>
      <c r="C398" s="127" t="s">
        <v>167</v>
      </c>
      <c r="D398" s="127">
        <f>(3.85*2.7+1.2*2.7+2*1.1+1.6*0.8)*10.764</f>
        <v>184.22586000000001</v>
      </c>
      <c r="E398" s="127">
        <f>(2*2.7-1.5*1)*10.764</f>
        <v>41.979599999999998</v>
      </c>
      <c r="F398" s="127">
        <f t="shared" si="34"/>
        <v>336.74097600000005</v>
      </c>
      <c r="G398" s="174" t="str">
        <f t="shared" si="33"/>
        <v>Ground Floor for Commercial &amp; Parking</v>
      </c>
      <c r="H398" s="174"/>
      <c r="I398" s="38"/>
      <c r="L398" s="182"/>
      <c r="M398" s="182"/>
      <c r="N398" s="38"/>
    </row>
    <row r="399" spans="1:14" s="94" customFormat="1" ht="15.75" customHeight="1" x14ac:dyDescent="0.35">
      <c r="A399" s="174">
        <f t="shared" si="31"/>
        <v>13</v>
      </c>
      <c r="B399" s="174"/>
      <c r="C399" s="127" t="s">
        <v>167</v>
      </c>
      <c r="D399" s="127">
        <f>(6.1*3.52+1.2*3.52)*10.764</f>
        <v>276.59174399999995</v>
      </c>
      <c r="E399" s="127">
        <f>(2*3.52)*10.764</f>
        <v>75.778559999999999</v>
      </c>
      <c r="F399" s="127">
        <f t="shared" si="34"/>
        <v>518.32535039999993</v>
      </c>
      <c r="G399" s="174" t="str">
        <f t="shared" si="33"/>
        <v>Ground Floor for Commercial &amp; Parking</v>
      </c>
      <c r="H399" s="174"/>
      <c r="I399" s="38"/>
      <c r="L399" s="182"/>
      <c r="M399" s="182"/>
      <c r="N399" s="38"/>
    </row>
    <row r="400" spans="1:14" s="94" customFormat="1" ht="15.75" customHeight="1" x14ac:dyDescent="0.35">
      <c r="A400" s="174">
        <f t="shared" si="31"/>
        <v>14</v>
      </c>
      <c r="B400" s="174"/>
      <c r="C400" s="127" t="s">
        <v>167</v>
      </c>
      <c r="D400" s="127">
        <f>(3.85*2.7+1.2*2.7+2*1.1+1.6*0.8)*10.764</f>
        <v>184.22586000000001</v>
      </c>
      <c r="E400" s="127">
        <f>(2*2.7-1.5*1)*10.764</f>
        <v>41.979599999999998</v>
      </c>
      <c r="F400" s="127">
        <f>D400*(($F$261)+1)+(IF(E400&lt;101,E400,IF(E400&lt;201,E400/2,IF(E400&lt;=301,E400/3,E400/4))))</f>
        <v>336.74097600000005</v>
      </c>
      <c r="G400" s="174" t="str">
        <f t="shared" si="33"/>
        <v>Ground Floor for Commercial &amp; Parking</v>
      </c>
      <c r="H400" s="174"/>
      <c r="I400" s="38"/>
      <c r="L400" s="182"/>
      <c r="M400" s="182"/>
      <c r="N400" s="38"/>
    </row>
    <row r="401" spans="1:14" x14ac:dyDescent="0.35">
      <c r="A401" s="177" t="s">
        <v>209</v>
      </c>
      <c r="B401" s="177"/>
      <c r="C401" s="177"/>
      <c r="D401" s="177"/>
      <c r="E401" s="177"/>
      <c r="F401" s="177"/>
      <c r="G401" s="177"/>
      <c r="H401" s="177"/>
    </row>
    <row r="402" spans="1:14" x14ac:dyDescent="0.35">
      <c r="A402" s="177" t="s">
        <v>168</v>
      </c>
      <c r="B402" s="177"/>
      <c r="C402" s="177"/>
      <c r="D402" s="177"/>
      <c r="E402" s="177"/>
      <c r="F402" s="177"/>
      <c r="G402" s="177"/>
      <c r="H402" s="177"/>
    </row>
    <row r="403" spans="1:14" s="94" customFormat="1" ht="15.75" customHeight="1" x14ac:dyDescent="0.35">
      <c r="A403" s="174">
        <v>1</v>
      </c>
      <c r="B403" s="174"/>
      <c r="C403" s="127" t="s">
        <v>167</v>
      </c>
      <c r="D403" s="127">
        <f>(2.7*5.85)*10.764</f>
        <v>170.01738</v>
      </c>
      <c r="E403" s="127">
        <f>(1.2*2.7)*10.764</f>
        <v>34.875360000000001</v>
      </c>
      <c r="F403" s="127">
        <f>D403*(($F$261)+1)+(IF(E403&lt;101,E403,IF(E403&lt;201,E403/2,IF(E403&lt;=301,E403/3,E403/4))))</f>
        <v>306.90316799999999</v>
      </c>
      <c r="G403" s="174" t="str">
        <f>A402</f>
        <v>Ground Floor for Commercial &amp; Parking</v>
      </c>
      <c r="H403" s="174"/>
      <c r="I403" s="38"/>
      <c r="L403" s="182"/>
      <c r="M403" s="182"/>
      <c r="N403" s="38"/>
    </row>
    <row r="404" spans="1:14" s="94" customFormat="1" ht="15.75" customHeight="1" x14ac:dyDescent="0.35">
      <c r="A404" s="174">
        <f t="shared" ref="A404:A419" si="35">A403+1</f>
        <v>2</v>
      </c>
      <c r="B404" s="174"/>
      <c r="C404" s="127" t="s">
        <v>167</v>
      </c>
      <c r="D404" s="127">
        <f>(3.48*5.85)*10.764</f>
        <v>219.13351199999997</v>
      </c>
      <c r="E404" s="127">
        <f>(2*3.48)*10.764</f>
        <v>74.917439999999999</v>
      </c>
      <c r="F404" s="127">
        <f t="shared" ref="F404:F407" si="36">D404*(($F$261)+1)+(IF(E404&lt;101,E404,IF(E404&lt;201,E404/2,IF(E404&lt;=301,E404/3,E404/4))))</f>
        <v>425.53105919999996</v>
      </c>
      <c r="G404" s="174"/>
      <c r="H404" s="174"/>
      <c r="I404" s="38"/>
      <c r="L404" s="182"/>
      <c r="M404" s="182"/>
      <c r="N404" s="38"/>
    </row>
    <row r="405" spans="1:14" s="94" customFormat="1" ht="15.75" customHeight="1" x14ac:dyDescent="0.35">
      <c r="A405" s="174">
        <f t="shared" si="35"/>
        <v>3</v>
      </c>
      <c r="B405" s="174"/>
      <c r="C405" s="127" t="s">
        <v>167</v>
      </c>
      <c r="D405" s="127">
        <f>(2.7*5.85)*10.764</f>
        <v>170.01738</v>
      </c>
      <c r="E405" s="127">
        <f>(2*2.7-1.5*0.9)*10.764</f>
        <v>43.594200000000008</v>
      </c>
      <c r="F405" s="127">
        <f t="shared" si="36"/>
        <v>315.62200799999999</v>
      </c>
      <c r="G405" s="174"/>
      <c r="H405" s="174"/>
      <c r="I405" s="38"/>
      <c r="L405" s="182"/>
      <c r="M405" s="182"/>
      <c r="N405" s="38"/>
    </row>
    <row r="406" spans="1:14" s="94" customFormat="1" ht="15.75" customHeight="1" x14ac:dyDescent="0.35">
      <c r="A406" s="174">
        <f t="shared" si="35"/>
        <v>4</v>
      </c>
      <c r="B406" s="174"/>
      <c r="C406" s="127" t="s">
        <v>167</v>
      </c>
      <c r="D406" s="127">
        <f>(5.85*2.48)*10.764</f>
        <v>156.16411199999999</v>
      </c>
      <c r="E406" s="127">
        <f>(2*2.48)*10.764</f>
        <v>53.389439999999993</v>
      </c>
      <c r="F406" s="127">
        <f t="shared" si="36"/>
        <v>303.25201920000001</v>
      </c>
      <c r="G406" s="174"/>
      <c r="H406" s="174"/>
      <c r="I406" s="38"/>
      <c r="L406" s="182"/>
      <c r="M406" s="182"/>
      <c r="N406" s="38"/>
    </row>
    <row r="407" spans="1:14" s="94" customFormat="1" ht="15.75" customHeight="1" x14ac:dyDescent="0.35">
      <c r="A407" s="174">
        <f t="shared" si="35"/>
        <v>5</v>
      </c>
      <c r="B407" s="174"/>
      <c r="C407" s="127" t="s">
        <v>167</v>
      </c>
      <c r="D407" s="127">
        <f>(2.7*5.85)*10.764</f>
        <v>170.01738</v>
      </c>
      <c r="E407" s="127">
        <f>(2*2.7-1.2*0.9)*10.764</f>
        <v>46.500480000000003</v>
      </c>
      <c r="F407" s="127">
        <f t="shared" si="36"/>
        <v>318.52828799999997</v>
      </c>
      <c r="G407" s="174"/>
      <c r="H407" s="174"/>
      <c r="I407" s="38"/>
      <c r="L407" s="182"/>
      <c r="M407" s="182"/>
      <c r="N407" s="38"/>
    </row>
    <row r="408" spans="1:14" s="94" customFormat="1" ht="15.75" customHeight="1" x14ac:dyDescent="0.35">
      <c r="A408" s="174">
        <f t="shared" si="35"/>
        <v>6</v>
      </c>
      <c r="B408" s="174"/>
      <c r="C408" s="127" t="s">
        <v>167</v>
      </c>
      <c r="D408" s="127">
        <f>(3.48*5.85)*10.764</f>
        <v>219.13351199999997</v>
      </c>
      <c r="E408" s="127">
        <f>(1.2*3.48)*10.764</f>
        <v>44.950463999999997</v>
      </c>
      <c r="F408" s="127">
        <f>D408*(($F$261)+1)+(IF(E408&lt;101,E408,IF(E408&lt;201,E408/2,IF(E408&lt;=301,E408/3,E408/4))))</f>
        <v>395.56408319999997</v>
      </c>
      <c r="G408" s="174"/>
      <c r="H408" s="174"/>
      <c r="I408" s="38"/>
      <c r="L408" s="182"/>
      <c r="M408" s="182"/>
      <c r="N408" s="38"/>
    </row>
    <row r="409" spans="1:14" s="94" customFormat="1" ht="15.75" customHeight="1" x14ac:dyDescent="0.35">
      <c r="A409" s="174">
        <f t="shared" si="35"/>
        <v>7</v>
      </c>
      <c r="B409" s="174"/>
      <c r="C409" s="127" t="s">
        <v>167</v>
      </c>
      <c r="D409" s="127">
        <f>(2.7*5.85)*10.764</f>
        <v>170.01738</v>
      </c>
      <c r="E409" s="127">
        <f>(1.2*2.7)*10.764</f>
        <v>34.875360000000001</v>
      </c>
      <c r="F409" s="127">
        <f t="shared" ref="F409:F415" si="37">D409*(($F$261)+1)+(IF(E409&lt;101,E409,IF(E409&lt;201,E409/2,IF(E409&lt;=301,E409/3,E409/4))))</f>
        <v>306.90316799999999</v>
      </c>
      <c r="G409" s="174"/>
      <c r="H409" s="174"/>
      <c r="I409" s="38"/>
      <c r="L409" s="182"/>
      <c r="M409" s="182"/>
      <c r="N409" s="38"/>
    </row>
    <row r="410" spans="1:14" s="94" customFormat="1" ht="15.75" customHeight="1" x14ac:dyDescent="0.35">
      <c r="A410" s="174">
        <f t="shared" si="35"/>
        <v>8</v>
      </c>
      <c r="B410" s="174"/>
      <c r="C410" s="127" t="s">
        <v>167</v>
      </c>
      <c r="D410" s="127">
        <f>(2.7*5.85)*10.764</f>
        <v>170.01738</v>
      </c>
      <c r="E410" s="127">
        <f>(2.7*1.2)*10.764</f>
        <v>34.875360000000001</v>
      </c>
      <c r="F410" s="127">
        <f t="shared" si="37"/>
        <v>306.90316799999999</v>
      </c>
      <c r="G410" s="174"/>
      <c r="H410" s="174"/>
      <c r="I410" s="38"/>
      <c r="L410" s="182"/>
      <c r="M410" s="182"/>
      <c r="N410" s="38"/>
    </row>
    <row r="411" spans="1:14" s="94" customFormat="1" ht="15.75" customHeight="1" x14ac:dyDescent="0.35">
      <c r="A411" s="174">
        <f t="shared" si="35"/>
        <v>9</v>
      </c>
      <c r="B411" s="174"/>
      <c r="C411" s="127" t="s">
        <v>167</v>
      </c>
      <c r="D411" s="127">
        <f>(3.48*5.85)*10.764</f>
        <v>219.13351199999997</v>
      </c>
      <c r="E411" s="127">
        <f>(3.48*1.2)*10.764</f>
        <v>44.950463999999997</v>
      </c>
      <c r="F411" s="127">
        <f t="shared" si="37"/>
        <v>395.56408319999997</v>
      </c>
      <c r="G411" s="174"/>
      <c r="H411" s="174"/>
      <c r="I411" s="38"/>
      <c r="L411" s="182"/>
      <c r="M411" s="182"/>
      <c r="N411" s="38"/>
    </row>
    <row r="412" spans="1:14" s="94" customFormat="1" ht="15.75" customHeight="1" x14ac:dyDescent="0.35">
      <c r="A412" s="174">
        <f t="shared" si="35"/>
        <v>10</v>
      </c>
      <c r="B412" s="174"/>
      <c r="C412" s="127" t="s">
        <v>167</v>
      </c>
      <c r="D412" s="127">
        <f>(2.7*5.85)*10.764</f>
        <v>170.01738</v>
      </c>
      <c r="E412" s="127">
        <f>(1.2*2.7)*10.764</f>
        <v>34.875360000000001</v>
      </c>
      <c r="F412" s="127">
        <f t="shared" si="37"/>
        <v>306.90316799999999</v>
      </c>
      <c r="G412" s="174"/>
      <c r="H412" s="174"/>
      <c r="I412" s="38"/>
      <c r="L412" s="182"/>
      <c r="M412" s="182"/>
      <c r="N412" s="38"/>
    </row>
    <row r="413" spans="1:14" s="94" customFormat="1" ht="15.75" customHeight="1" x14ac:dyDescent="0.35">
      <c r="A413" s="174">
        <f t="shared" si="35"/>
        <v>11</v>
      </c>
      <c r="B413" s="174"/>
      <c r="C413" s="127" t="s">
        <v>167</v>
      </c>
      <c r="D413" s="127">
        <f>(2.7*5.85)*10.764</f>
        <v>170.01738</v>
      </c>
      <c r="E413" s="127">
        <f>(1.2*2.7)*10.764</f>
        <v>34.875360000000001</v>
      </c>
      <c r="F413" s="127">
        <f t="shared" si="37"/>
        <v>306.90316799999999</v>
      </c>
      <c r="G413" s="174"/>
      <c r="H413" s="174"/>
      <c r="I413" s="38"/>
      <c r="L413" s="182"/>
      <c r="M413" s="182"/>
      <c r="N413" s="38"/>
    </row>
    <row r="414" spans="1:14" s="94" customFormat="1" ht="15.75" customHeight="1" x14ac:dyDescent="0.35">
      <c r="A414" s="174">
        <f t="shared" si="35"/>
        <v>12</v>
      </c>
      <c r="B414" s="174"/>
      <c r="C414" s="127" t="s">
        <v>167</v>
      </c>
      <c r="D414" s="127">
        <f>(3.48*5.85)*10.764</f>
        <v>219.13351199999997</v>
      </c>
      <c r="E414" s="127">
        <f>(2*3.48)*10.764</f>
        <v>74.917439999999999</v>
      </c>
      <c r="F414" s="127">
        <f t="shared" si="37"/>
        <v>425.53105919999996</v>
      </c>
      <c r="G414" s="174"/>
      <c r="H414" s="174"/>
      <c r="I414" s="38"/>
      <c r="L414" s="182"/>
      <c r="M414" s="182"/>
      <c r="N414" s="38"/>
    </row>
    <row r="415" spans="1:14" s="94" customFormat="1" ht="15.75" customHeight="1" x14ac:dyDescent="0.35">
      <c r="A415" s="174">
        <f t="shared" si="35"/>
        <v>13</v>
      </c>
      <c r="B415" s="174"/>
      <c r="C415" s="127" t="s">
        <v>167</v>
      </c>
      <c r="D415" s="127">
        <f>(2.7*5.85)*10.764</f>
        <v>170.01738</v>
      </c>
      <c r="E415" s="127">
        <f>(2.7*1.2)*10.764</f>
        <v>34.875360000000001</v>
      </c>
      <c r="F415" s="127">
        <f t="shared" si="37"/>
        <v>306.90316799999999</v>
      </c>
      <c r="G415" s="174"/>
      <c r="H415" s="174"/>
      <c r="I415" s="38"/>
      <c r="L415" s="182"/>
      <c r="M415" s="182"/>
      <c r="N415" s="38"/>
    </row>
    <row r="416" spans="1:14" s="94" customFormat="1" ht="15.75" customHeight="1" x14ac:dyDescent="0.35">
      <c r="A416" s="174">
        <f t="shared" si="35"/>
        <v>14</v>
      </c>
      <c r="B416" s="174"/>
      <c r="C416" s="127" t="s">
        <v>167</v>
      </c>
      <c r="D416" s="127">
        <f>(6.7*2.73+1.2*3.12+1.2*3.12)*10.764</f>
        <v>277.48515599999996</v>
      </c>
      <c r="E416" s="127">
        <f>(2*1.2+1.2*1.2)*10.764</f>
        <v>41.333759999999998</v>
      </c>
      <c r="F416" s="127">
        <f>D416*(($F$261)+1)+(IF(E416&lt;101,E416,IF(E416&lt;201,E416/2,IF(E416&lt;=301,E416/3,E416/4))))</f>
        <v>485.31000959999994</v>
      </c>
      <c r="G416" s="174"/>
      <c r="H416" s="174"/>
      <c r="I416" s="38"/>
      <c r="L416" s="182"/>
      <c r="M416" s="182"/>
      <c r="N416" s="38"/>
    </row>
    <row r="417" spans="1:14" s="94" customFormat="1" ht="15.75" customHeight="1" x14ac:dyDescent="0.35">
      <c r="A417" s="174">
        <f t="shared" si="35"/>
        <v>15</v>
      </c>
      <c r="B417" s="174"/>
      <c r="C417" s="127" t="s">
        <v>167</v>
      </c>
      <c r="D417" s="127">
        <f>(2.7*5.85)*10.764</f>
        <v>170.01738</v>
      </c>
      <c r="E417" s="127">
        <f>(1.2*2.7)*10.764</f>
        <v>34.875360000000001</v>
      </c>
      <c r="F417" s="127">
        <f t="shared" ref="F417:F418" si="38">D417*(($F$261)+1)+(IF(E417&lt;101,E417,IF(E417&lt;201,E417/2,IF(E417&lt;=301,E417/3,E417/4))))</f>
        <v>306.90316799999999</v>
      </c>
      <c r="G417" s="174"/>
      <c r="H417" s="174"/>
      <c r="I417" s="38"/>
      <c r="L417" s="182"/>
      <c r="M417" s="182"/>
      <c r="N417" s="38"/>
    </row>
    <row r="418" spans="1:14" s="94" customFormat="1" ht="15.75" customHeight="1" x14ac:dyDescent="0.35">
      <c r="A418" s="174">
        <f t="shared" si="35"/>
        <v>16</v>
      </c>
      <c r="B418" s="174"/>
      <c r="C418" s="127" t="s">
        <v>167</v>
      </c>
      <c r="D418" s="127">
        <f>(3.48*5.85)*10.764</f>
        <v>219.13351199999997</v>
      </c>
      <c r="E418" s="127">
        <f>(2*3.48)*10.764</f>
        <v>74.917439999999999</v>
      </c>
      <c r="F418" s="127">
        <f t="shared" si="38"/>
        <v>425.53105919999996</v>
      </c>
      <c r="G418" s="174"/>
      <c r="H418" s="174"/>
      <c r="I418" s="38"/>
      <c r="L418" s="182"/>
      <c r="M418" s="182"/>
      <c r="N418" s="38"/>
    </row>
    <row r="419" spans="1:14" s="94" customFormat="1" ht="15.75" customHeight="1" x14ac:dyDescent="0.35">
      <c r="A419" s="174">
        <f t="shared" si="35"/>
        <v>17</v>
      </c>
      <c r="B419" s="174"/>
      <c r="C419" s="127" t="s">
        <v>167</v>
      </c>
      <c r="D419" s="127">
        <f>(2.7*5.85)*10.764</f>
        <v>170.01738</v>
      </c>
      <c r="E419" s="127">
        <f>(2.7*1.2)*10.764</f>
        <v>34.875360000000001</v>
      </c>
      <c r="F419" s="127">
        <f>D419*(($F$261)+1)+(IF(E419&lt;101,E419,IF(E419&lt;201,E419/2,IF(E419&lt;=301,E419/3,E419/4))))</f>
        <v>306.90316799999999</v>
      </c>
      <c r="G419" s="174"/>
      <c r="H419" s="174"/>
      <c r="I419" s="38"/>
      <c r="L419" s="182"/>
      <c r="M419" s="182"/>
      <c r="N419" s="38"/>
    </row>
    <row r="420" spans="1:14" s="40" customFormat="1" x14ac:dyDescent="0.35">
      <c r="A420" s="175"/>
      <c r="B420" s="254"/>
      <c r="C420" s="254"/>
      <c r="D420" s="254"/>
      <c r="E420" s="254"/>
      <c r="F420" s="254"/>
      <c r="G420" s="254"/>
      <c r="H420" s="176"/>
      <c r="I420" s="38"/>
      <c r="N420" s="38"/>
    </row>
    <row r="421" spans="1:14" ht="47.25" customHeight="1" x14ac:dyDescent="0.35">
      <c r="A421" s="200" t="s">
        <v>132</v>
      </c>
      <c r="B421" s="200" t="s">
        <v>133</v>
      </c>
      <c r="C421" s="196" t="s">
        <v>60</v>
      </c>
      <c r="D421" s="196" t="s">
        <v>61</v>
      </c>
      <c r="E421" s="198" t="s">
        <v>62</v>
      </c>
      <c r="F421" s="41" t="s">
        <v>164</v>
      </c>
      <c r="G421" s="200" t="s">
        <v>63</v>
      </c>
      <c r="H421" s="201"/>
      <c r="I421" s="38"/>
    </row>
    <row r="422" spans="1:14" s="40" customFormat="1" x14ac:dyDescent="0.35">
      <c r="A422" s="202"/>
      <c r="B422" s="202"/>
      <c r="C422" s="197"/>
      <c r="D422" s="197"/>
      <c r="E422" s="199"/>
      <c r="F422" s="36">
        <v>0.5</v>
      </c>
      <c r="G422" s="202"/>
      <c r="H422" s="203"/>
      <c r="I422" s="38"/>
    </row>
    <row r="423" spans="1:14" hidden="1" x14ac:dyDescent="0.35">
      <c r="A423" s="177" t="s">
        <v>166</v>
      </c>
      <c r="B423" s="177"/>
      <c r="C423" s="177"/>
      <c r="D423" s="177"/>
      <c r="E423" s="177"/>
      <c r="F423" s="177"/>
      <c r="G423" s="177"/>
      <c r="H423" s="177"/>
    </row>
    <row r="424" spans="1:14" s="2" customFormat="1" hidden="1" x14ac:dyDescent="0.35">
      <c r="A424" s="183" t="s">
        <v>169</v>
      </c>
      <c r="B424" s="183"/>
      <c r="C424" s="183"/>
      <c r="D424" s="183"/>
      <c r="E424" s="183"/>
      <c r="F424" s="183"/>
      <c r="G424" s="183"/>
      <c r="H424" s="183"/>
      <c r="I424" s="38"/>
      <c r="L424" s="182"/>
      <c r="M424" s="182"/>
    </row>
    <row r="425" spans="1:14" s="2" customFormat="1" hidden="1" x14ac:dyDescent="0.35">
      <c r="A425" s="174">
        <v>1</v>
      </c>
      <c r="B425" s="174"/>
      <c r="C425" s="16" t="s">
        <v>200</v>
      </c>
      <c r="D425" s="16">
        <f>(23.69+1.5*1.8+0.45*1.87+1.8*1.3)*10.764</f>
        <v>318.30762599999997</v>
      </c>
      <c r="E425" s="16">
        <f>(4.45*1.2+4.2*1.2)*10.764</f>
        <v>111.73031999999998</v>
      </c>
      <c r="F425" s="89">
        <f t="shared" ref="F425:F426" si="39">D425*(($F$422)+1)+(IF(E425&lt;101,E425,IF(E425&lt;201,E425/2,IF(E425&lt;=301,E425/3,E425/4))))</f>
        <v>533.32659899999987</v>
      </c>
      <c r="G425" s="174" t="str">
        <f>A424</f>
        <v>1st Floor for Residential</v>
      </c>
      <c r="H425" s="174"/>
      <c r="I425" s="38">
        <f>(2.42*3.12+2.44*2.9+1.87*2.24+1.14*1.84+0.95*1.22+0.9*4.4)</f>
        <v>26.0318</v>
      </c>
      <c r="L425" s="51"/>
      <c r="M425" s="51"/>
      <c r="N425" s="38"/>
    </row>
    <row r="426" spans="1:14" s="2" customFormat="1" hidden="1" x14ac:dyDescent="0.35">
      <c r="A426" s="174">
        <f t="shared" ref="A426:A465" si="40">A425+1</f>
        <v>2</v>
      </c>
      <c r="B426" s="174"/>
      <c r="C426" s="90" t="s">
        <v>200</v>
      </c>
      <c r="D426" s="16">
        <f>(23.69+1.5*1.8+1.67*0.45+1.2*1.2+3.16*0.75)*10.764</f>
        <v>333.161946</v>
      </c>
      <c r="E426" s="52">
        <f>(1.8*3.5)*10.764</f>
        <v>67.813199999999995</v>
      </c>
      <c r="F426" s="89">
        <f t="shared" si="39"/>
        <v>567.55611900000008</v>
      </c>
      <c r="G426" s="174" t="str">
        <f t="shared" ref="G426:G465" si="41">G425</f>
        <v>1st Floor for Residential</v>
      </c>
      <c r="H426" s="174"/>
      <c r="I426" s="38"/>
      <c r="L426" s="51"/>
      <c r="M426" s="51"/>
      <c r="N426" s="38"/>
    </row>
    <row r="427" spans="1:14" s="2" customFormat="1" hidden="1" x14ac:dyDescent="0.35">
      <c r="A427" s="174">
        <f t="shared" si="40"/>
        <v>3</v>
      </c>
      <c r="B427" s="174"/>
      <c r="C427" s="90" t="s">
        <v>200</v>
      </c>
      <c r="D427" s="16">
        <f>(23.69+1.5*1.8+0.45*1.67+3.16*0.75)*10.764</f>
        <v>317.66178600000001</v>
      </c>
      <c r="E427" s="52">
        <f>(3.5*1.8+5*1.2)*10.764</f>
        <v>132.3972</v>
      </c>
      <c r="F427" s="86">
        <f>D427*(($F$422)+1)+(IF(E427&lt;101,E427,IF(E427&lt;201,E427/2,IF(E427&lt;=301,E427/3,E427/4))))</f>
        <v>542.69127900000001</v>
      </c>
      <c r="G427" s="174" t="str">
        <f t="shared" si="41"/>
        <v>1st Floor for Residential</v>
      </c>
      <c r="H427" s="174"/>
      <c r="I427" s="38"/>
      <c r="L427" s="51"/>
      <c r="M427" s="51"/>
      <c r="N427" s="38"/>
    </row>
    <row r="428" spans="1:14" s="2" customFormat="1" hidden="1" x14ac:dyDescent="0.35">
      <c r="A428" s="174">
        <f t="shared" si="40"/>
        <v>4</v>
      </c>
      <c r="B428" s="174"/>
      <c r="C428" s="90" t="s">
        <v>200</v>
      </c>
      <c r="D428" s="37">
        <f>(23.69+1.5*1.8+0.45*1.67)*10.764</f>
        <v>292.15110599999997</v>
      </c>
      <c r="E428" s="52">
        <f>(6.17*1.2+4.5*1.2+1.8*2.7)*10.764</f>
        <v>190.13529599999995</v>
      </c>
      <c r="F428" s="89">
        <f t="shared" ref="F428:F431" si="42">D428*(($F$422)+1)+(IF(E428&lt;101,E428,IF(E428&lt;201,E428/2,IF(E428&lt;=301,E428/3,E428/4))))</f>
        <v>533.29430699999989</v>
      </c>
      <c r="G428" s="174" t="str">
        <f t="shared" si="41"/>
        <v>1st Floor for Residential</v>
      </c>
      <c r="H428" s="174"/>
      <c r="I428" s="38"/>
      <c r="L428" s="51"/>
      <c r="M428" s="51"/>
      <c r="N428" s="38"/>
    </row>
    <row r="429" spans="1:14" s="2" customFormat="1" hidden="1" x14ac:dyDescent="0.35">
      <c r="A429" s="174">
        <f t="shared" si="40"/>
        <v>5</v>
      </c>
      <c r="B429" s="174"/>
      <c r="C429" s="90" t="s">
        <v>200</v>
      </c>
      <c r="D429" s="90">
        <f>(23.69+1.5*1.8+0.45*1.67)*10.764</f>
        <v>292.15110599999997</v>
      </c>
      <c r="E429" s="90">
        <f>(6.17*1.2+4.5*1.2+1.8*2.7)*10.764</f>
        <v>190.13529599999995</v>
      </c>
      <c r="F429" s="89">
        <f t="shared" si="42"/>
        <v>533.29430699999989</v>
      </c>
      <c r="G429" s="174" t="str">
        <f t="shared" si="41"/>
        <v>1st Floor for Residential</v>
      </c>
      <c r="H429" s="174"/>
      <c r="I429" s="38"/>
      <c r="L429" s="51"/>
      <c r="M429" s="51"/>
      <c r="N429" s="38"/>
    </row>
    <row r="430" spans="1:14" s="2" customFormat="1" hidden="1" x14ac:dyDescent="0.35">
      <c r="A430" s="174">
        <f t="shared" si="40"/>
        <v>6</v>
      </c>
      <c r="B430" s="174"/>
      <c r="C430" s="90" t="s">
        <v>200</v>
      </c>
      <c r="D430" s="37">
        <f>(23.69+1.5*1.8+1.67*0.45+1.2*1.8+3.16*0.75)*10.764</f>
        <v>340.91202600000003</v>
      </c>
      <c r="E430" s="52">
        <f>(5*1.2)*10.764</f>
        <v>64.584000000000003</v>
      </c>
      <c r="F430" s="89">
        <f t="shared" si="42"/>
        <v>575.95203900000001</v>
      </c>
      <c r="G430" s="174" t="str">
        <f t="shared" si="41"/>
        <v>1st Floor for Residential</v>
      </c>
      <c r="H430" s="174"/>
      <c r="I430" s="38"/>
      <c r="L430" s="51"/>
      <c r="M430" s="51"/>
      <c r="N430" s="38"/>
    </row>
    <row r="431" spans="1:14" s="91" customFormat="1" hidden="1" x14ac:dyDescent="0.35">
      <c r="A431" s="174">
        <f t="shared" si="40"/>
        <v>7</v>
      </c>
      <c r="B431" s="174"/>
      <c r="C431" s="90" t="s">
        <v>200</v>
      </c>
      <c r="D431" s="90">
        <f>(23.69+1.5*1.8+0.45*1.67)*10.764</f>
        <v>292.15110599999997</v>
      </c>
      <c r="E431" s="90">
        <f>(6.17*1.2+4.5*1.2+1.8*2.7)*10.764</f>
        <v>190.13529599999995</v>
      </c>
      <c r="F431" s="90">
        <f t="shared" si="42"/>
        <v>533.29430699999989</v>
      </c>
      <c r="G431" s="174" t="str">
        <f t="shared" si="41"/>
        <v>1st Floor for Residential</v>
      </c>
      <c r="H431" s="174"/>
      <c r="I431" s="38"/>
      <c r="N431" s="38"/>
    </row>
    <row r="432" spans="1:14" s="91" customFormat="1" hidden="1" x14ac:dyDescent="0.35">
      <c r="A432" s="174">
        <f t="shared" si="40"/>
        <v>8</v>
      </c>
      <c r="B432" s="174"/>
      <c r="C432" s="90" t="s">
        <v>200</v>
      </c>
      <c r="D432" s="90">
        <f>(23.69+1.5*1.8+0.45*1.67+1.2*1.2)*10.764</f>
        <v>307.65126600000002</v>
      </c>
      <c r="E432" s="90">
        <f>(4.88*1.2+2.7*1.8)*10.764</f>
        <v>115.347024</v>
      </c>
      <c r="F432" s="90">
        <f>D432*(($F$422)+1)+(IF(E432&lt;101,E432,IF(E432&lt;201,E432/2,IF(E432&lt;=301,E432/3,E432/4))))</f>
        <v>519.15041099999996</v>
      </c>
      <c r="G432" s="174" t="str">
        <f t="shared" si="41"/>
        <v>1st Floor for Residential</v>
      </c>
      <c r="H432" s="174"/>
      <c r="I432" s="38"/>
      <c r="N432" s="38"/>
    </row>
    <row r="433" spans="1:14" s="91" customFormat="1" hidden="1" x14ac:dyDescent="0.35">
      <c r="A433" s="174">
        <f t="shared" si="40"/>
        <v>9</v>
      </c>
      <c r="B433" s="174"/>
      <c r="C433" s="90" t="s">
        <v>200</v>
      </c>
      <c r="D433" s="90">
        <f>(23.69+1.5*1.8+0.45*1.67+3.16*0.75+1.2*1.2)*10.764</f>
        <v>333.161946</v>
      </c>
      <c r="E433" s="90">
        <f>(3.5*1.8)*10.764</f>
        <v>67.813199999999995</v>
      </c>
      <c r="F433" s="90">
        <f t="shared" ref="F433:F436" si="43">D433*(($F$422)+1)+(IF(E433&lt;101,E433,IF(E433&lt;201,E433/2,IF(E433&lt;=301,E433/3,E433/4))))</f>
        <v>567.55611900000008</v>
      </c>
      <c r="G433" s="174" t="str">
        <f t="shared" si="41"/>
        <v>1st Floor for Residential</v>
      </c>
      <c r="H433" s="174"/>
      <c r="I433" s="38"/>
      <c r="N433" s="38"/>
    </row>
    <row r="434" spans="1:14" s="91" customFormat="1" hidden="1" x14ac:dyDescent="0.35">
      <c r="A434" s="174">
        <f t="shared" si="40"/>
        <v>10</v>
      </c>
      <c r="B434" s="174"/>
      <c r="C434" s="90" t="s">
        <v>200</v>
      </c>
      <c r="D434" s="90">
        <f>(23.69+1.5*1.8+0.45*1.67+3.06*0.75)*10.764</f>
        <v>316.85448600000001</v>
      </c>
      <c r="E434" s="90">
        <f>(1.8*3.5+5*1.2)*10.764</f>
        <v>132.3972</v>
      </c>
      <c r="F434" s="90">
        <f t="shared" si="43"/>
        <v>541.48032899999998</v>
      </c>
      <c r="G434" s="174" t="str">
        <f t="shared" si="41"/>
        <v>1st Floor for Residential</v>
      </c>
      <c r="H434" s="174"/>
      <c r="I434" s="38"/>
      <c r="N434" s="38"/>
    </row>
    <row r="435" spans="1:14" s="91" customFormat="1" hidden="1" x14ac:dyDescent="0.35">
      <c r="A435" s="174">
        <f t="shared" si="40"/>
        <v>11</v>
      </c>
      <c r="B435" s="174"/>
      <c r="C435" s="90" t="s">
        <v>200</v>
      </c>
      <c r="D435" s="90">
        <f>(23.69+1.5*1.8+0.45*1.67+3.16*0.75+1.2*1.2)*10.764</f>
        <v>333.161946</v>
      </c>
      <c r="E435" s="90">
        <f>(3.5*1.8)*10.764</f>
        <v>67.813199999999995</v>
      </c>
      <c r="F435" s="90">
        <f t="shared" si="43"/>
        <v>567.55611900000008</v>
      </c>
      <c r="G435" s="174" t="str">
        <f t="shared" si="41"/>
        <v>1st Floor for Residential</v>
      </c>
      <c r="H435" s="174"/>
      <c r="I435" s="38"/>
      <c r="N435" s="38"/>
    </row>
    <row r="436" spans="1:14" s="91" customFormat="1" hidden="1" x14ac:dyDescent="0.35">
      <c r="A436" s="174">
        <f t="shared" si="40"/>
        <v>12</v>
      </c>
      <c r="B436" s="174"/>
      <c r="C436" s="90" t="s">
        <v>200</v>
      </c>
      <c r="D436" s="90">
        <f>(23.69+1.5*1.8+0.45*1.67+3.06*0.75)*10.764</f>
        <v>316.85448600000001</v>
      </c>
      <c r="E436" s="90">
        <f>(1.8*3.5+5*1.2)*10.764</f>
        <v>132.3972</v>
      </c>
      <c r="F436" s="90">
        <f t="shared" si="43"/>
        <v>541.48032899999998</v>
      </c>
      <c r="G436" s="174" t="str">
        <f t="shared" si="41"/>
        <v>1st Floor for Residential</v>
      </c>
      <c r="H436" s="174"/>
      <c r="I436" s="38"/>
      <c r="N436" s="38"/>
    </row>
    <row r="437" spans="1:14" s="91" customFormat="1" hidden="1" x14ac:dyDescent="0.35">
      <c r="A437" s="174">
        <f t="shared" si="40"/>
        <v>13</v>
      </c>
      <c r="B437" s="174"/>
      <c r="C437" s="90" t="s">
        <v>200</v>
      </c>
      <c r="D437" s="90">
        <f>(23.69+1.5*1.8+0.45*1.67+3.06*0.75)*10.764</f>
        <v>316.85448600000001</v>
      </c>
      <c r="E437" s="90">
        <f>(1.8*3.5+5*1.2)*10.764</f>
        <v>132.3972</v>
      </c>
      <c r="F437" s="90">
        <f>D437*(($F$422)+1)+(IF(E437&lt;101,E437,IF(E437&lt;201,E437/2,IF(E437&lt;=301,E437/3,E437/4))))</f>
        <v>541.48032899999998</v>
      </c>
      <c r="G437" s="174" t="str">
        <f t="shared" si="41"/>
        <v>1st Floor for Residential</v>
      </c>
      <c r="H437" s="174"/>
      <c r="I437" s="38"/>
      <c r="N437" s="38"/>
    </row>
    <row r="438" spans="1:14" s="91" customFormat="1" hidden="1" x14ac:dyDescent="0.35">
      <c r="A438" s="174">
        <f t="shared" si="40"/>
        <v>14</v>
      </c>
      <c r="B438" s="174"/>
      <c r="C438" s="90" t="s">
        <v>200</v>
      </c>
      <c r="D438" s="90">
        <f>(23.69+1.5*1.8+0.45*1.67+3.16*0.75+1.2*1.2)*10.764</f>
        <v>333.161946</v>
      </c>
      <c r="E438" s="90">
        <f>(3.5*1.8)*10.764</f>
        <v>67.813199999999995</v>
      </c>
      <c r="F438" s="90">
        <f t="shared" ref="F438:F441" si="44">D438*(($F$422)+1)+(IF(E438&lt;101,E438,IF(E438&lt;201,E438/2,IF(E438&lt;=301,E438/3,E438/4))))</f>
        <v>567.55611900000008</v>
      </c>
      <c r="G438" s="174" t="str">
        <f t="shared" si="41"/>
        <v>1st Floor for Residential</v>
      </c>
      <c r="H438" s="174"/>
      <c r="I438" s="38"/>
      <c r="N438" s="38"/>
    </row>
    <row r="439" spans="1:14" s="91" customFormat="1" hidden="1" x14ac:dyDescent="0.35">
      <c r="A439" s="174">
        <f t="shared" si="40"/>
        <v>15</v>
      </c>
      <c r="B439" s="174"/>
      <c r="C439" s="90" t="s">
        <v>200</v>
      </c>
      <c r="D439" s="90">
        <f>(23.69+1.5*1.8+0.45*1.67+3.16*0.75+1.2*1.2)*10.764</f>
        <v>333.161946</v>
      </c>
      <c r="E439" s="90">
        <f>(3.5*1.8)*10.764</f>
        <v>67.813199999999995</v>
      </c>
      <c r="F439" s="90">
        <f t="shared" si="44"/>
        <v>567.55611900000008</v>
      </c>
      <c r="G439" s="174" t="str">
        <f t="shared" si="41"/>
        <v>1st Floor for Residential</v>
      </c>
      <c r="H439" s="174"/>
      <c r="I439" s="38"/>
      <c r="N439" s="38"/>
    </row>
    <row r="440" spans="1:14" s="91" customFormat="1" hidden="1" x14ac:dyDescent="0.35">
      <c r="A440" s="174">
        <f t="shared" si="40"/>
        <v>16</v>
      </c>
      <c r="B440" s="174"/>
      <c r="C440" s="90" t="s">
        <v>200</v>
      </c>
      <c r="D440" s="90">
        <f>(23.69+1.5*1.8+0.45*1.67+3.16*0.75+1.2*1.2)*10.764</f>
        <v>333.161946</v>
      </c>
      <c r="E440" s="90">
        <f>(3.5*1.8)*10.764</f>
        <v>67.813199999999995</v>
      </c>
      <c r="F440" s="90">
        <f t="shared" si="44"/>
        <v>567.55611900000008</v>
      </c>
      <c r="G440" s="174" t="str">
        <f t="shared" si="41"/>
        <v>1st Floor for Residential</v>
      </c>
      <c r="H440" s="174"/>
      <c r="I440" s="38"/>
      <c r="N440" s="38"/>
    </row>
    <row r="441" spans="1:14" s="91" customFormat="1" hidden="1" x14ac:dyDescent="0.35">
      <c r="A441" s="174">
        <f t="shared" si="40"/>
        <v>17</v>
      </c>
      <c r="B441" s="174"/>
      <c r="C441" s="90" t="s">
        <v>200</v>
      </c>
      <c r="D441" s="90">
        <f>(23.69+1.5*1.8+0.45*1.67+3.16*0.75+1.2*1.2)*10.764</f>
        <v>333.161946</v>
      </c>
      <c r="E441" s="90">
        <f>(3.5*1.8)*10.764</f>
        <v>67.813199999999995</v>
      </c>
      <c r="F441" s="90">
        <f t="shared" si="44"/>
        <v>567.55611900000008</v>
      </c>
      <c r="G441" s="174" t="str">
        <f t="shared" si="41"/>
        <v>1st Floor for Residential</v>
      </c>
      <c r="H441" s="174"/>
      <c r="I441" s="38"/>
      <c r="N441" s="38"/>
    </row>
    <row r="442" spans="1:14" s="91" customFormat="1" hidden="1" x14ac:dyDescent="0.35">
      <c r="A442" s="174">
        <f t="shared" si="40"/>
        <v>18</v>
      </c>
      <c r="B442" s="174"/>
      <c r="C442" s="90" t="s">
        <v>200</v>
      </c>
      <c r="D442" s="90">
        <f>(23.69+1.5*1.8+0.45*1.67+3.06*0.75)*10.764</f>
        <v>316.85448600000001</v>
      </c>
      <c r="E442" s="90">
        <f>(1.8*3.5+5*1.2)*10.764</f>
        <v>132.3972</v>
      </c>
      <c r="F442" s="90">
        <f>D442*(($F$422)+1)+(IF(E442&lt;101,E442,IF(E442&lt;201,E442/2,IF(E442&lt;=301,E442/3,E442/4))))</f>
        <v>541.48032899999998</v>
      </c>
      <c r="G442" s="174" t="str">
        <f t="shared" si="41"/>
        <v>1st Floor for Residential</v>
      </c>
      <c r="H442" s="174"/>
      <c r="I442" s="38"/>
      <c r="N442" s="38"/>
    </row>
    <row r="443" spans="1:14" s="91" customFormat="1" hidden="1" x14ac:dyDescent="0.35">
      <c r="A443" s="174">
        <f t="shared" si="40"/>
        <v>19</v>
      </c>
      <c r="B443" s="174"/>
      <c r="C443" s="90" t="s">
        <v>200</v>
      </c>
      <c r="D443" s="90">
        <f>(23.69+1.5*1.8+0.45*1.67+3.06*0.75)*10.764</f>
        <v>316.85448600000001</v>
      </c>
      <c r="E443" s="90">
        <f>(1.8*3.5+5*1.2)*10.764</f>
        <v>132.3972</v>
      </c>
      <c r="F443" s="90">
        <f t="shared" ref="F443:F447" si="45">D443*(($F$422)+1)+(IF(E443&lt;101,E443,IF(E443&lt;201,E443/2,IF(E443&lt;=301,E443/3,E443/4))))</f>
        <v>541.48032899999998</v>
      </c>
      <c r="G443" s="174" t="str">
        <f t="shared" si="41"/>
        <v>1st Floor for Residential</v>
      </c>
      <c r="H443" s="174"/>
      <c r="I443" s="38"/>
      <c r="N443" s="38"/>
    </row>
    <row r="444" spans="1:14" s="91" customFormat="1" hidden="1" x14ac:dyDescent="0.35">
      <c r="A444" s="174">
        <f t="shared" si="40"/>
        <v>20</v>
      </c>
      <c r="B444" s="174"/>
      <c r="C444" s="90" t="s">
        <v>200</v>
      </c>
      <c r="D444" s="90">
        <f>(23.69+1.5*1.8+0.45*1.67+3.16*0.75+1.2*1.2)*10.764</f>
        <v>333.161946</v>
      </c>
      <c r="E444" s="90">
        <f>(3.5*1.8)*10.764</f>
        <v>67.813199999999995</v>
      </c>
      <c r="F444" s="90">
        <f t="shared" si="45"/>
        <v>567.55611900000008</v>
      </c>
      <c r="G444" s="174" t="str">
        <f t="shared" si="41"/>
        <v>1st Floor for Residential</v>
      </c>
      <c r="H444" s="174"/>
      <c r="I444" s="38"/>
      <c r="N444" s="38"/>
    </row>
    <row r="445" spans="1:14" s="91" customFormat="1" hidden="1" x14ac:dyDescent="0.35">
      <c r="A445" s="174">
        <f t="shared" si="40"/>
        <v>21</v>
      </c>
      <c r="B445" s="174"/>
      <c r="C445" s="90" t="s">
        <v>200</v>
      </c>
      <c r="D445" s="90">
        <f>(23.69+1.5*1.8+0.45*1.67+3.06*0.75)*10.764</f>
        <v>316.85448600000001</v>
      </c>
      <c r="E445" s="90">
        <f>(1.8*3.5+5*1.2)*10.764</f>
        <v>132.3972</v>
      </c>
      <c r="F445" s="90">
        <f t="shared" si="45"/>
        <v>541.48032899999998</v>
      </c>
      <c r="G445" s="174" t="str">
        <f t="shared" si="41"/>
        <v>1st Floor for Residential</v>
      </c>
      <c r="H445" s="174"/>
      <c r="I445" s="38"/>
      <c r="N445" s="38"/>
    </row>
    <row r="446" spans="1:14" s="91" customFormat="1" hidden="1" x14ac:dyDescent="0.35">
      <c r="A446" s="174">
        <f t="shared" si="40"/>
        <v>22</v>
      </c>
      <c r="B446" s="174"/>
      <c r="C446" s="90" t="s">
        <v>200</v>
      </c>
      <c r="D446" s="90">
        <f>(23.69+1.5*1.8+0.45*1.67+3.16*0.75+1.2*1.2)*10.764</f>
        <v>333.161946</v>
      </c>
      <c r="E446" s="90">
        <f>(3.5*1.8)*10.764</f>
        <v>67.813199999999995</v>
      </c>
      <c r="F446" s="90">
        <f t="shared" si="45"/>
        <v>567.55611900000008</v>
      </c>
      <c r="G446" s="174" t="str">
        <f t="shared" si="41"/>
        <v>1st Floor for Residential</v>
      </c>
      <c r="H446" s="174"/>
      <c r="I446" s="38"/>
      <c r="N446" s="38"/>
    </row>
    <row r="447" spans="1:14" s="91" customFormat="1" hidden="1" x14ac:dyDescent="0.35">
      <c r="A447" s="174">
        <f t="shared" si="40"/>
        <v>23</v>
      </c>
      <c r="B447" s="174"/>
      <c r="C447" s="90" t="s">
        <v>200</v>
      </c>
      <c r="D447" s="90">
        <f>(23.69+1.5*1.8+1.8*1.2+3.16*0.75+0.45*1.67)*10.764</f>
        <v>340.91202600000003</v>
      </c>
      <c r="E447" s="90">
        <f>(1.2*5)*10.764</f>
        <v>64.584000000000003</v>
      </c>
      <c r="F447" s="90">
        <f t="shared" si="45"/>
        <v>575.95203900000001</v>
      </c>
      <c r="G447" s="174" t="str">
        <f t="shared" si="41"/>
        <v>1st Floor for Residential</v>
      </c>
      <c r="H447" s="174"/>
      <c r="I447" s="38"/>
      <c r="N447" s="38"/>
    </row>
    <row r="448" spans="1:14" s="91" customFormat="1" hidden="1" x14ac:dyDescent="0.35">
      <c r="A448" s="174">
        <f t="shared" si="40"/>
        <v>24</v>
      </c>
      <c r="B448" s="174"/>
      <c r="C448" s="90" t="s">
        <v>200</v>
      </c>
      <c r="D448" s="90">
        <f>(23.69+1.5*1.8+1.2*1.2+0.45*1.67+0.75*3.16)*10.764</f>
        <v>333.161946</v>
      </c>
      <c r="E448" s="90">
        <f>(1.8*3.5)*10.764</f>
        <v>67.813199999999995</v>
      </c>
      <c r="F448" s="90">
        <f>D448*(($F$422)+1)+(IF(E448&lt;101,E448,IF(E448&lt;201,E448/2,IF(E448&lt;=301,E448/3,E448/4))))</f>
        <v>567.55611900000008</v>
      </c>
      <c r="G448" s="174" t="str">
        <f t="shared" si="41"/>
        <v>1st Floor for Residential</v>
      </c>
      <c r="H448" s="174"/>
      <c r="I448" s="38"/>
      <c r="N448" s="38"/>
    </row>
    <row r="449" spans="1:14" s="91" customFormat="1" hidden="1" x14ac:dyDescent="0.35">
      <c r="A449" s="174">
        <f t="shared" si="40"/>
        <v>25</v>
      </c>
      <c r="B449" s="174"/>
      <c r="C449" s="90" t="s">
        <v>200</v>
      </c>
      <c r="D449" s="90">
        <f>(23.69+1.5*1.8+0.45*1.67+3.06*0.75)*10.764</f>
        <v>316.85448600000001</v>
      </c>
      <c r="E449" s="90">
        <f>(1.8*3.5+5*1.2)*10.764</f>
        <v>132.3972</v>
      </c>
      <c r="F449" s="90">
        <f t="shared" ref="F449:F452" si="46">D449*(($F$422)+1)+(IF(E449&lt;101,E449,IF(E449&lt;201,E449/2,IF(E449&lt;=301,E449/3,E449/4))))</f>
        <v>541.48032899999998</v>
      </c>
      <c r="G449" s="174" t="str">
        <f t="shared" si="41"/>
        <v>1st Floor for Residential</v>
      </c>
      <c r="H449" s="174"/>
      <c r="I449" s="38"/>
      <c r="N449" s="38"/>
    </row>
    <row r="450" spans="1:14" s="91" customFormat="1" hidden="1" x14ac:dyDescent="0.35">
      <c r="A450" s="174">
        <f t="shared" si="40"/>
        <v>26</v>
      </c>
      <c r="B450" s="174"/>
      <c r="C450" s="90" t="s">
        <v>200</v>
      </c>
      <c r="D450" s="90">
        <f>(23.69+1.5*1.8+0.45*1.67+3.06*0.75)*10.764</f>
        <v>316.85448600000001</v>
      </c>
      <c r="E450" s="90">
        <f>(1.8*3.5+5*1.2)*10.764</f>
        <v>132.3972</v>
      </c>
      <c r="F450" s="90">
        <f t="shared" si="46"/>
        <v>541.48032899999998</v>
      </c>
      <c r="G450" s="174" t="str">
        <f t="shared" si="41"/>
        <v>1st Floor for Residential</v>
      </c>
      <c r="H450" s="174"/>
      <c r="I450" s="38"/>
      <c r="N450" s="38"/>
    </row>
    <row r="451" spans="1:14" s="91" customFormat="1" hidden="1" x14ac:dyDescent="0.35">
      <c r="A451" s="174">
        <f t="shared" si="40"/>
        <v>27</v>
      </c>
      <c r="B451" s="174"/>
      <c r="C451" s="90" t="s">
        <v>200</v>
      </c>
      <c r="D451" s="90">
        <f>(23.69+1.5*1.8+1.2*1.2+0.45*1.67+0.75*3.16)*10.764</f>
        <v>333.161946</v>
      </c>
      <c r="E451" s="90">
        <f>(1.8*3.5)*10.764</f>
        <v>67.813199999999995</v>
      </c>
      <c r="F451" s="90">
        <f t="shared" si="46"/>
        <v>567.55611900000008</v>
      </c>
      <c r="G451" s="174" t="str">
        <f t="shared" si="41"/>
        <v>1st Floor for Residential</v>
      </c>
      <c r="H451" s="174"/>
      <c r="I451" s="38"/>
      <c r="N451" s="38"/>
    </row>
    <row r="452" spans="1:14" s="91" customFormat="1" hidden="1" x14ac:dyDescent="0.35">
      <c r="A452" s="174">
        <f t="shared" si="40"/>
        <v>28</v>
      </c>
      <c r="B452" s="174"/>
      <c r="C452" s="90" t="s">
        <v>200</v>
      </c>
      <c r="D452" s="90">
        <f>(23.69+1.5*1.8+1.8*1.2+3.16*0.75+0.45*1.67)*10.764</f>
        <v>340.91202600000003</v>
      </c>
      <c r="E452" s="90">
        <f>(1.2*5)*10.764</f>
        <v>64.584000000000003</v>
      </c>
      <c r="F452" s="90">
        <f t="shared" si="46"/>
        <v>575.95203900000001</v>
      </c>
      <c r="G452" s="174" t="str">
        <f t="shared" si="41"/>
        <v>1st Floor for Residential</v>
      </c>
      <c r="H452" s="174"/>
      <c r="I452" s="38">
        <f>2250000/F452</f>
        <v>3906.5752834325845</v>
      </c>
      <c r="N452" s="38"/>
    </row>
    <row r="453" spans="1:14" s="91" customFormat="1" hidden="1" x14ac:dyDescent="0.35">
      <c r="A453" s="174">
        <f t="shared" si="40"/>
        <v>29</v>
      </c>
      <c r="B453" s="174"/>
      <c r="C453" s="90" t="s">
        <v>200</v>
      </c>
      <c r="D453" s="90">
        <f>(23.69+1.5*1.8+0.45*1.67+3.16*0.75+1.2*1.2)*10.764</f>
        <v>333.161946</v>
      </c>
      <c r="E453" s="90">
        <f>(3.5*1.8)*10.764</f>
        <v>67.813199999999995</v>
      </c>
      <c r="F453" s="90">
        <f>D453*(($F$422)+1)+(IF(E453&lt;101,E453,IF(E453&lt;201,E453/2,IF(E453&lt;=301,E453/3,E453/4))))</f>
        <v>567.55611900000008</v>
      </c>
      <c r="G453" s="174" t="str">
        <f t="shared" si="41"/>
        <v>1st Floor for Residential</v>
      </c>
      <c r="H453" s="174"/>
      <c r="I453" s="38"/>
      <c r="N453" s="38"/>
    </row>
    <row r="454" spans="1:14" s="91" customFormat="1" hidden="1" x14ac:dyDescent="0.35">
      <c r="A454" s="174">
        <f t="shared" si="40"/>
        <v>30</v>
      </c>
      <c r="B454" s="174"/>
      <c r="C454" s="90" t="s">
        <v>200</v>
      </c>
      <c r="D454" s="90">
        <f>(23.69+1.5*1.8+0.45*1.67+3.06*0.75)*10.764</f>
        <v>316.85448600000001</v>
      </c>
      <c r="E454" s="90">
        <f>(1.8*3.5+5*1.2)*10.764</f>
        <v>132.3972</v>
      </c>
      <c r="F454" s="90">
        <f t="shared" ref="F454:F458" si="47">D454*(($F$422)+1)+(IF(E454&lt;101,E454,IF(E454&lt;201,E454/2,IF(E454&lt;=301,E454/3,E454/4))))</f>
        <v>541.48032899999998</v>
      </c>
      <c r="G454" s="174" t="str">
        <f t="shared" si="41"/>
        <v>1st Floor for Residential</v>
      </c>
      <c r="H454" s="174"/>
      <c r="I454" s="38"/>
      <c r="N454" s="38"/>
    </row>
    <row r="455" spans="1:14" s="91" customFormat="1" hidden="1" x14ac:dyDescent="0.35">
      <c r="A455" s="174">
        <f t="shared" si="40"/>
        <v>31</v>
      </c>
      <c r="B455" s="174"/>
      <c r="C455" s="90" t="s">
        <v>200</v>
      </c>
      <c r="D455" s="90">
        <f>(23.69+1.5*1.8+0.45*1.67+3.16*0.75+1.2*1.2)*10.764</f>
        <v>333.161946</v>
      </c>
      <c r="E455" s="90">
        <f>(3.5*1.8)*10.764</f>
        <v>67.813199999999995</v>
      </c>
      <c r="F455" s="90">
        <f t="shared" si="47"/>
        <v>567.55611900000008</v>
      </c>
      <c r="G455" s="174" t="str">
        <f t="shared" si="41"/>
        <v>1st Floor for Residential</v>
      </c>
      <c r="H455" s="174"/>
      <c r="I455" s="38"/>
      <c r="N455" s="38"/>
    </row>
    <row r="456" spans="1:14" s="91" customFormat="1" hidden="1" x14ac:dyDescent="0.35">
      <c r="A456" s="174">
        <f t="shared" si="40"/>
        <v>32</v>
      </c>
      <c r="B456" s="174"/>
      <c r="C456" s="90" t="s">
        <v>200</v>
      </c>
      <c r="D456" s="90">
        <f>(23.69+1.5*1.8+0.45*1.67+3.06*0.75)*10.764</f>
        <v>316.85448600000001</v>
      </c>
      <c r="E456" s="90">
        <f>(1.8*3.5+5*1.2)*10.764</f>
        <v>132.3972</v>
      </c>
      <c r="F456" s="90">
        <f t="shared" si="47"/>
        <v>541.48032899999998</v>
      </c>
      <c r="G456" s="174" t="str">
        <f t="shared" si="41"/>
        <v>1st Floor for Residential</v>
      </c>
      <c r="H456" s="174"/>
      <c r="I456" s="38"/>
      <c r="N456" s="38"/>
    </row>
    <row r="457" spans="1:14" s="91" customFormat="1" hidden="1" x14ac:dyDescent="0.35">
      <c r="A457" s="174">
        <f t="shared" si="40"/>
        <v>33</v>
      </c>
      <c r="B457" s="174"/>
      <c r="C457" s="90" t="s">
        <v>200</v>
      </c>
      <c r="D457" s="90">
        <f>(23.69+1.5*1.8+0.45*1.67+3.06*0.75)*10.764</f>
        <v>316.85448600000001</v>
      </c>
      <c r="E457" s="90">
        <f>(1.8*3.5+5*1.2)*10.764</f>
        <v>132.3972</v>
      </c>
      <c r="F457" s="90">
        <f t="shared" si="47"/>
        <v>541.48032899999998</v>
      </c>
      <c r="G457" s="174" t="str">
        <f t="shared" si="41"/>
        <v>1st Floor for Residential</v>
      </c>
      <c r="H457" s="174"/>
      <c r="I457" s="38"/>
      <c r="N457" s="38"/>
    </row>
    <row r="458" spans="1:14" s="91" customFormat="1" hidden="1" x14ac:dyDescent="0.35">
      <c r="A458" s="174">
        <f t="shared" si="40"/>
        <v>34</v>
      </c>
      <c r="B458" s="174"/>
      <c r="C458" s="90" t="s">
        <v>200</v>
      </c>
      <c r="D458" s="90">
        <f>(23.69+1.5*1.8+0.45*1.67+3.16*0.75+1.2*1.2)*10.764</f>
        <v>333.161946</v>
      </c>
      <c r="E458" s="90">
        <f>(3.5*1.8)*10.764</f>
        <v>67.813199999999995</v>
      </c>
      <c r="F458" s="90">
        <f t="shared" si="47"/>
        <v>567.55611900000008</v>
      </c>
      <c r="G458" s="174" t="str">
        <f t="shared" si="41"/>
        <v>1st Floor for Residential</v>
      </c>
      <c r="H458" s="174"/>
      <c r="I458" s="38"/>
      <c r="N458" s="38"/>
    </row>
    <row r="459" spans="1:14" s="91" customFormat="1" hidden="1" x14ac:dyDescent="0.35">
      <c r="A459" s="174">
        <f t="shared" si="40"/>
        <v>35</v>
      </c>
      <c r="B459" s="174"/>
      <c r="C459" s="90" t="s">
        <v>200</v>
      </c>
      <c r="D459" s="90">
        <f>(23.69+1.5*1.8+1.8*1.2+3.16*0.75+0.45*1.67)*10.764</f>
        <v>340.91202600000003</v>
      </c>
      <c r="E459" s="90">
        <f>(1.2*5)*10.764</f>
        <v>64.584000000000003</v>
      </c>
      <c r="F459" s="90">
        <f>D459*(($F$422)+1)+(IF(E459&lt;101,E459,IF(E459&lt;201,E459/2,IF(E459&lt;=301,E459/3,E459/4))))</f>
        <v>575.95203900000001</v>
      </c>
      <c r="G459" s="174" t="str">
        <f t="shared" si="41"/>
        <v>1st Floor for Residential</v>
      </c>
      <c r="H459" s="174"/>
      <c r="I459" s="38"/>
      <c r="N459" s="38"/>
    </row>
    <row r="460" spans="1:14" s="91" customFormat="1" hidden="1" x14ac:dyDescent="0.35">
      <c r="A460" s="174">
        <f t="shared" si="40"/>
        <v>36</v>
      </c>
      <c r="B460" s="174"/>
      <c r="C460" s="90" t="s">
        <v>200</v>
      </c>
      <c r="D460" s="90">
        <f>(23.69+1.8*1.5+1.8*1.2+1.2*1.2+0.45*1.67+3.16*0.75)*10.764</f>
        <v>356.41218599999996</v>
      </c>
      <c r="E460" s="90">
        <v>0</v>
      </c>
      <c r="F460" s="90">
        <f t="shared" ref="F460:F463" si="48">D460*(($F$422)+1)+(IF(E460&lt;101,E460,IF(E460&lt;201,E460/2,IF(E460&lt;=301,E460/3,E460/4))))</f>
        <v>534.61827899999992</v>
      </c>
      <c r="G460" s="174" t="str">
        <f t="shared" si="41"/>
        <v>1st Floor for Residential</v>
      </c>
      <c r="H460" s="174"/>
      <c r="I460" s="38"/>
      <c r="N460" s="38"/>
    </row>
    <row r="461" spans="1:14" s="91" customFormat="1" hidden="1" x14ac:dyDescent="0.35">
      <c r="A461" s="174">
        <f t="shared" si="40"/>
        <v>37</v>
      </c>
      <c r="B461" s="174"/>
      <c r="C461" s="90" t="s">
        <v>200</v>
      </c>
      <c r="D461" s="90">
        <f>(23.69+1.8*1.5+1.8*1.2+1.2*1.2+0.45*1.67+3.16*0.75)*10.764</f>
        <v>356.41218599999996</v>
      </c>
      <c r="E461" s="90">
        <v>0</v>
      </c>
      <c r="F461" s="90">
        <f t="shared" si="48"/>
        <v>534.61827899999992</v>
      </c>
      <c r="G461" s="174" t="str">
        <f t="shared" si="41"/>
        <v>1st Floor for Residential</v>
      </c>
      <c r="H461" s="174"/>
      <c r="I461" s="38"/>
      <c r="N461" s="38"/>
    </row>
    <row r="462" spans="1:14" s="91" customFormat="1" hidden="1" x14ac:dyDescent="0.35">
      <c r="A462" s="174">
        <f t="shared" si="40"/>
        <v>38</v>
      </c>
      <c r="B462" s="174"/>
      <c r="C462" s="90" t="s">
        <v>200</v>
      </c>
      <c r="D462" s="90">
        <f>(23.69+1.5*1.8+1.8*1.2+0.45*1.67+3.16*0.75)*10.764</f>
        <v>340.91202600000003</v>
      </c>
      <c r="E462" s="90">
        <f>(1.2*5)*10.764</f>
        <v>64.584000000000003</v>
      </c>
      <c r="F462" s="90">
        <f t="shared" si="48"/>
        <v>575.95203900000001</v>
      </c>
      <c r="G462" s="174" t="str">
        <f t="shared" si="41"/>
        <v>1st Floor for Residential</v>
      </c>
      <c r="H462" s="174"/>
      <c r="I462" s="38"/>
      <c r="N462" s="38"/>
    </row>
    <row r="463" spans="1:14" s="91" customFormat="1" hidden="1" x14ac:dyDescent="0.35">
      <c r="A463" s="174">
        <f t="shared" si="40"/>
        <v>39</v>
      </c>
      <c r="B463" s="174"/>
      <c r="C463" s="90" t="s">
        <v>200</v>
      </c>
      <c r="D463" s="90">
        <f>(23.69+1.5*1.8+0.45*1.67+1.2*1.2+3.16*0.75)*10.764</f>
        <v>333.161946</v>
      </c>
      <c r="E463" s="90">
        <f>(1.8*3.5)*10.764</f>
        <v>67.813199999999995</v>
      </c>
      <c r="F463" s="90">
        <f t="shared" si="48"/>
        <v>567.55611900000008</v>
      </c>
      <c r="G463" s="174" t="str">
        <f t="shared" si="41"/>
        <v>1st Floor for Residential</v>
      </c>
      <c r="H463" s="174"/>
      <c r="I463" s="38"/>
      <c r="N463" s="38"/>
    </row>
    <row r="464" spans="1:14" s="91" customFormat="1" hidden="1" x14ac:dyDescent="0.35">
      <c r="A464" s="174">
        <f t="shared" si="40"/>
        <v>40</v>
      </c>
      <c r="B464" s="174"/>
      <c r="C464" s="90" t="s">
        <v>200</v>
      </c>
      <c r="D464" s="90">
        <f>(23.69+1.5*1.8+0.45*1.67+1.2*1.2+3.16*0.75)*10.764</f>
        <v>333.161946</v>
      </c>
      <c r="E464" s="90">
        <f>(1.8*3.5)*10.764</f>
        <v>67.813199999999995</v>
      </c>
      <c r="F464" s="90">
        <f>D464*(($F$422)+1)+(IF(E464&lt;101,E464,IF(E464&lt;201,E464/2,IF(E464&lt;=301,E464/3,E464/4))))</f>
        <v>567.55611900000008</v>
      </c>
      <c r="G464" s="174" t="str">
        <f t="shared" si="41"/>
        <v>1st Floor for Residential</v>
      </c>
      <c r="H464" s="174"/>
      <c r="I464" s="38"/>
      <c r="N464" s="38"/>
    </row>
    <row r="465" spans="1:14" s="91" customFormat="1" hidden="1" x14ac:dyDescent="0.35">
      <c r="A465" s="174">
        <f t="shared" si="40"/>
        <v>41</v>
      </c>
      <c r="B465" s="174"/>
      <c r="C465" s="90" t="s">
        <v>200</v>
      </c>
      <c r="D465" s="90">
        <f>(23.69+1.5*1.8+1.8*1.2+0.45*1.67+3.16*0.75)*10.764</f>
        <v>340.91202600000003</v>
      </c>
      <c r="E465" s="90">
        <f>(1.2*5)*10.764</f>
        <v>64.584000000000003</v>
      </c>
      <c r="F465" s="90">
        <f t="shared" ref="F465" si="49">D465*(($F$422)+1)+(IF(E465&lt;101,E465,IF(E465&lt;201,E465/2,IF(E465&lt;=301,E465/3,E465/4))))</f>
        <v>575.95203900000001</v>
      </c>
      <c r="G465" s="174" t="str">
        <f t="shared" si="41"/>
        <v>1st Floor for Residential</v>
      </c>
      <c r="H465" s="174"/>
      <c r="I465" s="38"/>
      <c r="N465" s="38"/>
    </row>
    <row r="466" spans="1:14" s="91" customFormat="1" hidden="1" x14ac:dyDescent="0.35">
      <c r="A466" s="183" t="s">
        <v>171</v>
      </c>
      <c r="B466" s="183"/>
      <c r="C466" s="183"/>
      <c r="D466" s="183"/>
      <c r="E466" s="183"/>
      <c r="F466" s="183"/>
      <c r="G466" s="183"/>
      <c r="H466" s="183"/>
      <c r="I466" s="38"/>
      <c r="L466" s="182"/>
      <c r="M466" s="182"/>
    </row>
    <row r="467" spans="1:14" s="91" customFormat="1" hidden="1" x14ac:dyDescent="0.35">
      <c r="A467" s="174">
        <v>1</v>
      </c>
      <c r="B467" s="174"/>
      <c r="C467" s="90" t="s">
        <v>200</v>
      </c>
      <c r="D467" s="90">
        <f>(23.69+1.5*1.8+1.2*1.8+1.2*1.2+0.45*1.67+3.16*0.75)*10.764</f>
        <v>356.41218599999996</v>
      </c>
      <c r="E467" s="90">
        <v>0</v>
      </c>
      <c r="F467" s="90">
        <f t="shared" ref="F467:F468" si="50">D467*(($F$422)+1)+(IF(E467&lt;101,E467,IF(E467&lt;201,E467/2,IF(E467&lt;=301,E467/3,E467/4))))</f>
        <v>534.61827899999992</v>
      </c>
      <c r="G467" s="174" t="str">
        <f>A466</f>
        <v xml:space="preserve">2nd to 7th, 9th to 11th, 13rd to 15th, 17th to 19th, 21st to 23rd Floor </v>
      </c>
      <c r="H467" s="174"/>
      <c r="I467" s="38">
        <f>(2.42*3.12+2.44*2.9+1.87*2.24+1.14*1.84+0.95*1.22+0.9*4.4)</f>
        <v>26.0318</v>
      </c>
      <c r="N467" s="38"/>
    </row>
    <row r="468" spans="1:14" s="91" customFormat="1" hidden="1" x14ac:dyDescent="0.35">
      <c r="A468" s="174">
        <f t="shared" ref="A468:A507" si="51">A467+1</f>
        <v>2</v>
      </c>
      <c r="B468" s="174"/>
      <c r="C468" s="90" t="s">
        <v>200</v>
      </c>
      <c r="D468" s="90">
        <f t="shared" ref="D468:D507" si="52">(23.69+1.5*1.8+1.2*1.8+1.2*1.2+0.45*1.67+3.16*0.75)*10.764</f>
        <v>356.41218599999996</v>
      </c>
      <c r="E468" s="90">
        <v>0</v>
      </c>
      <c r="F468" s="90">
        <f t="shared" si="50"/>
        <v>534.61827899999992</v>
      </c>
      <c r="G468" s="174" t="str">
        <f t="shared" ref="G468:G507" si="53">G467</f>
        <v xml:space="preserve">2nd to 7th, 9th to 11th, 13rd to 15th, 17th to 19th, 21st to 23rd Floor </v>
      </c>
      <c r="H468" s="174"/>
      <c r="I468" s="38"/>
      <c r="N468" s="38"/>
    </row>
    <row r="469" spans="1:14" s="91" customFormat="1" hidden="1" x14ac:dyDescent="0.35">
      <c r="A469" s="174">
        <f t="shared" si="51"/>
        <v>3</v>
      </c>
      <c r="B469" s="174"/>
      <c r="C469" s="90" t="s">
        <v>200</v>
      </c>
      <c r="D469" s="90">
        <f t="shared" si="52"/>
        <v>356.41218599999996</v>
      </c>
      <c r="E469" s="90">
        <v>0</v>
      </c>
      <c r="F469" s="90">
        <f>D469*(($F$422)+1)+(IF(E469&lt;101,E469,IF(E469&lt;201,E469/2,IF(E469&lt;=301,E469/3,E469/4))))</f>
        <v>534.61827899999992</v>
      </c>
      <c r="G469" s="174" t="str">
        <f t="shared" si="53"/>
        <v xml:space="preserve">2nd to 7th, 9th to 11th, 13rd to 15th, 17th to 19th, 21st to 23rd Floor </v>
      </c>
      <c r="H469" s="174"/>
      <c r="I469" s="38"/>
      <c r="N469" s="38"/>
    </row>
    <row r="470" spans="1:14" s="91" customFormat="1" hidden="1" x14ac:dyDescent="0.35">
      <c r="A470" s="174">
        <f t="shared" si="51"/>
        <v>4</v>
      </c>
      <c r="B470" s="174"/>
      <c r="C470" s="90" t="s">
        <v>200</v>
      </c>
      <c r="D470" s="90">
        <f t="shared" si="52"/>
        <v>356.41218599999996</v>
      </c>
      <c r="E470" s="90">
        <v>0</v>
      </c>
      <c r="F470" s="90">
        <f t="shared" ref="F470:F473" si="54">D470*(($F$422)+1)+(IF(E470&lt;101,E470,IF(E470&lt;201,E470/2,IF(E470&lt;=301,E470/3,E470/4))))</f>
        <v>534.61827899999992</v>
      </c>
      <c r="G470" s="174" t="str">
        <f t="shared" si="53"/>
        <v xml:space="preserve">2nd to 7th, 9th to 11th, 13rd to 15th, 17th to 19th, 21st to 23rd Floor </v>
      </c>
      <c r="H470" s="174"/>
      <c r="I470" s="38"/>
      <c r="N470" s="38"/>
    </row>
    <row r="471" spans="1:14" s="91" customFormat="1" hidden="1" x14ac:dyDescent="0.35">
      <c r="A471" s="174">
        <f t="shared" si="51"/>
        <v>5</v>
      </c>
      <c r="B471" s="174"/>
      <c r="C471" s="90" t="s">
        <v>200</v>
      </c>
      <c r="D471" s="90">
        <f t="shared" si="52"/>
        <v>356.41218599999996</v>
      </c>
      <c r="E471" s="90">
        <v>0</v>
      </c>
      <c r="F471" s="90">
        <f t="shared" si="54"/>
        <v>534.61827899999992</v>
      </c>
      <c r="G471" s="174" t="str">
        <f t="shared" si="53"/>
        <v xml:space="preserve">2nd to 7th, 9th to 11th, 13rd to 15th, 17th to 19th, 21st to 23rd Floor </v>
      </c>
      <c r="H471" s="174"/>
      <c r="I471" s="38"/>
      <c r="N471" s="38"/>
    </row>
    <row r="472" spans="1:14" s="91" customFormat="1" hidden="1" x14ac:dyDescent="0.35">
      <c r="A472" s="174">
        <f t="shared" si="51"/>
        <v>6</v>
      </c>
      <c r="B472" s="174"/>
      <c r="C472" s="90" t="s">
        <v>200</v>
      </c>
      <c r="D472" s="90">
        <f t="shared" si="52"/>
        <v>356.41218599999996</v>
      </c>
      <c r="E472" s="90">
        <v>0</v>
      </c>
      <c r="F472" s="90">
        <f t="shared" si="54"/>
        <v>534.61827899999992</v>
      </c>
      <c r="G472" s="174" t="str">
        <f t="shared" si="53"/>
        <v xml:space="preserve">2nd to 7th, 9th to 11th, 13rd to 15th, 17th to 19th, 21st to 23rd Floor </v>
      </c>
      <c r="H472" s="174"/>
      <c r="I472" s="38"/>
      <c r="N472" s="38"/>
    </row>
    <row r="473" spans="1:14" s="91" customFormat="1" hidden="1" x14ac:dyDescent="0.35">
      <c r="A473" s="174">
        <f t="shared" si="51"/>
        <v>7</v>
      </c>
      <c r="B473" s="174"/>
      <c r="C473" s="90" t="s">
        <v>200</v>
      </c>
      <c r="D473" s="90">
        <f t="shared" si="52"/>
        <v>356.41218599999996</v>
      </c>
      <c r="E473" s="90">
        <v>0</v>
      </c>
      <c r="F473" s="90">
        <f t="shared" si="54"/>
        <v>534.61827899999992</v>
      </c>
      <c r="G473" s="174" t="str">
        <f t="shared" si="53"/>
        <v xml:space="preserve">2nd to 7th, 9th to 11th, 13rd to 15th, 17th to 19th, 21st to 23rd Floor </v>
      </c>
      <c r="H473" s="174"/>
      <c r="I473" s="38"/>
      <c r="N473" s="38"/>
    </row>
    <row r="474" spans="1:14" s="91" customFormat="1" hidden="1" x14ac:dyDescent="0.35">
      <c r="A474" s="174">
        <f t="shared" si="51"/>
        <v>8</v>
      </c>
      <c r="B474" s="174"/>
      <c r="C474" s="90" t="s">
        <v>200</v>
      </c>
      <c r="D474" s="90">
        <f t="shared" si="52"/>
        <v>356.41218599999996</v>
      </c>
      <c r="E474" s="90">
        <v>0</v>
      </c>
      <c r="F474" s="90">
        <f>D474*(($F$422)+1)+(IF(E474&lt;101,E474,IF(E474&lt;201,E474/2,IF(E474&lt;=301,E474/3,E474/4))))</f>
        <v>534.61827899999992</v>
      </c>
      <c r="G474" s="174" t="str">
        <f t="shared" si="53"/>
        <v xml:space="preserve">2nd to 7th, 9th to 11th, 13rd to 15th, 17th to 19th, 21st to 23rd Floor </v>
      </c>
      <c r="H474" s="174"/>
      <c r="I474" s="38"/>
      <c r="N474" s="38"/>
    </row>
    <row r="475" spans="1:14" s="91" customFormat="1" hidden="1" x14ac:dyDescent="0.35">
      <c r="A475" s="174">
        <f t="shared" si="51"/>
        <v>9</v>
      </c>
      <c r="B475" s="174"/>
      <c r="C475" s="90" t="s">
        <v>200</v>
      </c>
      <c r="D475" s="90">
        <f t="shared" si="52"/>
        <v>356.41218599999996</v>
      </c>
      <c r="E475" s="90">
        <v>0</v>
      </c>
      <c r="F475" s="90">
        <f t="shared" ref="F475:F478" si="55">D475*(($F$422)+1)+(IF(E475&lt;101,E475,IF(E475&lt;201,E475/2,IF(E475&lt;=301,E475/3,E475/4))))</f>
        <v>534.61827899999992</v>
      </c>
      <c r="G475" s="174" t="str">
        <f t="shared" si="53"/>
        <v xml:space="preserve">2nd to 7th, 9th to 11th, 13rd to 15th, 17th to 19th, 21st to 23rd Floor </v>
      </c>
      <c r="H475" s="174"/>
      <c r="I475" s="38"/>
      <c r="N475" s="38"/>
    </row>
    <row r="476" spans="1:14" s="91" customFormat="1" hidden="1" x14ac:dyDescent="0.35">
      <c r="A476" s="174">
        <f t="shared" si="51"/>
        <v>10</v>
      </c>
      <c r="B476" s="174"/>
      <c r="C476" s="90" t="s">
        <v>200</v>
      </c>
      <c r="D476" s="90">
        <f t="shared" si="52"/>
        <v>356.41218599999996</v>
      </c>
      <c r="E476" s="90">
        <v>0</v>
      </c>
      <c r="F476" s="90">
        <f t="shared" si="55"/>
        <v>534.61827899999992</v>
      </c>
      <c r="G476" s="174" t="str">
        <f t="shared" si="53"/>
        <v xml:space="preserve">2nd to 7th, 9th to 11th, 13rd to 15th, 17th to 19th, 21st to 23rd Floor </v>
      </c>
      <c r="H476" s="174"/>
      <c r="I476" s="38"/>
      <c r="N476" s="38"/>
    </row>
    <row r="477" spans="1:14" s="91" customFormat="1" hidden="1" x14ac:dyDescent="0.35">
      <c r="A477" s="174">
        <f t="shared" si="51"/>
        <v>11</v>
      </c>
      <c r="B477" s="174"/>
      <c r="C477" s="90" t="s">
        <v>200</v>
      </c>
      <c r="D477" s="90">
        <f t="shared" si="52"/>
        <v>356.41218599999996</v>
      </c>
      <c r="E477" s="90">
        <v>0</v>
      </c>
      <c r="F477" s="90">
        <f t="shared" si="55"/>
        <v>534.61827899999992</v>
      </c>
      <c r="G477" s="174" t="str">
        <f t="shared" si="53"/>
        <v xml:space="preserve">2nd to 7th, 9th to 11th, 13rd to 15th, 17th to 19th, 21st to 23rd Floor </v>
      </c>
      <c r="H477" s="174"/>
      <c r="I477" s="38"/>
      <c r="N477" s="38"/>
    </row>
    <row r="478" spans="1:14" s="91" customFormat="1" hidden="1" x14ac:dyDescent="0.35">
      <c r="A478" s="174">
        <f t="shared" si="51"/>
        <v>12</v>
      </c>
      <c r="B478" s="174"/>
      <c r="C478" s="90" t="s">
        <v>200</v>
      </c>
      <c r="D478" s="90">
        <f t="shared" si="52"/>
        <v>356.41218599999996</v>
      </c>
      <c r="E478" s="90">
        <v>0</v>
      </c>
      <c r="F478" s="90">
        <f t="shared" si="55"/>
        <v>534.61827899999992</v>
      </c>
      <c r="G478" s="174" t="str">
        <f t="shared" si="53"/>
        <v xml:space="preserve">2nd to 7th, 9th to 11th, 13rd to 15th, 17th to 19th, 21st to 23rd Floor </v>
      </c>
      <c r="H478" s="174"/>
      <c r="I478" s="38"/>
      <c r="N478" s="38"/>
    </row>
    <row r="479" spans="1:14" s="91" customFormat="1" hidden="1" x14ac:dyDescent="0.35">
      <c r="A479" s="174">
        <f t="shared" si="51"/>
        <v>13</v>
      </c>
      <c r="B479" s="174"/>
      <c r="C479" s="90" t="s">
        <v>200</v>
      </c>
      <c r="D479" s="90">
        <f t="shared" si="52"/>
        <v>356.41218599999996</v>
      </c>
      <c r="E479" s="90">
        <v>0</v>
      </c>
      <c r="F479" s="90">
        <f>D479*(($F$422)+1)+(IF(E479&lt;101,E479,IF(E479&lt;201,E479/2,IF(E479&lt;=301,E479/3,E479/4))))</f>
        <v>534.61827899999992</v>
      </c>
      <c r="G479" s="174" t="str">
        <f t="shared" si="53"/>
        <v xml:space="preserve">2nd to 7th, 9th to 11th, 13rd to 15th, 17th to 19th, 21st to 23rd Floor </v>
      </c>
      <c r="H479" s="174"/>
      <c r="I479" s="38"/>
      <c r="N479" s="38"/>
    </row>
    <row r="480" spans="1:14" s="91" customFormat="1" hidden="1" x14ac:dyDescent="0.35">
      <c r="A480" s="174">
        <f t="shared" si="51"/>
        <v>14</v>
      </c>
      <c r="B480" s="174"/>
      <c r="C480" s="90" t="s">
        <v>200</v>
      </c>
      <c r="D480" s="90">
        <f t="shared" si="52"/>
        <v>356.41218599999996</v>
      </c>
      <c r="E480" s="90">
        <v>0</v>
      </c>
      <c r="F480" s="90">
        <f t="shared" ref="F480:F483" si="56">D480*(($F$422)+1)+(IF(E480&lt;101,E480,IF(E480&lt;201,E480/2,IF(E480&lt;=301,E480/3,E480/4))))</f>
        <v>534.61827899999992</v>
      </c>
      <c r="G480" s="174" t="str">
        <f t="shared" si="53"/>
        <v xml:space="preserve">2nd to 7th, 9th to 11th, 13rd to 15th, 17th to 19th, 21st to 23rd Floor </v>
      </c>
      <c r="H480" s="174"/>
      <c r="I480" s="38"/>
      <c r="N480" s="38"/>
    </row>
    <row r="481" spans="1:14" s="91" customFormat="1" hidden="1" x14ac:dyDescent="0.35">
      <c r="A481" s="174">
        <f t="shared" si="51"/>
        <v>15</v>
      </c>
      <c r="B481" s="174"/>
      <c r="C481" s="90" t="s">
        <v>200</v>
      </c>
      <c r="D481" s="90">
        <f t="shared" si="52"/>
        <v>356.41218599999996</v>
      </c>
      <c r="E481" s="90">
        <v>0</v>
      </c>
      <c r="F481" s="90">
        <f t="shared" si="56"/>
        <v>534.61827899999992</v>
      </c>
      <c r="G481" s="174" t="str">
        <f t="shared" si="53"/>
        <v xml:space="preserve">2nd to 7th, 9th to 11th, 13rd to 15th, 17th to 19th, 21st to 23rd Floor </v>
      </c>
      <c r="H481" s="174"/>
      <c r="I481" s="38"/>
      <c r="N481" s="38"/>
    </row>
    <row r="482" spans="1:14" s="91" customFormat="1" hidden="1" x14ac:dyDescent="0.35">
      <c r="A482" s="174">
        <f t="shared" si="51"/>
        <v>16</v>
      </c>
      <c r="B482" s="174"/>
      <c r="C482" s="90" t="s">
        <v>200</v>
      </c>
      <c r="D482" s="90">
        <f t="shared" si="52"/>
        <v>356.41218599999996</v>
      </c>
      <c r="E482" s="90">
        <v>0</v>
      </c>
      <c r="F482" s="90">
        <f t="shared" si="56"/>
        <v>534.61827899999992</v>
      </c>
      <c r="G482" s="174" t="str">
        <f t="shared" si="53"/>
        <v xml:space="preserve">2nd to 7th, 9th to 11th, 13rd to 15th, 17th to 19th, 21st to 23rd Floor </v>
      </c>
      <c r="H482" s="174"/>
      <c r="I482" s="38"/>
      <c r="N482" s="38"/>
    </row>
    <row r="483" spans="1:14" s="91" customFormat="1" hidden="1" x14ac:dyDescent="0.35">
      <c r="A483" s="174">
        <f t="shared" si="51"/>
        <v>17</v>
      </c>
      <c r="B483" s="174"/>
      <c r="C483" s="90" t="s">
        <v>200</v>
      </c>
      <c r="D483" s="90">
        <f t="shared" si="52"/>
        <v>356.41218599999996</v>
      </c>
      <c r="E483" s="90">
        <v>0</v>
      </c>
      <c r="F483" s="90">
        <f t="shared" si="56"/>
        <v>534.61827899999992</v>
      </c>
      <c r="G483" s="174" t="str">
        <f t="shared" si="53"/>
        <v xml:space="preserve">2nd to 7th, 9th to 11th, 13rd to 15th, 17th to 19th, 21st to 23rd Floor </v>
      </c>
      <c r="H483" s="174"/>
      <c r="I483" s="38"/>
      <c r="N483" s="38"/>
    </row>
    <row r="484" spans="1:14" s="91" customFormat="1" hidden="1" x14ac:dyDescent="0.35">
      <c r="A484" s="174">
        <f t="shared" si="51"/>
        <v>18</v>
      </c>
      <c r="B484" s="174"/>
      <c r="C484" s="90" t="s">
        <v>200</v>
      </c>
      <c r="D484" s="90">
        <f t="shared" si="52"/>
        <v>356.41218599999996</v>
      </c>
      <c r="E484" s="90">
        <v>0</v>
      </c>
      <c r="F484" s="90">
        <f>D484*(($F$422)+1)+(IF(E484&lt;101,E484,IF(E484&lt;201,E484/2,IF(E484&lt;=301,E484/3,E484/4))))</f>
        <v>534.61827899999992</v>
      </c>
      <c r="G484" s="174" t="str">
        <f t="shared" si="53"/>
        <v xml:space="preserve">2nd to 7th, 9th to 11th, 13rd to 15th, 17th to 19th, 21st to 23rd Floor </v>
      </c>
      <c r="H484" s="174"/>
      <c r="I484" s="38"/>
      <c r="N484" s="38"/>
    </row>
    <row r="485" spans="1:14" s="91" customFormat="1" hidden="1" x14ac:dyDescent="0.35">
      <c r="A485" s="174">
        <f t="shared" si="51"/>
        <v>19</v>
      </c>
      <c r="B485" s="174"/>
      <c r="C485" s="90" t="s">
        <v>200</v>
      </c>
      <c r="D485" s="90">
        <f t="shared" si="52"/>
        <v>356.41218599999996</v>
      </c>
      <c r="E485" s="90">
        <v>0</v>
      </c>
      <c r="F485" s="90">
        <f t="shared" ref="F485:F489" si="57">D485*(($F$422)+1)+(IF(E485&lt;101,E485,IF(E485&lt;201,E485/2,IF(E485&lt;=301,E485/3,E485/4))))</f>
        <v>534.61827899999992</v>
      </c>
      <c r="G485" s="174" t="str">
        <f t="shared" si="53"/>
        <v xml:space="preserve">2nd to 7th, 9th to 11th, 13rd to 15th, 17th to 19th, 21st to 23rd Floor </v>
      </c>
      <c r="H485" s="174"/>
      <c r="I485" s="38"/>
      <c r="N485" s="38"/>
    </row>
    <row r="486" spans="1:14" s="91" customFormat="1" hidden="1" x14ac:dyDescent="0.35">
      <c r="A486" s="174">
        <f t="shared" si="51"/>
        <v>20</v>
      </c>
      <c r="B486" s="174"/>
      <c r="C486" s="90" t="s">
        <v>200</v>
      </c>
      <c r="D486" s="90">
        <f t="shared" si="52"/>
        <v>356.41218599999996</v>
      </c>
      <c r="E486" s="90">
        <v>0</v>
      </c>
      <c r="F486" s="90">
        <f t="shared" si="57"/>
        <v>534.61827899999992</v>
      </c>
      <c r="G486" s="174" t="str">
        <f t="shared" si="53"/>
        <v xml:space="preserve">2nd to 7th, 9th to 11th, 13rd to 15th, 17th to 19th, 21st to 23rd Floor </v>
      </c>
      <c r="H486" s="174"/>
      <c r="I486" s="38"/>
      <c r="N486" s="38"/>
    </row>
    <row r="487" spans="1:14" s="91" customFormat="1" hidden="1" x14ac:dyDescent="0.35">
      <c r="A487" s="174">
        <f t="shared" si="51"/>
        <v>21</v>
      </c>
      <c r="B487" s="174"/>
      <c r="C487" s="90" t="s">
        <v>200</v>
      </c>
      <c r="D487" s="90">
        <f t="shared" si="52"/>
        <v>356.41218599999996</v>
      </c>
      <c r="E487" s="90">
        <v>0</v>
      </c>
      <c r="F487" s="90">
        <f t="shared" si="57"/>
        <v>534.61827899999992</v>
      </c>
      <c r="G487" s="174" t="str">
        <f t="shared" si="53"/>
        <v xml:space="preserve">2nd to 7th, 9th to 11th, 13rd to 15th, 17th to 19th, 21st to 23rd Floor </v>
      </c>
      <c r="H487" s="174"/>
      <c r="I487" s="38"/>
      <c r="N487" s="38"/>
    </row>
    <row r="488" spans="1:14" s="91" customFormat="1" hidden="1" x14ac:dyDescent="0.35">
      <c r="A488" s="174">
        <f t="shared" si="51"/>
        <v>22</v>
      </c>
      <c r="B488" s="174"/>
      <c r="C488" s="90" t="s">
        <v>200</v>
      </c>
      <c r="D488" s="90">
        <f t="shared" si="52"/>
        <v>356.41218599999996</v>
      </c>
      <c r="E488" s="90">
        <v>0</v>
      </c>
      <c r="F488" s="90">
        <f t="shared" si="57"/>
        <v>534.61827899999992</v>
      </c>
      <c r="G488" s="174" t="str">
        <f t="shared" si="53"/>
        <v xml:space="preserve">2nd to 7th, 9th to 11th, 13rd to 15th, 17th to 19th, 21st to 23rd Floor </v>
      </c>
      <c r="H488" s="174"/>
      <c r="I488" s="38"/>
      <c r="N488" s="38"/>
    </row>
    <row r="489" spans="1:14" s="91" customFormat="1" hidden="1" x14ac:dyDescent="0.35">
      <c r="A489" s="174">
        <f t="shared" si="51"/>
        <v>23</v>
      </c>
      <c r="B489" s="174"/>
      <c r="C489" s="90" t="s">
        <v>200</v>
      </c>
      <c r="D489" s="90">
        <f t="shared" si="52"/>
        <v>356.41218599999996</v>
      </c>
      <c r="E489" s="90">
        <v>0</v>
      </c>
      <c r="F489" s="90">
        <f t="shared" si="57"/>
        <v>534.61827899999992</v>
      </c>
      <c r="G489" s="174" t="str">
        <f t="shared" si="53"/>
        <v xml:space="preserve">2nd to 7th, 9th to 11th, 13rd to 15th, 17th to 19th, 21st to 23rd Floor </v>
      </c>
      <c r="H489" s="174"/>
      <c r="I489" s="38"/>
      <c r="N489" s="38"/>
    </row>
    <row r="490" spans="1:14" s="91" customFormat="1" hidden="1" x14ac:dyDescent="0.35">
      <c r="A490" s="174">
        <f t="shared" si="51"/>
        <v>24</v>
      </c>
      <c r="B490" s="174"/>
      <c r="C490" s="90" t="s">
        <v>200</v>
      </c>
      <c r="D490" s="90">
        <f t="shared" si="52"/>
        <v>356.41218599999996</v>
      </c>
      <c r="E490" s="90">
        <v>0</v>
      </c>
      <c r="F490" s="90">
        <f>D490*(($F$422)+1)+(IF(E490&lt;101,E490,IF(E490&lt;201,E490/2,IF(E490&lt;=301,E490/3,E490/4))))</f>
        <v>534.61827899999992</v>
      </c>
      <c r="G490" s="174" t="str">
        <f t="shared" si="53"/>
        <v xml:space="preserve">2nd to 7th, 9th to 11th, 13rd to 15th, 17th to 19th, 21st to 23rd Floor </v>
      </c>
      <c r="H490" s="174"/>
      <c r="I490" s="38"/>
      <c r="N490" s="38"/>
    </row>
    <row r="491" spans="1:14" s="91" customFormat="1" hidden="1" x14ac:dyDescent="0.35">
      <c r="A491" s="174">
        <f t="shared" si="51"/>
        <v>25</v>
      </c>
      <c r="B491" s="174"/>
      <c r="C491" s="90" t="s">
        <v>200</v>
      </c>
      <c r="D491" s="90">
        <f t="shared" si="52"/>
        <v>356.41218599999996</v>
      </c>
      <c r="E491" s="90">
        <v>0</v>
      </c>
      <c r="F491" s="90">
        <f t="shared" ref="F491:F494" si="58">D491*(($F$422)+1)+(IF(E491&lt;101,E491,IF(E491&lt;201,E491/2,IF(E491&lt;=301,E491/3,E491/4))))</f>
        <v>534.61827899999992</v>
      </c>
      <c r="G491" s="174" t="str">
        <f t="shared" si="53"/>
        <v xml:space="preserve">2nd to 7th, 9th to 11th, 13rd to 15th, 17th to 19th, 21st to 23rd Floor </v>
      </c>
      <c r="H491" s="174"/>
      <c r="I491" s="38"/>
      <c r="N491" s="38"/>
    </row>
    <row r="492" spans="1:14" s="91" customFormat="1" hidden="1" x14ac:dyDescent="0.35">
      <c r="A492" s="174">
        <f t="shared" si="51"/>
        <v>26</v>
      </c>
      <c r="B492" s="174"/>
      <c r="C492" s="90" t="s">
        <v>200</v>
      </c>
      <c r="D492" s="90">
        <f t="shared" si="52"/>
        <v>356.41218599999996</v>
      </c>
      <c r="E492" s="90">
        <v>0</v>
      </c>
      <c r="F492" s="90">
        <f t="shared" si="58"/>
        <v>534.61827899999992</v>
      </c>
      <c r="G492" s="174" t="str">
        <f t="shared" si="53"/>
        <v xml:space="preserve">2nd to 7th, 9th to 11th, 13rd to 15th, 17th to 19th, 21st to 23rd Floor </v>
      </c>
      <c r="H492" s="174"/>
      <c r="I492" s="38"/>
      <c r="N492" s="38"/>
    </row>
    <row r="493" spans="1:14" s="91" customFormat="1" hidden="1" x14ac:dyDescent="0.35">
      <c r="A493" s="174">
        <f t="shared" si="51"/>
        <v>27</v>
      </c>
      <c r="B493" s="174"/>
      <c r="C493" s="90" t="s">
        <v>200</v>
      </c>
      <c r="D493" s="90">
        <f t="shared" si="52"/>
        <v>356.41218599999996</v>
      </c>
      <c r="E493" s="90">
        <v>0</v>
      </c>
      <c r="F493" s="90">
        <f t="shared" si="58"/>
        <v>534.61827899999992</v>
      </c>
      <c r="G493" s="174" t="str">
        <f t="shared" si="53"/>
        <v xml:space="preserve">2nd to 7th, 9th to 11th, 13rd to 15th, 17th to 19th, 21st to 23rd Floor </v>
      </c>
      <c r="H493" s="174"/>
      <c r="I493" s="38"/>
      <c r="N493" s="38"/>
    </row>
    <row r="494" spans="1:14" s="91" customFormat="1" hidden="1" x14ac:dyDescent="0.35">
      <c r="A494" s="174">
        <f t="shared" si="51"/>
        <v>28</v>
      </c>
      <c r="B494" s="174"/>
      <c r="C494" s="90" t="s">
        <v>200</v>
      </c>
      <c r="D494" s="90">
        <f t="shared" si="52"/>
        <v>356.41218599999996</v>
      </c>
      <c r="E494" s="90">
        <v>0</v>
      </c>
      <c r="F494" s="90">
        <f t="shared" si="58"/>
        <v>534.61827899999992</v>
      </c>
      <c r="G494" s="174" t="str">
        <f t="shared" si="53"/>
        <v xml:space="preserve">2nd to 7th, 9th to 11th, 13rd to 15th, 17th to 19th, 21st to 23rd Floor </v>
      </c>
      <c r="H494" s="174"/>
      <c r="I494" s="38"/>
      <c r="N494" s="38"/>
    </row>
    <row r="495" spans="1:14" s="91" customFormat="1" hidden="1" x14ac:dyDescent="0.35">
      <c r="A495" s="174">
        <f t="shared" si="51"/>
        <v>29</v>
      </c>
      <c r="B495" s="174"/>
      <c r="C495" s="90" t="s">
        <v>200</v>
      </c>
      <c r="D495" s="90">
        <f t="shared" si="52"/>
        <v>356.41218599999996</v>
      </c>
      <c r="E495" s="90">
        <v>0</v>
      </c>
      <c r="F495" s="90">
        <f>D495*(($F$422)+1)+(IF(E495&lt;101,E495,IF(E495&lt;201,E495/2,IF(E495&lt;=301,E495/3,E495/4))))</f>
        <v>534.61827899999992</v>
      </c>
      <c r="G495" s="174" t="str">
        <f t="shared" si="53"/>
        <v xml:space="preserve">2nd to 7th, 9th to 11th, 13rd to 15th, 17th to 19th, 21st to 23rd Floor </v>
      </c>
      <c r="H495" s="174"/>
      <c r="I495" s="38"/>
      <c r="N495" s="38"/>
    </row>
    <row r="496" spans="1:14" s="91" customFormat="1" hidden="1" x14ac:dyDescent="0.35">
      <c r="A496" s="174">
        <f t="shared" si="51"/>
        <v>30</v>
      </c>
      <c r="B496" s="174"/>
      <c r="C496" s="90" t="s">
        <v>200</v>
      </c>
      <c r="D496" s="90">
        <f t="shared" si="52"/>
        <v>356.41218599999996</v>
      </c>
      <c r="E496" s="90">
        <v>0</v>
      </c>
      <c r="F496" s="90">
        <f t="shared" ref="F496:F500" si="59">D496*(($F$422)+1)+(IF(E496&lt;101,E496,IF(E496&lt;201,E496/2,IF(E496&lt;=301,E496/3,E496/4))))</f>
        <v>534.61827899999992</v>
      </c>
      <c r="G496" s="174" t="str">
        <f t="shared" si="53"/>
        <v xml:space="preserve">2nd to 7th, 9th to 11th, 13rd to 15th, 17th to 19th, 21st to 23rd Floor </v>
      </c>
      <c r="H496" s="174"/>
      <c r="I496" s="38"/>
      <c r="N496" s="38"/>
    </row>
    <row r="497" spans="1:16" s="91" customFormat="1" hidden="1" x14ac:dyDescent="0.35">
      <c r="A497" s="174">
        <f t="shared" si="51"/>
        <v>31</v>
      </c>
      <c r="B497" s="174"/>
      <c r="C497" s="90" t="s">
        <v>200</v>
      </c>
      <c r="D497" s="90">
        <f t="shared" si="52"/>
        <v>356.41218599999996</v>
      </c>
      <c r="E497" s="90">
        <v>0</v>
      </c>
      <c r="F497" s="90">
        <f t="shared" si="59"/>
        <v>534.61827899999992</v>
      </c>
      <c r="G497" s="174" t="str">
        <f t="shared" si="53"/>
        <v xml:space="preserve">2nd to 7th, 9th to 11th, 13rd to 15th, 17th to 19th, 21st to 23rd Floor </v>
      </c>
      <c r="H497" s="174"/>
      <c r="I497" s="38"/>
      <c r="N497" s="38"/>
    </row>
    <row r="498" spans="1:16" s="91" customFormat="1" hidden="1" x14ac:dyDescent="0.35">
      <c r="A498" s="174">
        <f t="shared" si="51"/>
        <v>32</v>
      </c>
      <c r="B498" s="174"/>
      <c r="C498" s="90" t="s">
        <v>200</v>
      </c>
      <c r="D498" s="90">
        <f t="shared" si="52"/>
        <v>356.41218599999996</v>
      </c>
      <c r="E498" s="90">
        <v>0</v>
      </c>
      <c r="F498" s="90">
        <f t="shared" si="59"/>
        <v>534.61827899999992</v>
      </c>
      <c r="G498" s="174" t="str">
        <f t="shared" si="53"/>
        <v xml:space="preserve">2nd to 7th, 9th to 11th, 13rd to 15th, 17th to 19th, 21st to 23rd Floor </v>
      </c>
      <c r="H498" s="174"/>
      <c r="I498" s="38"/>
      <c r="N498" s="38"/>
    </row>
    <row r="499" spans="1:16" s="91" customFormat="1" hidden="1" x14ac:dyDescent="0.35">
      <c r="A499" s="174">
        <f t="shared" si="51"/>
        <v>33</v>
      </c>
      <c r="B499" s="174"/>
      <c r="C499" s="90" t="s">
        <v>200</v>
      </c>
      <c r="D499" s="90">
        <f t="shared" si="52"/>
        <v>356.41218599999996</v>
      </c>
      <c r="E499" s="90">
        <v>0</v>
      </c>
      <c r="F499" s="90">
        <f t="shared" si="59"/>
        <v>534.61827899999992</v>
      </c>
      <c r="G499" s="174" t="str">
        <f t="shared" si="53"/>
        <v xml:space="preserve">2nd to 7th, 9th to 11th, 13rd to 15th, 17th to 19th, 21st to 23rd Floor </v>
      </c>
      <c r="H499" s="174"/>
      <c r="I499" s="38"/>
      <c r="N499" s="38"/>
    </row>
    <row r="500" spans="1:16" s="91" customFormat="1" hidden="1" x14ac:dyDescent="0.35">
      <c r="A500" s="174">
        <f t="shared" si="51"/>
        <v>34</v>
      </c>
      <c r="B500" s="174"/>
      <c r="C500" s="90" t="s">
        <v>200</v>
      </c>
      <c r="D500" s="90">
        <f t="shared" si="52"/>
        <v>356.41218599999996</v>
      </c>
      <c r="E500" s="90">
        <v>0</v>
      </c>
      <c r="F500" s="90">
        <f t="shared" si="59"/>
        <v>534.61827899999992</v>
      </c>
      <c r="G500" s="174" t="str">
        <f t="shared" si="53"/>
        <v xml:space="preserve">2nd to 7th, 9th to 11th, 13rd to 15th, 17th to 19th, 21st to 23rd Floor </v>
      </c>
      <c r="H500" s="174"/>
      <c r="I500" s="38"/>
      <c r="N500" s="38"/>
    </row>
    <row r="501" spans="1:16" s="91" customFormat="1" hidden="1" x14ac:dyDescent="0.35">
      <c r="A501" s="174">
        <f t="shared" si="51"/>
        <v>35</v>
      </c>
      <c r="B501" s="174"/>
      <c r="C501" s="90" t="s">
        <v>200</v>
      </c>
      <c r="D501" s="90">
        <f t="shared" si="52"/>
        <v>356.41218599999996</v>
      </c>
      <c r="E501" s="90">
        <v>0</v>
      </c>
      <c r="F501" s="90">
        <f>D501*(($F$422)+1)+(IF(E501&lt;101,E501,IF(E501&lt;201,E501/2,IF(E501&lt;=301,E501/3,E501/4))))</f>
        <v>534.61827899999992</v>
      </c>
      <c r="G501" s="174" t="str">
        <f t="shared" si="53"/>
        <v xml:space="preserve">2nd to 7th, 9th to 11th, 13rd to 15th, 17th to 19th, 21st to 23rd Floor </v>
      </c>
      <c r="H501" s="174"/>
      <c r="I501" s="38"/>
      <c r="N501" s="38"/>
    </row>
    <row r="502" spans="1:16" s="91" customFormat="1" hidden="1" x14ac:dyDescent="0.35">
      <c r="A502" s="174">
        <f t="shared" si="51"/>
        <v>36</v>
      </c>
      <c r="B502" s="174"/>
      <c r="C502" s="90" t="s">
        <v>200</v>
      </c>
      <c r="D502" s="90">
        <f t="shared" si="52"/>
        <v>356.41218599999996</v>
      </c>
      <c r="E502" s="90">
        <v>0</v>
      </c>
      <c r="F502" s="90">
        <f t="shared" ref="F502:F505" si="60">D502*(($F$422)+1)+(IF(E502&lt;101,E502,IF(E502&lt;201,E502/2,IF(E502&lt;=301,E502/3,E502/4))))</f>
        <v>534.61827899999992</v>
      </c>
      <c r="G502" s="174" t="str">
        <f t="shared" si="53"/>
        <v xml:space="preserve">2nd to 7th, 9th to 11th, 13rd to 15th, 17th to 19th, 21st to 23rd Floor </v>
      </c>
      <c r="H502" s="174"/>
      <c r="I502" s="38"/>
      <c r="N502" s="38"/>
    </row>
    <row r="503" spans="1:16" s="91" customFormat="1" hidden="1" x14ac:dyDescent="0.35">
      <c r="A503" s="174">
        <f t="shared" si="51"/>
        <v>37</v>
      </c>
      <c r="B503" s="174"/>
      <c r="C503" s="90" t="s">
        <v>200</v>
      </c>
      <c r="D503" s="90">
        <f t="shared" si="52"/>
        <v>356.41218599999996</v>
      </c>
      <c r="E503" s="90">
        <v>0</v>
      </c>
      <c r="F503" s="90">
        <f t="shared" si="60"/>
        <v>534.61827899999992</v>
      </c>
      <c r="G503" s="174" t="str">
        <f t="shared" si="53"/>
        <v xml:space="preserve">2nd to 7th, 9th to 11th, 13rd to 15th, 17th to 19th, 21st to 23rd Floor </v>
      </c>
      <c r="H503" s="174"/>
      <c r="I503" s="38"/>
      <c r="N503" s="38"/>
    </row>
    <row r="504" spans="1:16" s="91" customFormat="1" hidden="1" x14ac:dyDescent="0.35">
      <c r="A504" s="174">
        <f t="shared" si="51"/>
        <v>38</v>
      </c>
      <c r="B504" s="174"/>
      <c r="C504" s="90" t="s">
        <v>200</v>
      </c>
      <c r="D504" s="90">
        <f t="shared" si="52"/>
        <v>356.41218599999996</v>
      </c>
      <c r="E504" s="90">
        <v>0</v>
      </c>
      <c r="F504" s="90">
        <f t="shared" si="60"/>
        <v>534.61827899999992</v>
      </c>
      <c r="G504" s="174" t="str">
        <f t="shared" si="53"/>
        <v xml:space="preserve">2nd to 7th, 9th to 11th, 13rd to 15th, 17th to 19th, 21st to 23rd Floor </v>
      </c>
      <c r="H504" s="174"/>
      <c r="I504" s="38"/>
      <c r="N504" s="38"/>
    </row>
    <row r="505" spans="1:16" s="91" customFormat="1" hidden="1" x14ac:dyDescent="0.35">
      <c r="A505" s="174">
        <f t="shared" si="51"/>
        <v>39</v>
      </c>
      <c r="B505" s="174"/>
      <c r="C505" s="90" t="s">
        <v>200</v>
      </c>
      <c r="D505" s="90">
        <f t="shared" si="52"/>
        <v>356.41218599999996</v>
      </c>
      <c r="E505" s="90">
        <v>0</v>
      </c>
      <c r="F505" s="90">
        <f t="shared" si="60"/>
        <v>534.61827899999992</v>
      </c>
      <c r="G505" s="174" t="str">
        <f t="shared" si="53"/>
        <v xml:space="preserve">2nd to 7th, 9th to 11th, 13rd to 15th, 17th to 19th, 21st to 23rd Floor </v>
      </c>
      <c r="H505" s="174"/>
      <c r="I505" s="38"/>
      <c r="N505" s="38"/>
    </row>
    <row r="506" spans="1:16" s="91" customFormat="1" hidden="1" x14ac:dyDescent="0.35">
      <c r="A506" s="174">
        <f t="shared" si="51"/>
        <v>40</v>
      </c>
      <c r="B506" s="174"/>
      <c r="C506" s="90" t="s">
        <v>200</v>
      </c>
      <c r="D506" s="90">
        <f t="shared" si="52"/>
        <v>356.41218599999996</v>
      </c>
      <c r="E506" s="90">
        <v>0</v>
      </c>
      <c r="F506" s="90">
        <f>D506*(($F$422)+1)+(IF(E506&lt;101,E506,IF(E506&lt;201,E506/2,IF(E506&lt;=301,E506/3,E506/4))))</f>
        <v>534.61827899999992</v>
      </c>
      <c r="G506" s="174" t="str">
        <f t="shared" si="53"/>
        <v xml:space="preserve">2nd to 7th, 9th to 11th, 13rd to 15th, 17th to 19th, 21st to 23rd Floor </v>
      </c>
      <c r="H506" s="174"/>
      <c r="I506" s="38"/>
      <c r="N506" s="38"/>
    </row>
    <row r="507" spans="1:16" s="91" customFormat="1" hidden="1" x14ac:dyDescent="0.35">
      <c r="A507" s="174">
        <f t="shared" si="51"/>
        <v>41</v>
      </c>
      <c r="B507" s="174"/>
      <c r="C507" s="90" t="s">
        <v>200</v>
      </c>
      <c r="D507" s="90">
        <f t="shared" si="52"/>
        <v>356.41218599999996</v>
      </c>
      <c r="E507" s="90">
        <v>0</v>
      </c>
      <c r="F507" s="90">
        <f t="shared" ref="F507" si="61">D507*(($F$422)+1)+(IF(E507&lt;101,E507,IF(E507&lt;201,E507/2,IF(E507&lt;=301,E507/3,E507/4))))</f>
        <v>534.61827899999992</v>
      </c>
      <c r="G507" s="174" t="str">
        <f t="shared" si="53"/>
        <v xml:space="preserve">2nd to 7th, 9th to 11th, 13rd to 15th, 17th to 19th, 21st to 23rd Floor </v>
      </c>
      <c r="H507" s="174"/>
      <c r="I507" s="38"/>
      <c r="N507" s="38"/>
    </row>
    <row r="508" spans="1:16" s="2" customFormat="1" ht="15.75" hidden="1" customHeight="1" x14ac:dyDescent="0.35">
      <c r="A508" s="255" t="s">
        <v>173</v>
      </c>
      <c r="B508" s="256"/>
      <c r="C508" s="256"/>
      <c r="D508" s="256"/>
      <c r="E508" s="256"/>
      <c r="F508" s="256"/>
      <c r="G508" s="256"/>
      <c r="H508" s="257"/>
      <c r="I508" s="38"/>
      <c r="L508" s="51"/>
      <c r="M508" s="51"/>
      <c r="P508" s="39"/>
    </row>
    <row r="509" spans="1:16" s="2" customFormat="1" hidden="1" x14ac:dyDescent="0.35">
      <c r="A509" s="175">
        <v>1</v>
      </c>
      <c r="B509" s="176"/>
      <c r="C509" s="93" t="s">
        <v>200</v>
      </c>
      <c r="D509" s="16">
        <f>(23.69+1.5*1.8+1.5*1.5+1.2*1.2+0.45*1.67+3.16*0.75)*10.764</f>
        <v>357.38094599999999</v>
      </c>
      <c r="E509" s="52">
        <v>0</v>
      </c>
      <c r="F509" s="89">
        <f t="shared" ref="F509:F514" si="62">D509*(($F$422)+1)+(IF(E509&lt;101,E509,IF(E509&lt;201,E509/2,IF(E509&lt;=301,E509/3,E509/4))))</f>
        <v>536.07141899999999</v>
      </c>
      <c r="G509" s="175" t="str">
        <f>A508</f>
        <v>8th, 12th, 16th &amp; 20th Floor (Part refuge area)</v>
      </c>
      <c r="H509" s="176"/>
      <c r="I509" s="38"/>
      <c r="M509" s="51"/>
      <c r="N509" s="51" t="str">
        <f t="shared" ref="N509:N514" ca="1" si="63">O509&amp;""&amp;",..,"&amp;""&amp;P509</f>
        <v>801,..,2001</v>
      </c>
      <c r="O509" s="85">
        <f ca="1">(SUMPRODUCT(MID(0&amp;(LEFT(A508,SUM(LEN(A508)-LEN(SUBSTITUTE(A508,{0,1,2},""))))), LARGE(INDEX(ISNUMBER(--MID((LEFT(A508,SUM(LEN(A508)-LEN(SUBSTITUTE(A508,{0,1,2},""))))), ROW(INDIRECT("1:"&amp;LEN((LEFT(A508,SUM(LEN(A508)-LEN(SUBSTITUTE(A508,{0,1,2},"")))))))), 1)) * ROW(INDIRECT("1:"&amp;LEN((LEFT(A508,SUM(LEN(A508)-LEN(SUBSTITUTE(A508,{0,1,2},"")))))))), 0), ROW(INDIRECT("1:"&amp;LEN((LEFT(A508,SUM(LEN(A508)-LEN(SUBSTITUTE(A508,{0,1,2},"")))))))))+1, 1) * 10^ROW(INDIRECT("1:"&amp;LEN((LEFT(A508,SUM(LEN(A508)-LEN(SUBSTITUTE(A508,{0,1,2},""))))))))/10))*100+1</f>
        <v>801</v>
      </c>
      <c r="P509" s="85">
        <f ca="1">(SUMPRODUCT(MID(0&amp;(--TRIM(RIGHT(SUBSTITUTE(LEFT(A508,_xlfn.AGGREGATE(16,6,FIND({0,1,2,3,4,5,6,7,8,9},A508,ROW(INDIRECT("1:"&amp;LEN(A508)))),1))," ",REPT(" ",LEN(A508))),LEN(A508)))), LARGE(INDEX(ISNUMBER(--MID((--TRIM(RIGHT(SUBSTITUTE(LEFT(A508,_xlfn.AGGREGATE(16,6,FIND({0,1,2,3,4,5,6,7,8,9},A508,ROW(INDIRECT("1:"&amp;LEN(A508)))),1))," ",REPT(" ",LEN(A508))),LEN(A508)))), ROW(INDIRECT("1:"&amp;LEN((--TRIM(RIGHT(SUBSTITUTE(LEFT(A508,_xlfn.AGGREGATE(16,6,FIND({0,1,2,3,4,5,6,7,8,9},A508,ROW(INDIRECT("1:"&amp;LEN(A508)))),1))," ",REPT(" ",LEN(A508))),LEN(A508))))))), 1)) * ROW(INDIRECT("1:"&amp;LEN((--TRIM(RIGHT(SUBSTITUTE(LEFT(A508,_xlfn.AGGREGATE(16,6,FIND({0,1,2,3,4,5,6,7,8,9},A508,ROW(INDIRECT("1:"&amp;LEN(A508)))),1))," ",REPT(" ",LEN(A508))),LEN(A508))))))), 0), ROW(INDIRECT("1:"&amp;LEN((--TRIM(RIGHT(SUBSTITUTE(LEFT(A508,_xlfn.AGGREGATE(16,6,FIND({0,1,2,3,4,5,6,7,8,9},A508,ROW(INDIRECT("1:"&amp;LEN(A508)))),1))," ",REPT(" ",LEN(A508))),LEN(A508))))))))+1, 1) * 10^ROW(INDIRECT("1:"&amp;LEN((--TRIM(RIGHT(SUBSTITUTE(LEFT(A508,_xlfn.AGGREGATE(16,6,FIND({0,1,2,3,4,5,6,7,8,9},A508,ROW(INDIRECT("1:"&amp;LEN(A508)))),1))," ",REPT(" ",LEN(A508))),LEN(A508)))))))/10))*100+1</f>
        <v>2001</v>
      </c>
    </row>
    <row r="510" spans="1:16" s="2" customFormat="1" hidden="1" x14ac:dyDescent="0.35">
      <c r="A510" s="175">
        <v>2</v>
      </c>
      <c r="B510" s="176"/>
      <c r="C510" s="93" t="s">
        <v>200</v>
      </c>
      <c r="D510" s="93">
        <f t="shared" ref="D510:D549" si="64">(23.69+1.5*1.8+1.5*1.5+1.2*1.2+0.45*1.67+3.16*0.75)*10.764</f>
        <v>357.38094599999999</v>
      </c>
      <c r="E510" s="52">
        <v>0</v>
      </c>
      <c r="F510" s="89">
        <f t="shared" si="62"/>
        <v>536.07141899999999</v>
      </c>
      <c r="G510" s="175" t="str">
        <f t="shared" ref="G510:G549" si="65">G509</f>
        <v>8th, 12th, 16th &amp; 20th Floor (Part refuge area)</v>
      </c>
      <c r="H510" s="176"/>
      <c r="I510" s="38"/>
      <c r="M510" s="51"/>
      <c r="N510" s="67" t="str">
        <f t="shared" ca="1" si="63"/>
        <v>802,..,2002</v>
      </c>
      <c r="O510" s="2">
        <f t="shared" ref="O510:P513" ca="1" si="66">O509+1</f>
        <v>802</v>
      </c>
      <c r="P510" s="2">
        <f t="shared" ca="1" si="66"/>
        <v>2002</v>
      </c>
    </row>
    <row r="511" spans="1:16" s="2" customFormat="1" hidden="1" x14ac:dyDescent="0.35">
      <c r="A511" s="175">
        <v>3</v>
      </c>
      <c r="B511" s="176"/>
      <c r="C511" s="93" t="s">
        <v>200</v>
      </c>
      <c r="D511" s="93">
        <f t="shared" si="64"/>
        <v>357.38094599999999</v>
      </c>
      <c r="E511" s="52">
        <v>0</v>
      </c>
      <c r="F511" s="89">
        <f t="shared" si="62"/>
        <v>536.07141899999999</v>
      </c>
      <c r="G511" s="175" t="str">
        <f t="shared" si="65"/>
        <v>8th, 12th, 16th &amp; 20th Floor (Part refuge area)</v>
      </c>
      <c r="H511" s="176"/>
      <c r="I511" s="38"/>
      <c r="M511" s="51"/>
      <c r="N511" s="67" t="str">
        <f t="shared" ca="1" si="63"/>
        <v>803,..,2003</v>
      </c>
      <c r="O511" s="2">
        <f t="shared" ca="1" si="66"/>
        <v>803</v>
      </c>
      <c r="P511" s="2">
        <f t="shared" ca="1" si="66"/>
        <v>2003</v>
      </c>
    </row>
    <row r="512" spans="1:16" s="2" customFormat="1" hidden="1" x14ac:dyDescent="0.35">
      <c r="A512" s="175">
        <v>4</v>
      </c>
      <c r="B512" s="176"/>
      <c r="C512" s="93" t="s">
        <v>200</v>
      </c>
      <c r="D512" s="93">
        <f t="shared" si="64"/>
        <v>357.38094599999999</v>
      </c>
      <c r="E512" s="52">
        <v>0</v>
      </c>
      <c r="F512" s="89">
        <f t="shared" si="62"/>
        <v>536.07141899999999</v>
      </c>
      <c r="G512" s="175" t="str">
        <f t="shared" si="65"/>
        <v>8th, 12th, 16th &amp; 20th Floor (Part refuge area)</v>
      </c>
      <c r="H512" s="176"/>
      <c r="I512" s="38"/>
      <c r="M512" s="51"/>
      <c r="N512" s="67" t="str">
        <f t="shared" ca="1" si="63"/>
        <v>804,..,2004</v>
      </c>
      <c r="O512" s="2">
        <f t="shared" ca="1" si="66"/>
        <v>804</v>
      </c>
      <c r="P512" s="2">
        <f t="shared" ca="1" si="66"/>
        <v>2004</v>
      </c>
    </row>
    <row r="513" spans="1:16" s="2" customFormat="1" hidden="1" x14ac:dyDescent="0.35">
      <c r="A513" s="175">
        <v>5</v>
      </c>
      <c r="B513" s="176"/>
      <c r="C513" s="93" t="s">
        <v>200</v>
      </c>
      <c r="D513" s="93">
        <f t="shared" si="64"/>
        <v>357.38094599999999</v>
      </c>
      <c r="E513" s="52">
        <v>0</v>
      </c>
      <c r="F513" s="89">
        <f t="shared" si="62"/>
        <v>536.07141899999999</v>
      </c>
      <c r="G513" s="175" t="str">
        <f t="shared" si="65"/>
        <v>8th, 12th, 16th &amp; 20th Floor (Part refuge area)</v>
      </c>
      <c r="H513" s="176"/>
      <c r="I513" s="38"/>
      <c r="M513" s="51"/>
      <c r="N513" s="67" t="str">
        <f t="shared" ca="1" si="63"/>
        <v>805,..,2005</v>
      </c>
      <c r="O513" s="2">
        <f t="shared" ca="1" si="66"/>
        <v>805</v>
      </c>
      <c r="P513" s="2">
        <f t="shared" ca="1" si="66"/>
        <v>2005</v>
      </c>
    </row>
    <row r="514" spans="1:16" s="42" customFormat="1" hidden="1" x14ac:dyDescent="0.35">
      <c r="A514" s="175">
        <v>6</v>
      </c>
      <c r="B514" s="176"/>
      <c r="C514" s="93" t="s">
        <v>200</v>
      </c>
      <c r="D514" s="93">
        <f t="shared" si="64"/>
        <v>357.38094599999999</v>
      </c>
      <c r="E514" s="52">
        <v>0</v>
      </c>
      <c r="F514" s="89">
        <f t="shared" si="62"/>
        <v>536.07141899999999</v>
      </c>
      <c r="G514" s="175" t="str">
        <f t="shared" si="65"/>
        <v>8th, 12th, 16th &amp; 20th Floor (Part refuge area)</v>
      </c>
      <c r="H514" s="176"/>
      <c r="I514" s="38"/>
      <c r="M514" s="51"/>
      <c r="N514" s="67" t="str">
        <f t="shared" ca="1" si="63"/>
        <v>806,..,2006</v>
      </c>
      <c r="O514" s="42">
        <f ca="1">O513+1</f>
        <v>806</v>
      </c>
      <c r="P514" s="42">
        <f ca="1">P513+1</f>
        <v>2006</v>
      </c>
    </row>
    <row r="515" spans="1:16" s="94" customFormat="1" hidden="1" x14ac:dyDescent="0.35">
      <c r="A515" s="175">
        <v>7</v>
      </c>
      <c r="B515" s="176"/>
      <c r="C515" s="93" t="s">
        <v>200</v>
      </c>
      <c r="D515" s="93">
        <f t="shared" si="64"/>
        <v>357.38094599999999</v>
      </c>
      <c r="E515" s="93">
        <v>0</v>
      </c>
      <c r="F515" s="93">
        <f>D515*(($F$422)+1)+(IF(E515&lt;101,E515,IF(E515&lt;201,E515/2,IF(E515&lt;=301,E515/3,E515/4))))</f>
        <v>536.07141899999999</v>
      </c>
      <c r="G515" s="175" t="str">
        <f t="shared" si="65"/>
        <v>8th, 12th, 16th &amp; 20th Floor (Part refuge area)</v>
      </c>
      <c r="H515" s="176"/>
      <c r="I515" s="38"/>
      <c r="N515" s="94" t="str">
        <f t="shared" ref="N515:N520" ca="1" si="67">O515&amp;""&amp;",..,"&amp;""&amp;P515</f>
        <v>807,..,2007</v>
      </c>
      <c r="O515" s="94">
        <f t="shared" ref="O515:P515" ca="1" si="68">O514+1</f>
        <v>807</v>
      </c>
      <c r="P515" s="94">
        <f t="shared" ca="1" si="68"/>
        <v>2007</v>
      </c>
    </row>
    <row r="516" spans="1:16" s="94" customFormat="1" hidden="1" x14ac:dyDescent="0.35">
      <c r="A516" s="175">
        <v>8</v>
      </c>
      <c r="B516" s="176"/>
      <c r="C516" s="93" t="s">
        <v>200</v>
      </c>
      <c r="D516" s="93">
        <f t="shared" si="64"/>
        <v>357.38094599999999</v>
      </c>
      <c r="E516" s="93">
        <v>0</v>
      </c>
      <c r="F516" s="93">
        <f>D516*(($F$422)+1)+(IF(E516&lt;101,E516,IF(E516&lt;201,E516/2,IF(E516&lt;=301,E516/3,E516/4))))</f>
        <v>536.07141899999999</v>
      </c>
      <c r="G516" s="175" t="str">
        <f t="shared" si="65"/>
        <v>8th, 12th, 16th &amp; 20th Floor (Part refuge area)</v>
      </c>
      <c r="H516" s="176"/>
      <c r="I516" s="38"/>
      <c r="N516" s="94" t="str">
        <f t="shared" ca="1" si="67"/>
        <v>808,..,2008</v>
      </c>
      <c r="O516" s="94">
        <f t="shared" ref="O516:P516" ca="1" si="69">O515+1</f>
        <v>808</v>
      </c>
      <c r="P516" s="94">
        <f t="shared" ca="1" si="69"/>
        <v>2008</v>
      </c>
    </row>
    <row r="517" spans="1:16" s="94" customFormat="1" hidden="1" x14ac:dyDescent="0.35">
      <c r="A517" s="175">
        <v>9</v>
      </c>
      <c r="B517" s="176"/>
      <c r="C517" s="175" t="s">
        <v>172</v>
      </c>
      <c r="D517" s="254"/>
      <c r="E517" s="254"/>
      <c r="F517" s="176"/>
      <c r="G517" s="175" t="str">
        <f t="shared" si="65"/>
        <v>8th, 12th, 16th &amp; 20th Floor (Part refuge area)</v>
      </c>
      <c r="H517" s="176"/>
      <c r="I517" s="38"/>
      <c r="N517" s="94" t="str">
        <f t="shared" ca="1" si="67"/>
        <v>809,..,2009</v>
      </c>
      <c r="O517" s="94">
        <f t="shared" ref="O517:P517" ca="1" si="70">O516+1</f>
        <v>809</v>
      </c>
      <c r="P517" s="94">
        <f t="shared" ca="1" si="70"/>
        <v>2009</v>
      </c>
    </row>
    <row r="518" spans="1:16" s="94" customFormat="1" hidden="1" x14ac:dyDescent="0.35">
      <c r="A518" s="175">
        <v>10</v>
      </c>
      <c r="B518" s="176"/>
      <c r="C518" s="93" t="s">
        <v>200</v>
      </c>
      <c r="D518" s="93">
        <f t="shared" si="64"/>
        <v>357.38094599999999</v>
      </c>
      <c r="E518" s="93">
        <v>0</v>
      </c>
      <c r="F518" s="93">
        <f t="shared" ref="F518:F529" si="71">D518*(($F$422)+1)+(IF(E518&lt;101,E518,IF(E518&lt;201,E518/2,IF(E518&lt;=301,E518/3,E518/4))))</f>
        <v>536.07141899999999</v>
      </c>
      <c r="G518" s="175" t="str">
        <f t="shared" si="65"/>
        <v>8th, 12th, 16th &amp; 20th Floor (Part refuge area)</v>
      </c>
      <c r="H518" s="176"/>
      <c r="I518" s="38"/>
      <c r="N518" s="94" t="str">
        <f t="shared" ca="1" si="67"/>
        <v>810,..,2010</v>
      </c>
      <c r="O518" s="94">
        <f ca="1">O517+1</f>
        <v>810</v>
      </c>
      <c r="P518" s="94">
        <f ca="1">P517+1</f>
        <v>2010</v>
      </c>
    </row>
    <row r="519" spans="1:16" s="94" customFormat="1" hidden="1" x14ac:dyDescent="0.35">
      <c r="A519" s="175">
        <v>11</v>
      </c>
      <c r="B519" s="176"/>
      <c r="C519" s="93" t="s">
        <v>200</v>
      </c>
      <c r="D519" s="93">
        <f t="shared" si="64"/>
        <v>357.38094599999999</v>
      </c>
      <c r="E519" s="93">
        <v>0</v>
      </c>
      <c r="F519" s="93">
        <f t="shared" si="71"/>
        <v>536.07141899999999</v>
      </c>
      <c r="G519" s="175" t="str">
        <f t="shared" si="65"/>
        <v>8th, 12th, 16th &amp; 20th Floor (Part refuge area)</v>
      </c>
      <c r="H519" s="176"/>
      <c r="I519" s="38"/>
      <c r="N519" s="94" t="str">
        <f t="shared" ca="1" si="67"/>
        <v>811,..,2011</v>
      </c>
      <c r="O519" s="94">
        <f t="shared" ref="O519:P519" ca="1" si="72">O518+1</f>
        <v>811</v>
      </c>
      <c r="P519" s="94">
        <f t="shared" ca="1" si="72"/>
        <v>2011</v>
      </c>
    </row>
    <row r="520" spans="1:16" s="94" customFormat="1" hidden="1" x14ac:dyDescent="0.35">
      <c r="A520" s="175">
        <v>12</v>
      </c>
      <c r="B520" s="176"/>
      <c r="C520" s="93" t="s">
        <v>200</v>
      </c>
      <c r="D520" s="93">
        <f t="shared" si="64"/>
        <v>357.38094599999999</v>
      </c>
      <c r="E520" s="93">
        <v>0</v>
      </c>
      <c r="F520" s="93">
        <f t="shared" si="71"/>
        <v>536.07141899999999</v>
      </c>
      <c r="G520" s="175" t="str">
        <f t="shared" si="65"/>
        <v>8th, 12th, 16th &amp; 20th Floor (Part refuge area)</v>
      </c>
      <c r="H520" s="176"/>
      <c r="I520" s="38"/>
      <c r="N520" s="94" t="str">
        <f t="shared" ca="1" si="67"/>
        <v>812,..,2012</v>
      </c>
      <c r="O520" s="94">
        <f ca="1">O519+1</f>
        <v>812</v>
      </c>
      <c r="P520" s="94">
        <f ca="1">P519+1</f>
        <v>2012</v>
      </c>
    </row>
    <row r="521" spans="1:16" s="94" customFormat="1" hidden="1" x14ac:dyDescent="0.35">
      <c r="A521" s="175">
        <v>13</v>
      </c>
      <c r="B521" s="176"/>
      <c r="C521" s="93" t="s">
        <v>200</v>
      </c>
      <c r="D521" s="93">
        <f t="shared" si="64"/>
        <v>357.38094599999999</v>
      </c>
      <c r="E521" s="93">
        <v>0</v>
      </c>
      <c r="F521" s="93">
        <f t="shared" si="71"/>
        <v>536.07141899999999</v>
      </c>
      <c r="G521" s="175" t="str">
        <f t="shared" si="65"/>
        <v>8th, 12th, 16th &amp; 20th Floor (Part refuge area)</v>
      </c>
      <c r="H521" s="176"/>
      <c r="I521" s="38"/>
      <c r="N521" s="94" t="str">
        <f t="shared" ref="N521:N534" ca="1" si="73">O521&amp;""&amp;",..,"&amp;""&amp;P521</f>
        <v>813,..,2013</v>
      </c>
      <c r="O521" s="94">
        <f t="shared" ref="O521:P521" ca="1" si="74">O520+1</f>
        <v>813</v>
      </c>
      <c r="P521" s="94">
        <f t="shared" ca="1" si="74"/>
        <v>2013</v>
      </c>
    </row>
    <row r="522" spans="1:16" s="94" customFormat="1" hidden="1" x14ac:dyDescent="0.35">
      <c r="A522" s="175">
        <v>14</v>
      </c>
      <c r="B522" s="176"/>
      <c r="C522" s="93" t="s">
        <v>200</v>
      </c>
      <c r="D522" s="93">
        <f t="shared" si="64"/>
        <v>357.38094599999999</v>
      </c>
      <c r="E522" s="93">
        <v>0</v>
      </c>
      <c r="F522" s="93">
        <f t="shared" si="71"/>
        <v>536.07141899999999</v>
      </c>
      <c r="G522" s="175" t="str">
        <f t="shared" si="65"/>
        <v>8th, 12th, 16th &amp; 20th Floor (Part refuge area)</v>
      </c>
      <c r="H522" s="176"/>
      <c r="I522" s="38"/>
      <c r="N522" s="94" t="str">
        <f t="shared" ca="1" si="73"/>
        <v>814,..,2014</v>
      </c>
      <c r="O522" s="94">
        <f t="shared" ref="O522:P522" ca="1" si="75">O521+1</f>
        <v>814</v>
      </c>
      <c r="P522" s="94">
        <f t="shared" ca="1" si="75"/>
        <v>2014</v>
      </c>
    </row>
    <row r="523" spans="1:16" s="94" customFormat="1" hidden="1" x14ac:dyDescent="0.35">
      <c r="A523" s="175">
        <v>15</v>
      </c>
      <c r="B523" s="176"/>
      <c r="C523" s="93" t="s">
        <v>200</v>
      </c>
      <c r="D523" s="93">
        <f t="shared" si="64"/>
        <v>357.38094599999999</v>
      </c>
      <c r="E523" s="93">
        <v>0</v>
      </c>
      <c r="F523" s="93">
        <f t="shared" si="71"/>
        <v>536.07141899999999</v>
      </c>
      <c r="G523" s="175" t="str">
        <f t="shared" si="65"/>
        <v>8th, 12th, 16th &amp; 20th Floor (Part refuge area)</v>
      </c>
      <c r="H523" s="176"/>
      <c r="I523" s="38"/>
      <c r="N523" s="94" t="str">
        <f t="shared" ca="1" si="73"/>
        <v>815,..,2015</v>
      </c>
      <c r="O523" s="94">
        <f t="shared" ref="O523:P523" ca="1" si="76">O522+1</f>
        <v>815</v>
      </c>
      <c r="P523" s="94">
        <f t="shared" ca="1" si="76"/>
        <v>2015</v>
      </c>
    </row>
    <row r="524" spans="1:16" s="94" customFormat="1" hidden="1" x14ac:dyDescent="0.35">
      <c r="A524" s="175">
        <v>16</v>
      </c>
      <c r="B524" s="176"/>
      <c r="C524" s="93" t="s">
        <v>200</v>
      </c>
      <c r="D524" s="93">
        <f t="shared" si="64"/>
        <v>357.38094599999999</v>
      </c>
      <c r="E524" s="93">
        <v>0</v>
      </c>
      <c r="F524" s="93">
        <f t="shared" si="71"/>
        <v>536.07141899999999</v>
      </c>
      <c r="G524" s="175" t="str">
        <f t="shared" si="65"/>
        <v>8th, 12th, 16th &amp; 20th Floor (Part refuge area)</v>
      </c>
      <c r="H524" s="176"/>
      <c r="I524" s="38"/>
      <c r="N524" s="94" t="str">
        <f t="shared" ca="1" si="73"/>
        <v>816,..,2016</v>
      </c>
      <c r="O524" s="94">
        <f ca="1">O523+1</f>
        <v>816</v>
      </c>
      <c r="P524" s="94">
        <f ca="1">P523+1</f>
        <v>2016</v>
      </c>
    </row>
    <row r="525" spans="1:16" s="94" customFormat="1" hidden="1" x14ac:dyDescent="0.35">
      <c r="A525" s="175">
        <v>17</v>
      </c>
      <c r="B525" s="176"/>
      <c r="C525" s="93" t="s">
        <v>200</v>
      </c>
      <c r="D525" s="93">
        <f t="shared" si="64"/>
        <v>357.38094599999999</v>
      </c>
      <c r="E525" s="93">
        <v>0</v>
      </c>
      <c r="F525" s="93">
        <f t="shared" si="71"/>
        <v>536.07141899999999</v>
      </c>
      <c r="G525" s="175" t="str">
        <f t="shared" si="65"/>
        <v>8th, 12th, 16th &amp; 20th Floor (Part refuge area)</v>
      </c>
      <c r="H525" s="176"/>
      <c r="I525" s="38"/>
      <c r="N525" s="94" t="str">
        <f t="shared" ca="1" si="73"/>
        <v>817,..,2017</v>
      </c>
      <c r="O525" s="94">
        <f t="shared" ref="O525:P525" ca="1" si="77">O524+1</f>
        <v>817</v>
      </c>
      <c r="P525" s="94">
        <f t="shared" ca="1" si="77"/>
        <v>2017</v>
      </c>
    </row>
    <row r="526" spans="1:16" s="94" customFormat="1" hidden="1" x14ac:dyDescent="0.35">
      <c r="A526" s="175">
        <v>18</v>
      </c>
      <c r="B526" s="176"/>
      <c r="C526" s="93" t="s">
        <v>200</v>
      </c>
      <c r="D526" s="93">
        <f t="shared" si="64"/>
        <v>357.38094599999999</v>
      </c>
      <c r="E526" s="93">
        <v>0</v>
      </c>
      <c r="F526" s="93">
        <f t="shared" si="71"/>
        <v>536.07141899999999</v>
      </c>
      <c r="G526" s="175" t="str">
        <f t="shared" si="65"/>
        <v>8th, 12th, 16th &amp; 20th Floor (Part refuge area)</v>
      </c>
      <c r="H526" s="176"/>
      <c r="I526" s="38"/>
      <c r="N526" s="94" t="str">
        <f t="shared" ca="1" si="73"/>
        <v>818,..,2018</v>
      </c>
      <c r="O526" s="94">
        <f t="shared" ref="O526:P526" ca="1" si="78">O525+1</f>
        <v>818</v>
      </c>
      <c r="P526" s="94">
        <f t="shared" ca="1" si="78"/>
        <v>2018</v>
      </c>
    </row>
    <row r="527" spans="1:16" s="94" customFormat="1" hidden="1" x14ac:dyDescent="0.35">
      <c r="A527" s="175">
        <v>19</v>
      </c>
      <c r="B527" s="176"/>
      <c r="C527" s="93" t="s">
        <v>200</v>
      </c>
      <c r="D527" s="93">
        <f t="shared" si="64"/>
        <v>357.38094599999999</v>
      </c>
      <c r="E527" s="93">
        <v>0</v>
      </c>
      <c r="F527" s="93">
        <f t="shared" si="71"/>
        <v>536.07141899999999</v>
      </c>
      <c r="G527" s="175" t="str">
        <f t="shared" si="65"/>
        <v>8th, 12th, 16th &amp; 20th Floor (Part refuge area)</v>
      </c>
      <c r="H527" s="176"/>
      <c r="I527" s="38"/>
      <c r="N527" s="94" t="str">
        <f t="shared" ca="1" si="73"/>
        <v>819,..,2019</v>
      </c>
      <c r="O527" s="94">
        <f t="shared" ref="O527:P527" ca="1" si="79">O526+1</f>
        <v>819</v>
      </c>
      <c r="P527" s="94">
        <f t="shared" ca="1" si="79"/>
        <v>2019</v>
      </c>
    </row>
    <row r="528" spans="1:16" s="94" customFormat="1" hidden="1" x14ac:dyDescent="0.35">
      <c r="A528" s="175">
        <v>20</v>
      </c>
      <c r="B528" s="176"/>
      <c r="C528" s="93" t="s">
        <v>200</v>
      </c>
      <c r="D528" s="93">
        <f t="shared" si="64"/>
        <v>357.38094599999999</v>
      </c>
      <c r="E528" s="93">
        <v>0</v>
      </c>
      <c r="F528" s="93">
        <f t="shared" si="71"/>
        <v>536.07141899999999</v>
      </c>
      <c r="G528" s="175" t="str">
        <f t="shared" si="65"/>
        <v>8th, 12th, 16th &amp; 20th Floor (Part refuge area)</v>
      </c>
      <c r="H528" s="176"/>
      <c r="I528" s="38"/>
      <c r="N528" s="94" t="str">
        <f t="shared" ca="1" si="73"/>
        <v>820,..,2020</v>
      </c>
      <c r="O528" s="94">
        <f ca="1">O527+1</f>
        <v>820</v>
      </c>
      <c r="P528" s="94">
        <f ca="1">P527+1</f>
        <v>2020</v>
      </c>
    </row>
    <row r="529" spans="1:16" s="94" customFormat="1" hidden="1" x14ac:dyDescent="0.35">
      <c r="A529" s="175">
        <v>21</v>
      </c>
      <c r="B529" s="176"/>
      <c r="C529" s="93" t="s">
        <v>200</v>
      </c>
      <c r="D529" s="93">
        <f t="shared" si="64"/>
        <v>357.38094599999999</v>
      </c>
      <c r="E529" s="93">
        <v>0</v>
      </c>
      <c r="F529" s="93">
        <f t="shared" si="71"/>
        <v>536.07141899999999</v>
      </c>
      <c r="G529" s="175" t="str">
        <f t="shared" si="65"/>
        <v>8th, 12th, 16th &amp; 20th Floor (Part refuge area)</v>
      </c>
      <c r="H529" s="176"/>
      <c r="I529" s="38"/>
      <c r="N529" s="94" t="str">
        <f t="shared" ca="1" si="73"/>
        <v>821,..,2021</v>
      </c>
      <c r="O529" s="94">
        <f t="shared" ref="O529:P529" ca="1" si="80">O528+1</f>
        <v>821</v>
      </c>
      <c r="P529" s="94">
        <f t="shared" ca="1" si="80"/>
        <v>2021</v>
      </c>
    </row>
    <row r="530" spans="1:16" s="94" customFormat="1" hidden="1" x14ac:dyDescent="0.35">
      <c r="A530" s="175">
        <v>22</v>
      </c>
      <c r="B530" s="176"/>
      <c r="C530" s="175" t="s">
        <v>172</v>
      </c>
      <c r="D530" s="254"/>
      <c r="E530" s="254"/>
      <c r="F530" s="176"/>
      <c r="G530" s="175" t="str">
        <f t="shared" si="65"/>
        <v>8th, 12th, 16th &amp; 20th Floor (Part refuge area)</v>
      </c>
      <c r="H530" s="176"/>
      <c r="I530" s="38"/>
      <c r="N530" s="94" t="str">
        <f t="shared" ca="1" si="73"/>
        <v>822,..,2022</v>
      </c>
      <c r="O530" s="94">
        <f t="shared" ref="O530:P530" ca="1" si="81">O529+1</f>
        <v>822</v>
      </c>
      <c r="P530" s="94">
        <f t="shared" ca="1" si="81"/>
        <v>2022</v>
      </c>
    </row>
    <row r="531" spans="1:16" s="94" customFormat="1" hidden="1" x14ac:dyDescent="0.35">
      <c r="A531" s="175">
        <v>23</v>
      </c>
      <c r="B531" s="176"/>
      <c r="C531" s="93" t="s">
        <v>200</v>
      </c>
      <c r="D531" s="93">
        <f t="shared" si="64"/>
        <v>357.38094599999999</v>
      </c>
      <c r="E531" s="93">
        <v>0</v>
      </c>
      <c r="F531" s="93">
        <f t="shared" ref="F531:F536" si="82">D531*(($F$422)+1)+(IF(E531&lt;101,E531,IF(E531&lt;201,E531/2,IF(E531&lt;=301,E531/3,E531/4))))</f>
        <v>536.07141899999999</v>
      </c>
      <c r="G531" s="175" t="str">
        <f t="shared" si="65"/>
        <v>8th, 12th, 16th &amp; 20th Floor (Part refuge area)</v>
      </c>
      <c r="H531" s="176"/>
      <c r="I531" s="38"/>
      <c r="N531" s="94" t="str">
        <f t="shared" ca="1" si="73"/>
        <v>823,..,2023</v>
      </c>
      <c r="O531" s="94">
        <f t="shared" ref="O531:P531" ca="1" si="83">O530+1</f>
        <v>823</v>
      </c>
      <c r="P531" s="94">
        <f t="shared" ca="1" si="83"/>
        <v>2023</v>
      </c>
    </row>
    <row r="532" spans="1:16" s="94" customFormat="1" hidden="1" x14ac:dyDescent="0.35">
      <c r="A532" s="175">
        <v>24</v>
      </c>
      <c r="B532" s="176"/>
      <c r="C532" s="93" t="s">
        <v>200</v>
      </c>
      <c r="D532" s="93">
        <f t="shared" si="64"/>
        <v>357.38094599999999</v>
      </c>
      <c r="E532" s="93">
        <v>0</v>
      </c>
      <c r="F532" s="93">
        <f t="shared" si="82"/>
        <v>536.07141899999999</v>
      </c>
      <c r="G532" s="175" t="str">
        <f t="shared" si="65"/>
        <v>8th, 12th, 16th &amp; 20th Floor (Part refuge area)</v>
      </c>
      <c r="H532" s="176"/>
      <c r="I532" s="38"/>
      <c r="N532" s="94" t="str">
        <f t="shared" ca="1" si="73"/>
        <v>824,..,2024</v>
      </c>
      <c r="O532" s="94">
        <f ca="1">O531+1</f>
        <v>824</v>
      </c>
      <c r="P532" s="94">
        <f ca="1">P531+1</f>
        <v>2024</v>
      </c>
    </row>
    <row r="533" spans="1:16" s="94" customFormat="1" hidden="1" x14ac:dyDescent="0.35">
      <c r="A533" s="175">
        <v>25</v>
      </c>
      <c r="B533" s="176"/>
      <c r="C533" s="93" t="s">
        <v>200</v>
      </c>
      <c r="D533" s="93">
        <f t="shared" si="64"/>
        <v>357.38094599999999</v>
      </c>
      <c r="E533" s="93">
        <v>0</v>
      </c>
      <c r="F533" s="93">
        <f t="shared" si="82"/>
        <v>536.07141899999999</v>
      </c>
      <c r="G533" s="175" t="str">
        <f t="shared" si="65"/>
        <v>8th, 12th, 16th &amp; 20th Floor (Part refuge area)</v>
      </c>
      <c r="H533" s="176"/>
      <c r="I533" s="38"/>
      <c r="N533" s="94" t="str">
        <f t="shared" ca="1" si="73"/>
        <v>825,..,2025</v>
      </c>
      <c r="O533" s="94">
        <f t="shared" ref="O533:P533" ca="1" si="84">O532+1</f>
        <v>825</v>
      </c>
      <c r="P533" s="94">
        <f t="shared" ca="1" si="84"/>
        <v>2025</v>
      </c>
    </row>
    <row r="534" spans="1:16" s="94" customFormat="1" hidden="1" x14ac:dyDescent="0.35">
      <c r="A534" s="175">
        <v>26</v>
      </c>
      <c r="B534" s="176"/>
      <c r="C534" s="93" t="s">
        <v>200</v>
      </c>
      <c r="D534" s="93">
        <f t="shared" si="64"/>
        <v>357.38094599999999</v>
      </c>
      <c r="E534" s="93">
        <v>0</v>
      </c>
      <c r="F534" s="93">
        <f t="shared" si="82"/>
        <v>536.07141899999999</v>
      </c>
      <c r="G534" s="175" t="str">
        <f t="shared" si="65"/>
        <v>8th, 12th, 16th &amp; 20th Floor (Part refuge area)</v>
      </c>
      <c r="H534" s="176"/>
      <c r="I534" s="38"/>
      <c r="N534" s="94" t="str">
        <f t="shared" ca="1" si="73"/>
        <v>826,..,2026</v>
      </c>
      <c r="O534" s="94">
        <f ca="1">O533+1</f>
        <v>826</v>
      </c>
      <c r="P534" s="94">
        <f ca="1">P533+1</f>
        <v>2026</v>
      </c>
    </row>
    <row r="535" spans="1:16" s="94" customFormat="1" hidden="1" x14ac:dyDescent="0.35">
      <c r="A535" s="175">
        <v>27</v>
      </c>
      <c r="B535" s="176"/>
      <c r="C535" s="93" t="s">
        <v>200</v>
      </c>
      <c r="D535" s="93">
        <f t="shared" si="64"/>
        <v>357.38094599999999</v>
      </c>
      <c r="E535" s="93">
        <v>0</v>
      </c>
      <c r="F535" s="93">
        <f t="shared" si="82"/>
        <v>536.07141899999999</v>
      </c>
      <c r="G535" s="175" t="str">
        <f t="shared" si="65"/>
        <v>8th, 12th, 16th &amp; 20th Floor (Part refuge area)</v>
      </c>
      <c r="H535" s="176"/>
      <c r="I535" s="38"/>
      <c r="N535" s="94" t="str">
        <f t="shared" ref="N535:N545" ca="1" si="85">O535&amp;""&amp;",..,"&amp;""&amp;P535</f>
        <v>827,..,2027</v>
      </c>
      <c r="O535" s="94">
        <f t="shared" ref="O535:P535" ca="1" si="86">O534+1</f>
        <v>827</v>
      </c>
      <c r="P535" s="94">
        <f t="shared" ca="1" si="86"/>
        <v>2027</v>
      </c>
    </row>
    <row r="536" spans="1:16" s="94" customFormat="1" hidden="1" x14ac:dyDescent="0.35">
      <c r="A536" s="175">
        <v>28</v>
      </c>
      <c r="B536" s="176"/>
      <c r="C536" s="93" t="s">
        <v>200</v>
      </c>
      <c r="D536" s="93">
        <f t="shared" si="64"/>
        <v>357.38094599999999</v>
      </c>
      <c r="E536" s="93">
        <v>0</v>
      </c>
      <c r="F536" s="93">
        <f t="shared" si="82"/>
        <v>536.07141899999999</v>
      </c>
      <c r="G536" s="175" t="str">
        <f t="shared" si="65"/>
        <v>8th, 12th, 16th &amp; 20th Floor (Part refuge area)</v>
      </c>
      <c r="H536" s="176"/>
      <c r="I536" s="38"/>
      <c r="N536" s="94" t="str">
        <f t="shared" ca="1" si="85"/>
        <v>828,..,2028</v>
      </c>
      <c r="O536" s="94">
        <f t="shared" ref="O536:P536" ca="1" si="87">O535+1</f>
        <v>828</v>
      </c>
      <c r="P536" s="94">
        <f t="shared" ca="1" si="87"/>
        <v>2028</v>
      </c>
    </row>
    <row r="537" spans="1:16" s="94" customFormat="1" hidden="1" x14ac:dyDescent="0.35">
      <c r="A537" s="175">
        <v>29</v>
      </c>
      <c r="B537" s="176"/>
      <c r="C537" s="175" t="s">
        <v>172</v>
      </c>
      <c r="D537" s="254"/>
      <c r="E537" s="254"/>
      <c r="F537" s="176"/>
      <c r="G537" s="175" t="str">
        <f t="shared" si="65"/>
        <v>8th, 12th, 16th &amp; 20th Floor (Part refuge area)</v>
      </c>
      <c r="H537" s="176"/>
      <c r="I537" s="38"/>
      <c r="N537" s="94" t="str">
        <f t="shared" ca="1" si="85"/>
        <v>829,..,2029</v>
      </c>
      <c r="O537" s="94">
        <f t="shared" ref="O537:P537" ca="1" si="88">O536+1</f>
        <v>829</v>
      </c>
      <c r="P537" s="94">
        <f t="shared" ca="1" si="88"/>
        <v>2029</v>
      </c>
    </row>
    <row r="538" spans="1:16" s="94" customFormat="1" hidden="1" x14ac:dyDescent="0.35">
      <c r="A538" s="175">
        <v>30</v>
      </c>
      <c r="B538" s="176"/>
      <c r="C538" s="93" t="s">
        <v>200</v>
      </c>
      <c r="D538" s="93">
        <f t="shared" si="64"/>
        <v>357.38094599999999</v>
      </c>
      <c r="E538" s="93">
        <v>0</v>
      </c>
      <c r="F538" s="93">
        <f t="shared" ref="F538:F545" si="89">D538*(($F$422)+1)+(IF(E538&lt;101,E538,IF(E538&lt;201,E538/2,IF(E538&lt;=301,E538/3,E538/4))))</f>
        <v>536.07141899999999</v>
      </c>
      <c r="G538" s="175" t="str">
        <f t="shared" si="65"/>
        <v>8th, 12th, 16th &amp; 20th Floor (Part refuge area)</v>
      </c>
      <c r="H538" s="176"/>
      <c r="I538" s="38"/>
      <c r="N538" s="94" t="str">
        <f t="shared" ca="1" si="85"/>
        <v>830,..,2030</v>
      </c>
      <c r="O538" s="94">
        <f ca="1">O537+1</f>
        <v>830</v>
      </c>
      <c r="P538" s="94">
        <f ca="1">P537+1</f>
        <v>2030</v>
      </c>
    </row>
    <row r="539" spans="1:16" s="94" customFormat="1" hidden="1" x14ac:dyDescent="0.35">
      <c r="A539" s="175">
        <v>31</v>
      </c>
      <c r="B539" s="176"/>
      <c r="C539" s="93" t="s">
        <v>200</v>
      </c>
      <c r="D539" s="93">
        <f t="shared" si="64"/>
        <v>357.38094599999999</v>
      </c>
      <c r="E539" s="93">
        <v>0</v>
      </c>
      <c r="F539" s="93">
        <f t="shared" si="89"/>
        <v>536.07141899999999</v>
      </c>
      <c r="G539" s="175" t="str">
        <f t="shared" si="65"/>
        <v>8th, 12th, 16th &amp; 20th Floor (Part refuge area)</v>
      </c>
      <c r="H539" s="176"/>
      <c r="I539" s="38"/>
      <c r="N539" s="94" t="str">
        <f t="shared" ca="1" si="85"/>
        <v>831,..,2031</v>
      </c>
      <c r="O539" s="94">
        <f ca="1">O538+1</f>
        <v>831</v>
      </c>
      <c r="P539" s="94">
        <f ca="1">P538+1</f>
        <v>2031</v>
      </c>
    </row>
    <row r="540" spans="1:16" s="94" customFormat="1" hidden="1" x14ac:dyDescent="0.35">
      <c r="A540" s="175">
        <v>32</v>
      </c>
      <c r="B540" s="176"/>
      <c r="C540" s="93" t="s">
        <v>200</v>
      </c>
      <c r="D540" s="93">
        <f t="shared" si="64"/>
        <v>357.38094599999999</v>
      </c>
      <c r="E540" s="93">
        <v>0</v>
      </c>
      <c r="F540" s="93">
        <f t="shared" si="89"/>
        <v>536.07141899999999</v>
      </c>
      <c r="G540" s="175" t="str">
        <f t="shared" si="65"/>
        <v>8th, 12th, 16th &amp; 20th Floor (Part refuge area)</v>
      </c>
      <c r="H540" s="176"/>
      <c r="I540" s="38"/>
      <c r="N540" s="94" t="str">
        <f t="shared" ca="1" si="85"/>
        <v>832,..,2032</v>
      </c>
      <c r="O540" s="94">
        <f t="shared" ref="O540:P540" ca="1" si="90">O539+1</f>
        <v>832</v>
      </c>
      <c r="P540" s="94">
        <f t="shared" ca="1" si="90"/>
        <v>2032</v>
      </c>
    </row>
    <row r="541" spans="1:16" s="94" customFormat="1" hidden="1" x14ac:dyDescent="0.35">
      <c r="A541" s="175">
        <v>33</v>
      </c>
      <c r="B541" s="176"/>
      <c r="C541" s="93" t="s">
        <v>200</v>
      </c>
      <c r="D541" s="93">
        <f t="shared" si="64"/>
        <v>357.38094599999999</v>
      </c>
      <c r="E541" s="93">
        <v>0</v>
      </c>
      <c r="F541" s="93">
        <f t="shared" si="89"/>
        <v>536.07141899999999</v>
      </c>
      <c r="G541" s="175" t="str">
        <f t="shared" si="65"/>
        <v>8th, 12th, 16th &amp; 20th Floor (Part refuge area)</v>
      </c>
      <c r="H541" s="176"/>
      <c r="I541" s="38"/>
      <c r="N541" s="94" t="str">
        <f t="shared" ca="1" si="85"/>
        <v>833,..,2033</v>
      </c>
      <c r="O541" s="94">
        <f t="shared" ref="O541:P541" ca="1" si="91">O540+1</f>
        <v>833</v>
      </c>
      <c r="P541" s="94">
        <f t="shared" ca="1" si="91"/>
        <v>2033</v>
      </c>
    </row>
    <row r="542" spans="1:16" s="94" customFormat="1" hidden="1" x14ac:dyDescent="0.35">
      <c r="A542" s="175">
        <v>34</v>
      </c>
      <c r="B542" s="176"/>
      <c r="C542" s="93" t="s">
        <v>200</v>
      </c>
      <c r="D542" s="93">
        <f t="shared" si="64"/>
        <v>357.38094599999999</v>
      </c>
      <c r="E542" s="93">
        <v>0</v>
      </c>
      <c r="F542" s="93">
        <f t="shared" si="89"/>
        <v>536.07141899999999</v>
      </c>
      <c r="G542" s="175" t="str">
        <f t="shared" si="65"/>
        <v>8th, 12th, 16th &amp; 20th Floor (Part refuge area)</v>
      </c>
      <c r="H542" s="176"/>
      <c r="I542" s="38"/>
      <c r="N542" s="94" t="str">
        <f t="shared" ca="1" si="85"/>
        <v>834,..,2034</v>
      </c>
      <c r="O542" s="94">
        <f t="shared" ref="O542:P542" ca="1" si="92">O541+1</f>
        <v>834</v>
      </c>
      <c r="P542" s="94">
        <f t="shared" ca="1" si="92"/>
        <v>2034</v>
      </c>
    </row>
    <row r="543" spans="1:16" s="94" customFormat="1" hidden="1" x14ac:dyDescent="0.35">
      <c r="A543" s="175">
        <v>35</v>
      </c>
      <c r="B543" s="176"/>
      <c r="C543" s="93" t="s">
        <v>200</v>
      </c>
      <c r="D543" s="93">
        <f t="shared" si="64"/>
        <v>357.38094599999999</v>
      </c>
      <c r="E543" s="93">
        <v>0</v>
      </c>
      <c r="F543" s="93">
        <f t="shared" si="89"/>
        <v>536.07141899999999</v>
      </c>
      <c r="G543" s="175" t="str">
        <f t="shared" si="65"/>
        <v>8th, 12th, 16th &amp; 20th Floor (Part refuge area)</v>
      </c>
      <c r="H543" s="176"/>
      <c r="I543" s="38"/>
      <c r="N543" s="94" t="str">
        <f t="shared" ca="1" si="85"/>
        <v>835,..,2035</v>
      </c>
      <c r="O543" s="94">
        <f ca="1">O542+1</f>
        <v>835</v>
      </c>
      <c r="P543" s="94">
        <f ca="1">P542+1</f>
        <v>2035</v>
      </c>
    </row>
    <row r="544" spans="1:16" s="94" customFormat="1" hidden="1" x14ac:dyDescent="0.35">
      <c r="A544" s="175">
        <v>36</v>
      </c>
      <c r="B544" s="176"/>
      <c r="C544" s="93" t="s">
        <v>200</v>
      </c>
      <c r="D544" s="93">
        <f t="shared" si="64"/>
        <v>357.38094599999999</v>
      </c>
      <c r="E544" s="93">
        <v>0</v>
      </c>
      <c r="F544" s="93">
        <f t="shared" si="89"/>
        <v>536.07141899999999</v>
      </c>
      <c r="G544" s="175" t="str">
        <f t="shared" si="65"/>
        <v>8th, 12th, 16th &amp; 20th Floor (Part refuge area)</v>
      </c>
      <c r="H544" s="176"/>
      <c r="I544" s="38"/>
      <c r="N544" s="94" t="str">
        <f t="shared" ca="1" si="85"/>
        <v>836,..,2036</v>
      </c>
      <c r="O544" s="94">
        <f t="shared" ref="O544:P544" ca="1" si="93">O543+1</f>
        <v>836</v>
      </c>
      <c r="P544" s="94">
        <f t="shared" ca="1" si="93"/>
        <v>2036</v>
      </c>
    </row>
    <row r="545" spans="1:16" s="94" customFormat="1" hidden="1" x14ac:dyDescent="0.35">
      <c r="A545" s="175">
        <v>37</v>
      </c>
      <c r="B545" s="176"/>
      <c r="C545" s="93" t="s">
        <v>200</v>
      </c>
      <c r="D545" s="93">
        <f t="shared" si="64"/>
        <v>357.38094599999999</v>
      </c>
      <c r="E545" s="93">
        <v>0</v>
      </c>
      <c r="F545" s="93">
        <f t="shared" si="89"/>
        <v>536.07141899999999</v>
      </c>
      <c r="G545" s="175" t="str">
        <f t="shared" si="65"/>
        <v>8th, 12th, 16th &amp; 20th Floor (Part refuge area)</v>
      </c>
      <c r="H545" s="176"/>
      <c r="I545" s="38"/>
      <c r="N545" s="94" t="str">
        <f t="shared" ca="1" si="85"/>
        <v>837,..,2037</v>
      </c>
      <c r="O545" s="94">
        <f ca="1">O544+1</f>
        <v>837</v>
      </c>
      <c r="P545" s="94">
        <f ca="1">P544+1</f>
        <v>2037</v>
      </c>
    </row>
    <row r="546" spans="1:16" s="94" customFormat="1" hidden="1" x14ac:dyDescent="0.35">
      <c r="A546" s="175">
        <v>38</v>
      </c>
      <c r="B546" s="176"/>
      <c r="C546" s="175" t="s">
        <v>172</v>
      </c>
      <c r="D546" s="254"/>
      <c r="E546" s="254"/>
      <c r="F546" s="176"/>
      <c r="G546" s="175" t="str">
        <f t="shared" si="65"/>
        <v>8th, 12th, 16th &amp; 20th Floor (Part refuge area)</v>
      </c>
      <c r="H546" s="176"/>
      <c r="I546" s="38"/>
      <c r="N546" s="94" t="str">
        <f t="shared" ref="N546:N549" ca="1" si="94">O546&amp;""&amp;",..,"&amp;""&amp;P546</f>
        <v>838,..,2038</v>
      </c>
      <c r="O546" s="94">
        <f t="shared" ref="O546:P546" ca="1" si="95">O545+1</f>
        <v>838</v>
      </c>
      <c r="P546" s="94">
        <f t="shared" ca="1" si="95"/>
        <v>2038</v>
      </c>
    </row>
    <row r="547" spans="1:16" s="94" customFormat="1" hidden="1" x14ac:dyDescent="0.35">
      <c r="A547" s="175">
        <v>39</v>
      </c>
      <c r="B547" s="176"/>
      <c r="C547" s="93" t="s">
        <v>200</v>
      </c>
      <c r="D547" s="93">
        <f t="shared" si="64"/>
        <v>357.38094599999999</v>
      </c>
      <c r="E547" s="93">
        <v>0</v>
      </c>
      <c r="F547" s="93">
        <f>D547*(($F$422)+1)+(IF(E547&lt;101,E547,IF(E547&lt;201,E547/2,IF(E547&lt;=301,E547/3,E547/4))))</f>
        <v>536.07141899999999</v>
      </c>
      <c r="G547" s="175" t="str">
        <f t="shared" si="65"/>
        <v>8th, 12th, 16th &amp; 20th Floor (Part refuge area)</v>
      </c>
      <c r="H547" s="176"/>
      <c r="I547" s="38"/>
      <c r="N547" s="94" t="str">
        <f t="shared" ca="1" si="94"/>
        <v>839,..,2039</v>
      </c>
      <c r="O547" s="94">
        <f t="shared" ref="O547:P547" ca="1" si="96">O546+1</f>
        <v>839</v>
      </c>
      <c r="P547" s="94">
        <f t="shared" ca="1" si="96"/>
        <v>2039</v>
      </c>
    </row>
    <row r="548" spans="1:16" s="94" customFormat="1" hidden="1" x14ac:dyDescent="0.35">
      <c r="A548" s="175">
        <v>40</v>
      </c>
      <c r="B548" s="176"/>
      <c r="C548" s="93" t="s">
        <v>200</v>
      </c>
      <c r="D548" s="93">
        <f t="shared" si="64"/>
        <v>357.38094599999999</v>
      </c>
      <c r="E548" s="93">
        <v>0</v>
      </c>
      <c r="F548" s="93">
        <f>D548*(($F$422)+1)+(IF(E548&lt;101,E548,IF(E548&lt;201,E548/2,IF(E548&lt;=301,E548/3,E548/4))))</f>
        <v>536.07141899999999</v>
      </c>
      <c r="G548" s="175" t="str">
        <f t="shared" si="65"/>
        <v>8th, 12th, 16th &amp; 20th Floor (Part refuge area)</v>
      </c>
      <c r="H548" s="176"/>
      <c r="I548" s="38"/>
      <c r="N548" s="94" t="str">
        <f t="shared" ca="1" si="94"/>
        <v>840,..,2040</v>
      </c>
      <c r="O548" s="94">
        <f t="shared" ref="O548:P548" ca="1" si="97">O547+1</f>
        <v>840</v>
      </c>
      <c r="P548" s="94">
        <f t="shared" ca="1" si="97"/>
        <v>2040</v>
      </c>
    </row>
    <row r="549" spans="1:16" s="94" customFormat="1" hidden="1" x14ac:dyDescent="0.35">
      <c r="A549" s="175">
        <v>41</v>
      </c>
      <c r="B549" s="176"/>
      <c r="C549" s="93" t="s">
        <v>200</v>
      </c>
      <c r="D549" s="93">
        <f t="shared" si="64"/>
        <v>357.38094599999999</v>
      </c>
      <c r="E549" s="93">
        <v>0</v>
      </c>
      <c r="F549" s="93">
        <f>D549*(($F$422)+1)+(IF(E549&lt;101,E549,IF(E549&lt;201,E549/2,IF(E549&lt;=301,E549/3,E549/4))))</f>
        <v>536.07141899999999</v>
      </c>
      <c r="G549" s="175" t="str">
        <f t="shared" si="65"/>
        <v>8th, 12th, 16th &amp; 20th Floor (Part refuge area)</v>
      </c>
      <c r="H549" s="176"/>
      <c r="I549" s="38"/>
      <c r="N549" s="94" t="str">
        <f t="shared" ca="1" si="94"/>
        <v>841,..,2041</v>
      </c>
      <c r="O549" s="94">
        <f ca="1">O548+1</f>
        <v>841</v>
      </c>
      <c r="P549" s="94">
        <f ca="1">P548+1</f>
        <v>2041</v>
      </c>
    </row>
    <row r="550" spans="1:16" x14ac:dyDescent="0.35">
      <c r="A550" s="184" t="s">
        <v>211</v>
      </c>
      <c r="B550" s="184"/>
      <c r="C550" s="184"/>
      <c r="D550" s="184"/>
      <c r="E550" s="184"/>
      <c r="F550" s="184"/>
      <c r="G550" s="184"/>
      <c r="H550" s="184"/>
    </row>
    <row r="551" spans="1:16" x14ac:dyDescent="0.35">
      <c r="A551" s="177" t="s">
        <v>223</v>
      </c>
      <c r="B551" s="177"/>
      <c r="C551" s="177"/>
      <c r="D551" s="177"/>
      <c r="E551" s="177"/>
      <c r="F551" s="177"/>
      <c r="G551" s="177"/>
      <c r="H551" s="177"/>
    </row>
    <row r="552" spans="1:16" s="107" customFormat="1" x14ac:dyDescent="0.35">
      <c r="A552" s="183" t="s">
        <v>169</v>
      </c>
      <c r="B552" s="183"/>
      <c r="C552" s="183"/>
      <c r="D552" s="183"/>
      <c r="E552" s="183"/>
      <c r="F552" s="183"/>
      <c r="G552" s="183"/>
      <c r="H552" s="183"/>
      <c r="I552" s="38"/>
      <c r="L552" s="182"/>
      <c r="M552" s="182"/>
    </row>
    <row r="553" spans="1:16" s="107" customFormat="1" ht="15.75" customHeight="1" x14ac:dyDescent="0.35">
      <c r="A553" s="174">
        <v>1</v>
      </c>
      <c r="B553" s="174"/>
      <c r="C553" s="127" t="s">
        <v>200</v>
      </c>
      <c r="D553" s="127">
        <f>(23.69+1.5*1.8+1.2*1.8+3.18*0.75+0.6*1.67)*10.764</f>
        <v>343.76986799999997</v>
      </c>
      <c r="E553" s="127">
        <f>(5*1.2)*10.764</f>
        <v>64.584000000000003</v>
      </c>
      <c r="F553" s="127">
        <f t="shared" ref="F553:F554" si="98">D553*(($F$422)+1)+(IF(E553&lt;101,E553,IF(E553&lt;201,E553/2,IF(E553&lt;=301,E553/3,E553/4))))</f>
        <v>580.23880200000008</v>
      </c>
      <c r="G553" s="174" t="str">
        <f>A552</f>
        <v>1st Floor for Residential</v>
      </c>
      <c r="H553" s="174"/>
      <c r="I553" s="38">
        <f>2.44*2.9+1.68*2.24+2.42*3.13+0.95*1.22+1.14*1.84+0.9*2.1</f>
        <v>23.560399999999998</v>
      </c>
      <c r="N553" s="38"/>
    </row>
    <row r="554" spans="1:16" s="107" customFormat="1" ht="15.75" customHeight="1" x14ac:dyDescent="0.35">
      <c r="A554" s="174">
        <f t="shared" ref="A554:A580" si="99">A553+1</f>
        <v>2</v>
      </c>
      <c r="B554" s="174"/>
      <c r="C554" s="127" t="s">
        <v>200</v>
      </c>
      <c r="D554" s="127">
        <f>(23.69+1.5*1.8+1.2*1.38+0.6*1.67+0.75*3.16)*10.764</f>
        <v>338.18335199999996</v>
      </c>
      <c r="E554" s="127">
        <f>(3.5*1.8)*10.764</f>
        <v>67.813199999999995</v>
      </c>
      <c r="F554" s="127">
        <f t="shared" si="98"/>
        <v>575.08822799999984</v>
      </c>
      <c r="G554" s="174"/>
      <c r="H554" s="174"/>
      <c r="I554" s="38"/>
      <c r="N554" s="38"/>
    </row>
    <row r="555" spans="1:16" s="107" customFormat="1" ht="15.75" customHeight="1" x14ac:dyDescent="0.35">
      <c r="A555" s="174">
        <f t="shared" si="99"/>
        <v>3</v>
      </c>
      <c r="B555" s="174"/>
      <c r="C555" s="127" t="s">
        <v>200</v>
      </c>
      <c r="D555" s="127">
        <f>(23.69+1.5*1.8+1.2*1.38+0.6*1.67+0.75*3.16)*10.764</f>
        <v>338.18335199999996</v>
      </c>
      <c r="E555" s="127">
        <f>(3.5*1.8+5*1.2+1.4*2.7)*10.764</f>
        <v>173.08512000000002</v>
      </c>
      <c r="F555" s="127">
        <f>D555*(($F$422)+1)+(IF(E555&lt;101,E555,IF(E555&lt;201,E555/2,IF(E555&lt;=301,E555/3,E555/4))))</f>
        <v>593.81758799999989</v>
      </c>
      <c r="G555" s="174"/>
      <c r="H555" s="174"/>
      <c r="I555" s="38"/>
      <c r="N555" s="38"/>
    </row>
    <row r="556" spans="1:16" s="107" customFormat="1" ht="15.75" customHeight="1" x14ac:dyDescent="0.35">
      <c r="A556" s="174">
        <f t="shared" si="99"/>
        <v>4</v>
      </c>
      <c r="B556" s="174"/>
      <c r="C556" s="127" t="s">
        <v>200</v>
      </c>
      <c r="D556" s="127">
        <f>(23.69+1.5*1.8+1.2*1.8+3.18*0.75+0.6*1.67)*10.764</f>
        <v>343.76986799999997</v>
      </c>
      <c r="E556" s="127">
        <f>(5*1.2+3.5*1.8)*10.764</f>
        <v>132.3972</v>
      </c>
      <c r="F556" s="127">
        <f t="shared" ref="F556:F559" si="100">D556*(($F$422)+1)+(IF(E556&lt;101,E556,IF(E556&lt;201,E556/2,IF(E556&lt;=301,E556/3,E556/4))))</f>
        <v>581.85340199999996</v>
      </c>
      <c r="G556" s="174"/>
      <c r="H556" s="174"/>
      <c r="I556" s="38"/>
      <c r="N556" s="38"/>
    </row>
    <row r="557" spans="1:16" s="107" customFormat="1" ht="15.75" customHeight="1" x14ac:dyDescent="0.35">
      <c r="A557" s="174">
        <f t="shared" si="99"/>
        <v>5</v>
      </c>
      <c r="B557" s="174"/>
      <c r="C557" s="127" t="s">
        <v>200</v>
      </c>
      <c r="D557" s="127">
        <f>(23.69+1.5*1.8+1.2*1.8+3.18*0.75+0.6*1.67)*10.764</f>
        <v>343.76986799999997</v>
      </c>
      <c r="E557" s="127">
        <f>(3.5*1.8)*10.764</f>
        <v>67.813199999999995</v>
      </c>
      <c r="F557" s="127">
        <f t="shared" si="100"/>
        <v>583.46800200000007</v>
      </c>
      <c r="G557" s="174"/>
      <c r="H557" s="174"/>
      <c r="I557" s="38"/>
      <c r="N557" s="38"/>
    </row>
    <row r="558" spans="1:16" s="107" customFormat="1" ht="15.75" customHeight="1" x14ac:dyDescent="0.35">
      <c r="A558" s="174">
        <f t="shared" si="99"/>
        <v>6</v>
      </c>
      <c r="B558" s="174"/>
      <c r="C558" s="127" t="s">
        <v>200</v>
      </c>
      <c r="D558" s="127">
        <f>(23.69+1.5*1.8+0.6*1.67+1.2*1.2)*10.764</f>
        <v>310.34764799999999</v>
      </c>
      <c r="E558" s="127">
        <f>(1.2*5+1.83*3.13+2.84*1.5)*10.764</f>
        <v>172.09375559999998</v>
      </c>
      <c r="F558" s="127">
        <f t="shared" si="100"/>
        <v>551.56834979999996</v>
      </c>
      <c r="G558" s="174"/>
      <c r="H558" s="174"/>
      <c r="I558" s="38"/>
      <c r="N558" s="38"/>
    </row>
    <row r="559" spans="1:16" s="107" customFormat="1" ht="15.75" customHeight="1" x14ac:dyDescent="0.35">
      <c r="A559" s="174">
        <f t="shared" si="99"/>
        <v>7</v>
      </c>
      <c r="B559" s="174"/>
      <c r="C559" s="127" t="s">
        <v>200</v>
      </c>
      <c r="D559" s="127">
        <f>(23.69+1.5*1.8+0.6*1.67)*10.764</f>
        <v>294.847488</v>
      </c>
      <c r="E559" s="127">
        <f>(6.4*1.2+2.84*1.5+4.5*1.2)*10.764</f>
        <v>186.64775999999998</v>
      </c>
      <c r="F559" s="127">
        <f t="shared" si="100"/>
        <v>535.59511199999997</v>
      </c>
      <c r="G559" s="174"/>
      <c r="H559" s="174"/>
      <c r="I559" s="38"/>
      <c r="N559" s="38"/>
    </row>
    <row r="560" spans="1:16" s="107" customFormat="1" ht="15.75" customHeight="1" x14ac:dyDescent="0.35">
      <c r="A560" s="174">
        <f t="shared" si="99"/>
        <v>8</v>
      </c>
      <c r="B560" s="174"/>
      <c r="C560" s="127" t="s">
        <v>200</v>
      </c>
      <c r="D560" s="127">
        <f>(23.69+1.5*1.8+0.6*1.67+3.16*0.75)*10.764</f>
        <v>320.35816799999998</v>
      </c>
      <c r="E560" s="127">
        <f>(1.2*5+1.8*3.5+0.6*1)*10.764</f>
        <v>138.85559999999998</v>
      </c>
      <c r="F560" s="127">
        <f>D560*(($F$422)+1)+(IF(E560&lt;101,E560,IF(E560&lt;201,E560/2,IF(E560&lt;=301,E560/3,E560/4))))</f>
        <v>549.96505200000001</v>
      </c>
      <c r="G560" s="174"/>
      <c r="H560" s="174"/>
      <c r="I560" s="38"/>
      <c r="N560" s="38"/>
    </row>
    <row r="561" spans="1:14" s="107" customFormat="1" ht="15.75" customHeight="1" x14ac:dyDescent="0.35">
      <c r="A561" s="174">
        <f t="shared" si="99"/>
        <v>9</v>
      </c>
      <c r="B561" s="174"/>
      <c r="C561" s="127" t="s">
        <v>200</v>
      </c>
      <c r="D561" s="127">
        <f>(23.69+1.5*1.8+0.6*1.67)*10.764</f>
        <v>294.847488</v>
      </c>
      <c r="E561" s="127">
        <f>(6.4*1.2+2.7*1.5+4.5*1.2)*10.764</f>
        <v>184.38731999999999</v>
      </c>
      <c r="F561" s="127">
        <f t="shared" ref="F561:F564" si="101">D561*(($F$422)+1)+(IF(E561&lt;101,E561,IF(E561&lt;201,E561/2,IF(E561&lt;=301,E561/3,E561/4))))</f>
        <v>534.46489199999996</v>
      </c>
      <c r="G561" s="174"/>
      <c r="H561" s="174"/>
      <c r="I561" s="38"/>
      <c r="N561" s="38"/>
    </row>
    <row r="562" spans="1:14" s="107" customFormat="1" ht="15.75" customHeight="1" x14ac:dyDescent="0.35">
      <c r="A562" s="174">
        <f t="shared" si="99"/>
        <v>10</v>
      </c>
      <c r="B562" s="174"/>
      <c r="C562" s="127" t="s">
        <v>200</v>
      </c>
      <c r="D562" s="127">
        <f>(23.69+1.5*1.8+0.6*1.67)*10.764</f>
        <v>294.847488</v>
      </c>
      <c r="E562" s="127">
        <f>(6.4*1.2+2.7*1.5+4.5*1.2)*10.764</f>
        <v>184.38731999999999</v>
      </c>
      <c r="F562" s="127">
        <f t="shared" si="101"/>
        <v>534.46489199999996</v>
      </c>
      <c r="G562" s="174"/>
      <c r="H562" s="174"/>
      <c r="I562" s="38"/>
      <c r="N562" s="38"/>
    </row>
    <row r="563" spans="1:14" s="107" customFormat="1" ht="15.75" customHeight="1" x14ac:dyDescent="0.35">
      <c r="A563" s="174">
        <f t="shared" si="99"/>
        <v>11</v>
      </c>
      <c r="B563" s="174"/>
      <c r="C563" s="127" t="s">
        <v>200</v>
      </c>
      <c r="D563" s="127">
        <f>(23.69+1.5*1.8+0.6*1.67+3.16*0.75)*10.764</f>
        <v>320.35816799999998</v>
      </c>
      <c r="E563" s="127">
        <f>(3.5*1.5+4.5*1.5)*10.764</f>
        <v>129.16800000000001</v>
      </c>
      <c r="F563" s="127">
        <f t="shared" si="101"/>
        <v>545.12125199999991</v>
      </c>
      <c r="G563" s="174"/>
      <c r="H563" s="174"/>
      <c r="I563" s="38"/>
      <c r="N563" s="38"/>
    </row>
    <row r="564" spans="1:14" s="107" customFormat="1" ht="15.75" customHeight="1" x14ac:dyDescent="0.35">
      <c r="A564" s="174">
        <f t="shared" si="99"/>
        <v>12</v>
      </c>
      <c r="B564" s="174"/>
      <c r="C564" s="127" t="s">
        <v>200</v>
      </c>
      <c r="D564" s="127">
        <f>(23.69+1.5*1.8+3.16*0.75+1.2*1.2+0.6*1.67)*10.764</f>
        <v>335.85832799999997</v>
      </c>
      <c r="E564" s="127">
        <f>(3.5*1.8)*10.764</f>
        <v>67.813199999999995</v>
      </c>
      <c r="F564" s="127">
        <f t="shared" si="101"/>
        <v>571.60069199999998</v>
      </c>
      <c r="G564" s="174"/>
      <c r="H564" s="174"/>
      <c r="I564" s="38"/>
      <c r="N564" s="38"/>
    </row>
    <row r="565" spans="1:14" s="107" customFormat="1" ht="15.75" customHeight="1" x14ac:dyDescent="0.35">
      <c r="A565" s="174">
        <f t="shared" si="99"/>
        <v>13</v>
      </c>
      <c r="B565" s="174"/>
      <c r="C565" s="127" t="s">
        <v>200</v>
      </c>
      <c r="D565" s="127">
        <f>(23.69+1.5*1.8+0.6*1.67)*10.764</f>
        <v>294.847488</v>
      </c>
      <c r="E565" s="127">
        <f>(1.8*2.5+4.5*1.2+4.2*1.2)*10.764</f>
        <v>160.81415999999996</v>
      </c>
      <c r="F565" s="127">
        <f>D565*(($F$422)+1)+(IF(E565&lt;101,E565,IF(E565&lt;201,E565/2,IF(E565&lt;=301,E565/3,E565/4))))</f>
        <v>522.67831200000001</v>
      </c>
      <c r="G565" s="174"/>
      <c r="H565" s="174"/>
      <c r="I565" s="38"/>
      <c r="N565" s="38"/>
    </row>
    <row r="566" spans="1:14" s="107" customFormat="1" ht="15.75" customHeight="1" x14ac:dyDescent="0.35">
      <c r="A566" s="174">
        <f t="shared" si="99"/>
        <v>14</v>
      </c>
      <c r="B566" s="174"/>
      <c r="C566" s="127" t="s">
        <v>200</v>
      </c>
      <c r="D566" s="127">
        <f>(23.69+1.5*1.8+0.6*1.67)*10.764</f>
        <v>294.847488</v>
      </c>
      <c r="E566" s="127">
        <f>(1.8*2.5+4.5*1.2+4.2*1.2)*10.764</f>
        <v>160.81415999999996</v>
      </c>
      <c r="F566" s="127">
        <f t="shared" ref="F566" si="102">D566*(($F$422)+1)+(IF(E566&lt;101,E566,IF(E566&lt;201,E566/2,IF(E566&lt;=301,E566/3,E566/4))))</f>
        <v>522.67831200000001</v>
      </c>
      <c r="G566" s="174"/>
      <c r="H566" s="174"/>
      <c r="I566" s="38"/>
      <c r="N566" s="38"/>
    </row>
    <row r="567" spans="1:14" s="107" customFormat="1" ht="15.75" customHeight="1" x14ac:dyDescent="0.35">
      <c r="A567" s="174">
        <f t="shared" si="99"/>
        <v>15</v>
      </c>
      <c r="B567" s="174"/>
      <c r="C567" s="127" t="s">
        <v>200</v>
      </c>
      <c r="D567" s="127">
        <f>(23.69+1.5*1.8+3.16*0.75+1.2*1.2+0.6*1.67)*10.764</f>
        <v>335.85832799999997</v>
      </c>
      <c r="E567" s="127">
        <f>(3.5*1.8)*10.764</f>
        <v>67.813199999999995</v>
      </c>
      <c r="F567" s="127">
        <f>D567*(($F$422)+1)+(IF(E567&lt;101,E567,IF(E567&lt;201,E567/2,IF(E567&lt;=301,E567/3,E567/4))))</f>
        <v>571.60069199999998</v>
      </c>
      <c r="G567" s="174"/>
      <c r="H567" s="174"/>
      <c r="I567" s="38"/>
      <c r="N567" s="38"/>
    </row>
    <row r="568" spans="1:14" s="107" customFormat="1" ht="15.75" customHeight="1" x14ac:dyDescent="0.35">
      <c r="A568" s="174">
        <f t="shared" si="99"/>
        <v>16</v>
      </c>
      <c r="B568" s="174"/>
      <c r="C568" s="127" t="s">
        <v>200</v>
      </c>
      <c r="D568" s="127">
        <f>(23.69+1.5*1.8+0.6*1.67+0.75*2.24)*10.764</f>
        <v>312.93100799999996</v>
      </c>
      <c r="E568" s="127">
        <f>(3.5*1.8+4.5*1.5)*10.764</f>
        <v>140.47020000000001</v>
      </c>
      <c r="F568" s="127">
        <f t="shared" ref="F568:F569" si="103">D568*(($F$422)+1)+(IF(E568&lt;101,E568,IF(E568&lt;201,E568/2,IF(E568&lt;=301,E568/3,E568/4))))</f>
        <v>539.6316119999999</v>
      </c>
      <c r="G568" s="174"/>
      <c r="H568" s="174"/>
      <c r="I568" s="38"/>
      <c r="N568" s="38"/>
    </row>
    <row r="569" spans="1:14" s="107" customFormat="1" ht="15.75" customHeight="1" x14ac:dyDescent="0.35">
      <c r="A569" s="174">
        <f t="shared" si="99"/>
        <v>17</v>
      </c>
      <c r="B569" s="174"/>
      <c r="C569" s="127" t="s">
        <v>200</v>
      </c>
      <c r="D569" s="127">
        <f>(23.69+1.5*1.8+0.6*1.67)*10.764</f>
        <v>294.847488</v>
      </c>
      <c r="E569" s="127">
        <f>(6.4*1.2+2.7*1.8+4.5*1.2)*10.764</f>
        <v>193.10615999999996</v>
      </c>
      <c r="F569" s="127">
        <f t="shared" si="103"/>
        <v>538.82431199999996</v>
      </c>
      <c r="G569" s="174"/>
      <c r="H569" s="174"/>
      <c r="I569" s="38"/>
      <c r="N569" s="38"/>
    </row>
    <row r="570" spans="1:14" s="107" customFormat="1" ht="15.75" customHeight="1" x14ac:dyDescent="0.35">
      <c r="A570" s="174">
        <f t="shared" si="99"/>
        <v>18</v>
      </c>
      <c r="B570" s="174"/>
      <c r="C570" s="127" t="s">
        <v>200</v>
      </c>
      <c r="D570" s="127">
        <f>(23.69+1.5*1.8+0.6*1.67)*10.764</f>
        <v>294.847488</v>
      </c>
      <c r="E570" s="127">
        <f>(6.4*1.2+2.7*1.8+4.5*1.2)*10.764</f>
        <v>193.10615999999996</v>
      </c>
      <c r="F570" s="127">
        <f>D570*(($F$422)+1)+(IF(E570&lt;101,E570,IF(E570&lt;201,E570/2,IF(E570&lt;=301,E570/3,E570/4))))</f>
        <v>538.82431199999996</v>
      </c>
      <c r="G570" s="174"/>
      <c r="H570" s="174"/>
      <c r="I570" s="38"/>
      <c r="N570" s="38"/>
    </row>
    <row r="571" spans="1:14" s="107" customFormat="1" ht="15.75" customHeight="1" x14ac:dyDescent="0.35">
      <c r="A571" s="174">
        <f t="shared" si="99"/>
        <v>19</v>
      </c>
      <c r="B571" s="174"/>
      <c r="C571" s="127" t="s">
        <v>200</v>
      </c>
      <c r="D571" s="127">
        <f>(23.69+1.5*1.8+0.6*1.67+0.75*2.24)*10.764</f>
        <v>312.93100799999996</v>
      </c>
      <c r="E571" s="127">
        <f>(1.2*5+1.8*3.5+0.6*1)*10.764</f>
        <v>138.85559999999998</v>
      </c>
      <c r="F571" s="127">
        <f t="shared" ref="F571:F575" si="104">D571*(($F$422)+1)+(IF(E571&lt;101,E571,IF(E571&lt;201,E571/2,IF(E571&lt;=301,E571/3,E571/4))))</f>
        <v>538.82431199999996</v>
      </c>
      <c r="G571" s="174"/>
      <c r="H571" s="174"/>
      <c r="I571" s="38"/>
      <c r="N571" s="38"/>
    </row>
    <row r="572" spans="1:14" s="107" customFormat="1" ht="15.75" customHeight="1" x14ac:dyDescent="0.35">
      <c r="A572" s="174">
        <f t="shared" si="99"/>
        <v>20</v>
      </c>
      <c r="B572" s="174"/>
      <c r="C572" s="127" t="s">
        <v>200</v>
      </c>
      <c r="D572" s="127">
        <f>(23.69+1.5*1.8+0.6*1.67)*10.764</f>
        <v>294.847488</v>
      </c>
      <c r="E572" s="127">
        <f>(6.4*1.2+2.7*1.8+4.5*1.2)*10.764</f>
        <v>193.10615999999996</v>
      </c>
      <c r="F572" s="127">
        <f t="shared" si="104"/>
        <v>538.82431199999996</v>
      </c>
      <c r="G572" s="174"/>
      <c r="H572" s="174"/>
      <c r="I572" s="38"/>
      <c r="N572" s="38"/>
    </row>
    <row r="573" spans="1:14" s="107" customFormat="1" ht="15.75" customHeight="1" x14ac:dyDescent="0.35">
      <c r="A573" s="174">
        <f t="shared" si="99"/>
        <v>21</v>
      </c>
      <c r="B573" s="174"/>
      <c r="C573" s="127" t="s">
        <v>200</v>
      </c>
      <c r="D573" s="127">
        <f>(23.69+1.5*1.8+0.6*1.67+1.2*1.2)*10.764</f>
        <v>310.34764799999999</v>
      </c>
      <c r="E573" s="127">
        <f>(1.2*5+1.8*2.7+3.13*1.83)*10.764</f>
        <v>178.55215559999996</v>
      </c>
      <c r="F573" s="127">
        <f t="shared" si="104"/>
        <v>554.79754979999996</v>
      </c>
      <c r="G573" s="174"/>
      <c r="H573" s="174"/>
      <c r="I573" s="38"/>
      <c r="N573" s="38"/>
    </row>
    <row r="574" spans="1:14" s="107" customFormat="1" ht="15.75" customHeight="1" x14ac:dyDescent="0.35">
      <c r="A574" s="174">
        <f t="shared" si="99"/>
        <v>22</v>
      </c>
      <c r="B574" s="174"/>
      <c r="C574" s="127" t="s">
        <v>200</v>
      </c>
      <c r="D574" s="127">
        <f>(23.69+1.5*1.8+0.6*1.67+1.2*1.2)*10.764</f>
        <v>310.34764799999999</v>
      </c>
      <c r="E574" s="127">
        <f>(1.2*5+1.8*2.7)*10.764</f>
        <v>116.89703999999999</v>
      </c>
      <c r="F574" s="127">
        <f t="shared" si="104"/>
        <v>523.96999200000005</v>
      </c>
      <c r="G574" s="174"/>
      <c r="H574" s="174"/>
      <c r="I574" s="38"/>
      <c r="N574" s="38"/>
    </row>
    <row r="575" spans="1:14" s="107" customFormat="1" ht="15.75" customHeight="1" x14ac:dyDescent="0.35">
      <c r="A575" s="174">
        <f t="shared" si="99"/>
        <v>23</v>
      </c>
      <c r="B575" s="174"/>
      <c r="C575" s="127" t="s">
        <v>200</v>
      </c>
      <c r="D575" s="127">
        <f>(23.69+1.5*1.8+0.6*1.67)*10.764</f>
        <v>294.847488</v>
      </c>
      <c r="E575" s="127">
        <f>(6.4*1.2+2.7*1.8+4.5*1.2)*10.764</f>
        <v>193.10615999999996</v>
      </c>
      <c r="F575" s="127">
        <f t="shared" si="104"/>
        <v>538.82431199999996</v>
      </c>
      <c r="G575" s="174"/>
      <c r="H575" s="174"/>
      <c r="I575" s="38"/>
      <c r="N575" s="38"/>
    </row>
    <row r="576" spans="1:14" s="107" customFormat="1" ht="15.75" customHeight="1" x14ac:dyDescent="0.35">
      <c r="A576" s="174">
        <f t="shared" si="99"/>
        <v>24</v>
      </c>
      <c r="B576" s="174"/>
      <c r="C576" s="127" t="s">
        <v>200</v>
      </c>
      <c r="D576" s="127">
        <f>(23.69+1.5*1.8+0.6*1.68+3.16*0.75)*10.764</f>
        <v>320.422752</v>
      </c>
      <c r="E576" s="127">
        <f>(3.5*1.8+1.5*3.5+1.5*1.2+2.8*1.2)*10.764</f>
        <v>179.86644000000001</v>
      </c>
      <c r="F576" s="127">
        <f>D576*(($F$422)+1)+(IF(E576&lt;101,E576,IF(E576&lt;201,E576/2,IF(E576&lt;=301,E576/3,E576/4))))</f>
        <v>570.56734800000004</v>
      </c>
      <c r="G576" s="174"/>
      <c r="H576" s="174"/>
      <c r="I576" s="38"/>
      <c r="N576" s="38"/>
    </row>
    <row r="577" spans="1:14" s="107" customFormat="1" ht="15.75" customHeight="1" x14ac:dyDescent="0.35">
      <c r="A577" s="174">
        <f t="shared" si="99"/>
        <v>25</v>
      </c>
      <c r="B577" s="174"/>
      <c r="C577" s="127" t="s">
        <v>200</v>
      </c>
      <c r="D577" s="127">
        <f>(23.69+1.5*1.8+0.6*1.68+3.16*0.75)*10.764</f>
        <v>320.422752</v>
      </c>
      <c r="E577" s="127">
        <f>(3.5*1.8+5*1.2)*10.764</f>
        <v>132.3972</v>
      </c>
      <c r="F577" s="127">
        <f t="shared" ref="F577:F580" si="105">D577*(($F$422)+1)+(IF(E577&lt;101,E577,IF(E577&lt;201,E577/2,IF(E577&lt;=301,E577/3,E577/4))))</f>
        <v>546.83272800000009</v>
      </c>
      <c r="G577" s="174"/>
      <c r="H577" s="174"/>
      <c r="I577" s="38"/>
      <c r="N577" s="38"/>
    </row>
    <row r="578" spans="1:14" s="107" customFormat="1" ht="15.75" customHeight="1" x14ac:dyDescent="0.35">
      <c r="A578" s="174">
        <f t="shared" si="99"/>
        <v>26</v>
      </c>
      <c r="B578" s="174"/>
      <c r="C578" s="127" t="s">
        <v>200</v>
      </c>
      <c r="D578" s="127">
        <f>(23.69+1.5*1.8+0.6*1.67)*10.764</f>
        <v>294.847488</v>
      </c>
      <c r="E578" s="127">
        <f>(6.4*1.2+2.7*1.8+4.5*1.2)*10.764</f>
        <v>193.10615999999996</v>
      </c>
      <c r="F578" s="127">
        <f t="shared" si="105"/>
        <v>538.82431199999996</v>
      </c>
      <c r="G578" s="174"/>
      <c r="H578" s="174"/>
      <c r="I578" s="38"/>
      <c r="N578" s="38"/>
    </row>
    <row r="579" spans="1:14" s="107" customFormat="1" ht="15.75" customHeight="1" x14ac:dyDescent="0.35">
      <c r="A579" s="174">
        <f t="shared" si="99"/>
        <v>27</v>
      </c>
      <c r="B579" s="174"/>
      <c r="C579" s="127" t="s">
        <v>200</v>
      </c>
      <c r="D579" s="127">
        <f>(23.69+1.5*1.8+0.6*1.67+1.2*1.2)*10.764</f>
        <v>310.34764799999999</v>
      </c>
      <c r="E579" s="127">
        <f>(1.2*5+1.8*2.7)*10.764</f>
        <v>116.89703999999999</v>
      </c>
      <c r="F579" s="127">
        <f t="shared" si="105"/>
        <v>523.96999200000005</v>
      </c>
      <c r="G579" s="174"/>
      <c r="H579" s="174"/>
      <c r="I579" s="38"/>
      <c r="N579" s="38"/>
    </row>
    <row r="580" spans="1:14" s="107" customFormat="1" ht="15.75" customHeight="1" x14ac:dyDescent="0.35">
      <c r="A580" s="174">
        <f t="shared" si="99"/>
        <v>28</v>
      </c>
      <c r="B580" s="174"/>
      <c r="C580" s="127" t="s">
        <v>200</v>
      </c>
      <c r="D580" s="127">
        <f>(23.69+1.8*(1.5+1.2)+0.6*1.68+3.16*0.75)*10.764</f>
        <v>343.67299199999997</v>
      </c>
      <c r="E580" s="127">
        <f>(5*1.2)*10.764</f>
        <v>64.584000000000003</v>
      </c>
      <c r="F580" s="127">
        <f t="shared" si="105"/>
        <v>580.09348799999998</v>
      </c>
      <c r="G580" s="174"/>
      <c r="H580" s="174"/>
      <c r="I580" s="38"/>
      <c r="N580" s="38"/>
    </row>
    <row r="581" spans="1:14" s="107" customFormat="1" x14ac:dyDescent="0.35">
      <c r="A581" s="183" t="s">
        <v>171</v>
      </c>
      <c r="B581" s="183"/>
      <c r="C581" s="183"/>
      <c r="D581" s="183"/>
      <c r="E581" s="183"/>
      <c r="F581" s="183"/>
      <c r="G581" s="183"/>
      <c r="H581" s="183"/>
      <c r="I581" s="38"/>
      <c r="L581" s="182"/>
      <c r="M581" s="182"/>
    </row>
    <row r="582" spans="1:14" s="107" customFormat="1" ht="15.75" customHeight="1" x14ac:dyDescent="0.35">
      <c r="A582" s="174">
        <v>1</v>
      </c>
      <c r="B582" s="174"/>
      <c r="C582" s="123" t="s">
        <v>200</v>
      </c>
      <c r="D582" s="123">
        <f t="shared" ref="D582:D638" si="106">(23.69+1.8*(1.5+1.2)+0.6*1.68+3.16*0.75+1.2*1.2)*10.764</f>
        <v>359.17315200000002</v>
      </c>
      <c r="E582" s="123">
        <v>0</v>
      </c>
      <c r="F582" s="123">
        <f t="shared" ref="F582:F583" si="107">D582*(($F$422)+1)+(IF(E582&lt;101,E582,IF(E582&lt;201,E582/2,IF(E582&lt;=301,E582/3,E582/4))))</f>
        <v>538.759728</v>
      </c>
      <c r="G582" s="174" t="str">
        <f>A581</f>
        <v xml:space="preserve">2nd to 7th, 9th to 11th, 13rd to 15th, 17th to 19th, 21st to 23rd Floor </v>
      </c>
      <c r="H582" s="174"/>
      <c r="I582" s="38">
        <f>2.44*2.9+1.68*2.24+2.42*3.13+0.95*1.22+1.14*1.84+0.9*2.1</f>
        <v>23.560399999999998</v>
      </c>
      <c r="N582" s="38"/>
    </row>
    <row r="583" spans="1:14" s="107" customFormat="1" ht="15.75" customHeight="1" x14ac:dyDescent="0.35">
      <c r="A583" s="174">
        <f t="shared" ref="A583:A609" si="108">A582+1</f>
        <v>2</v>
      </c>
      <c r="B583" s="174"/>
      <c r="C583" s="123" t="s">
        <v>200</v>
      </c>
      <c r="D583" s="123">
        <f t="shared" si="106"/>
        <v>359.17315200000002</v>
      </c>
      <c r="E583" s="123">
        <v>0</v>
      </c>
      <c r="F583" s="123">
        <f t="shared" si="107"/>
        <v>538.759728</v>
      </c>
      <c r="G583" s="174" t="str">
        <f t="shared" ref="G583:G609" si="109">G582</f>
        <v xml:space="preserve">2nd to 7th, 9th to 11th, 13rd to 15th, 17th to 19th, 21st to 23rd Floor </v>
      </c>
      <c r="H583" s="174"/>
      <c r="I583" s="38"/>
      <c r="N583" s="38"/>
    </row>
    <row r="584" spans="1:14" s="107" customFormat="1" ht="15.75" customHeight="1" x14ac:dyDescent="0.35">
      <c r="A584" s="174">
        <f t="shared" si="108"/>
        <v>3</v>
      </c>
      <c r="B584" s="174"/>
      <c r="C584" s="123" t="s">
        <v>200</v>
      </c>
      <c r="D584" s="123">
        <f t="shared" si="106"/>
        <v>359.17315200000002</v>
      </c>
      <c r="E584" s="123">
        <v>0</v>
      </c>
      <c r="F584" s="123">
        <f>D584*(($F$422)+1)+(IF(E584&lt;101,E584,IF(E584&lt;201,E584/2,IF(E584&lt;=301,E584/3,E584/4))))</f>
        <v>538.759728</v>
      </c>
      <c r="G584" s="174" t="str">
        <f t="shared" si="109"/>
        <v xml:space="preserve">2nd to 7th, 9th to 11th, 13rd to 15th, 17th to 19th, 21st to 23rd Floor </v>
      </c>
      <c r="H584" s="174"/>
      <c r="I584" s="38"/>
      <c r="N584" s="38"/>
    </row>
    <row r="585" spans="1:14" s="107" customFormat="1" ht="15.75" customHeight="1" x14ac:dyDescent="0.35">
      <c r="A585" s="174">
        <f t="shared" si="108"/>
        <v>4</v>
      </c>
      <c r="B585" s="174"/>
      <c r="C585" s="123" t="s">
        <v>200</v>
      </c>
      <c r="D585" s="123">
        <f t="shared" si="106"/>
        <v>359.17315200000002</v>
      </c>
      <c r="E585" s="123">
        <v>0</v>
      </c>
      <c r="F585" s="123">
        <f t="shared" ref="F585:F588" si="110">D585*(($F$422)+1)+(IF(E585&lt;101,E585,IF(E585&lt;201,E585/2,IF(E585&lt;=301,E585/3,E585/4))))</f>
        <v>538.759728</v>
      </c>
      <c r="G585" s="174" t="str">
        <f t="shared" si="109"/>
        <v xml:space="preserve">2nd to 7th, 9th to 11th, 13rd to 15th, 17th to 19th, 21st to 23rd Floor </v>
      </c>
      <c r="H585" s="174"/>
      <c r="I585" s="38"/>
      <c r="N585" s="38"/>
    </row>
    <row r="586" spans="1:14" s="107" customFormat="1" ht="15.75" customHeight="1" x14ac:dyDescent="0.35">
      <c r="A586" s="174">
        <f t="shared" si="108"/>
        <v>5</v>
      </c>
      <c r="B586" s="174"/>
      <c r="C586" s="123" t="s">
        <v>200</v>
      </c>
      <c r="D586" s="123">
        <f t="shared" si="106"/>
        <v>359.17315200000002</v>
      </c>
      <c r="E586" s="123">
        <v>0</v>
      </c>
      <c r="F586" s="123">
        <f t="shared" si="110"/>
        <v>538.759728</v>
      </c>
      <c r="G586" s="174" t="str">
        <f t="shared" si="109"/>
        <v xml:space="preserve">2nd to 7th, 9th to 11th, 13rd to 15th, 17th to 19th, 21st to 23rd Floor </v>
      </c>
      <c r="H586" s="174"/>
      <c r="I586" s="38"/>
      <c r="N586" s="38"/>
    </row>
    <row r="587" spans="1:14" s="107" customFormat="1" ht="15.75" customHeight="1" x14ac:dyDescent="0.35">
      <c r="A587" s="174">
        <f t="shared" si="108"/>
        <v>6</v>
      </c>
      <c r="B587" s="174"/>
      <c r="C587" s="123" t="s">
        <v>200</v>
      </c>
      <c r="D587" s="123">
        <f t="shared" si="106"/>
        <v>359.17315200000002</v>
      </c>
      <c r="E587" s="123">
        <v>0</v>
      </c>
      <c r="F587" s="123">
        <f t="shared" si="110"/>
        <v>538.759728</v>
      </c>
      <c r="G587" s="174" t="str">
        <f t="shared" si="109"/>
        <v xml:space="preserve">2nd to 7th, 9th to 11th, 13rd to 15th, 17th to 19th, 21st to 23rd Floor </v>
      </c>
      <c r="H587" s="174"/>
      <c r="I587" s="38"/>
      <c r="N587" s="38"/>
    </row>
    <row r="588" spans="1:14" s="107" customFormat="1" ht="15.75" customHeight="1" x14ac:dyDescent="0.35">
      <c r="A588" s="174">
        <f t="shared" si="108"/>
        <v>7</v>
      </c>
      <c r="B588" s="174"/>
      <c r="C588" s="123" t="s">
        <v>200</v>
      </c>
      <c r="D588" s="123">
        <f t="shared" si="106"/>
        <v>359.17315200000002</v>
      </c>
      <c r="E588" s="123">
        <v>0</v>
      </c>
      <c r="F588" s="123">
        <f t="shared" si="110"/>
        <v>538.759728</v>
      </c>
      <c r="G588" s="174" t="str">
        <f t="shared" si="109"/>
        <v xml:space="preserve">2nd to 7th, 9th to 11th, 13rd to 15th, 17th to 19th, 21st to 23rd Floor </v>
      </c>
      <c r="H588" s="174"/>
      <c r="I588" s="38"/>
      <c r="N588" s="38"/>
    </row>
    <row r="589" spans="1:14" s="107" customFormat="1" ht="15.75" customHeight="1" x14ac:dyDescent="0.35">
      <c r="A589" s="174">
        <f t="shared" si="108"/>
        <v>8</v>
      </c>
      <c r="B589" s="174"/>
      <c r="C589" s="123" t="s">
        <v>200</v>
      </c>
      <c r="D589" s="123">
        <f t="shared" si="106"/>
        <v>359.17315200000002</v>
      </c>
      <c r="E589" s="123">
        <v>0</v>
      </c>
      <c r="F589" s="123">
        <f>D589*(($F$422)+1)+(IF(E589&lt;101,E589,IF(E589&lt;201,E589/2,IF(E589&lt;=301,E589/3,E589/4))))</f>
        <v>538.759728</v>
      </c>
      <c r="G589" s="174" t="str">
        <f t="shared" si="109"/>
        <v xml:space="preserve">2nd to 7th, 9th to 11th, 13rd to 15th, 17th to 19th, 21st to 23rd Floor </v>
      </c>
      <c r="H589" s="174"/>
      <c r="I589" s="38"/>
      <c r="N589" s="38"/>
    </row>
    <row r="590" spans="1:14" s="107" customFormat="1" ht="15.75" customHeight="1" x14ac:dyDescent="0.35">
      <c r="A590" s="174">
        <f t="shared" si="108"/>
        <v>9</v>
      </c>
      <c r="B590" s="174"/>
      <c r="C590" s="123" t="s">
        <v>200</v>
      </c>
      <c r="D590" s="123">
        <f t="shared" si="106"/>
        <v>359.17315200000002</v>
      </c>
      <c r="E590" s="123">
        <v>0</v>
      </c>
      <c r="F590" s="123">
        <f t="shared" ref="F590:F593" si="111">D590*(($F$422)+1)+(IF(E590&lt;101,E590,IF(E590&lt;201,E590/2,IF(E590&lt;=301,E590/3,E590/4))))</f>
        <v>538.759728</v>
      </c>
      <c r="G590" s="174" t="str">
        <f t="shared" si="109"/>
        <v xml:space="preserve">2nd to 7th, 9th to 11th, 13rd to 15th, 17th to 19th, 21st to 23rd Floor </v>
      </c>
      <c r="H590" s="174"/>
      <c r="I590" s="38"/>
      <c r="N590" s="38"/>
    </row>
    <row r="591" spans="1:14" s="107" customFormat="1" ht="15.75" customHeight="1" x14ac:dyDescent="0.35">
      <c r="A591" s="174">
        <f t="shared" si="108"/>
        <v>10</v>
      </c>
      <c r="B591" s="174"/>
      <c r="C591" s="123" t="s">
        <v>200</v>
      </c>
      <c r="D591" s="123">
        <f t="shared" si="106"/>
        <v>359.17315200000002</v>
      </c>
      <c r="E591" s="123">
        <v>0</v>
      </c>
      <c r="F591" s="123">
        <f t="shared" si="111"/>
        <v>538.759728</v>
      </c>
      <c r="G591" s="174" t="str">
        <f t="shared" si="109"/>
        <v xml:space="preserve">2nd to 7th, 9th to 11th, 13rd to 15th, 17th to 19th, 21st to 23rd Floor </v>
      </c>
      <c r="H591" s="174"/>
      <c r="I591" s="38"/>
      <c r="N591" s="38"/>
    </row>
    <row r="592" spans="1:14" s="107" customFormat="1" ht="15.75" customHeight="1" x14ac:dyDescent="0.35">
      <c r="A592" s="174">
        <f t="shared" si="108"/>
        <v>11</v>
      </c>
      <c r="B592" s="174"/>
      <c r="C592" s="123" t="s">
        <v>200</v>
      </c>
      <c r="D592" s="123">
        <f t="shared" si="106"/>
        <v>359.17315200000002</v>
      </c>
      <c r="E592" s="123">
        <v>0</v>
      </c>
      <c r="F592" s="123">
        <f t="shared" si="111"/>
        <v>538.759728</v>
      </c>
      <c r="G592" s="174" t="str">
        <f t="shared" si="109"/>
        <v xml:space="preserve">2nd to 7th, 9th to 11th, 13rd to 15th, 17th to 19th, 21st to 23rd Floor </v>
      </c>
      <c r="H592" s="174"/>
      <c r="I592" s="38"/>
      <c r="N592" s="38"/>
    </row>
    <row r="593" spans="1:14" s="107" customFormat="1" ht="15.75" customHeight="1" x14ac:dyDescent="0.35">
      <c r="A593" s="174">
        <f t="shared" si="108"/>
        <v>12</v>
      </c>
      <c r="B593" s="174"/>
      <c r="C593" s="123" t="s">
        <v>200</v>
      </c>
      <c r="D593" s="123">
        <f t="shared" si="106"/>
        <v>359.17315200000002</v>
      </c>
      <c r="E593" s="123">
        <v>0</v>
      </c>
      <c r="F593" s="123">
        <f t="shared" si="111"/>
        <v>538.759728</v>
      </c>
      <c r="G593" s="174" t="str">
        <f t="shared" si="109"/>
        <v xml:space="preserve">2nd to 7th, 9th to 11th, 13rd to 15th, 17th to 19th, 21st to 23rd Floor </v>
      </c>
      <c r="H593" s="174"/>
      <c r="I593" s="38"/>
      <c r="N593" s="38"/>
    </row>
    <row r="594" spans="1:14" s="107" customFormat="1" ht="15.75" customHeight="1" x14ac:dyDescent="0.35">
      <c r="A594" s="174">
        <f t="shared" si="108"/>
        <v>13</v>
      </c>
      <c r="B594" s="174"/>
      <c r="C594" s="123" t="s">
        <v>200</v>
      </c>
      <c r="D594" s="123">
        <f t="shared" si="106"/>
        <v>359.17315200000002</v>
      </c>
      <c r="E594" s="123">
        <v>0</v>
      </c>
      <c r="F594" s="123">
        <f>D594*(($F$422)+1)+(IF(E594&lt;101,E594,IF(E594&lt;201,E594/2,IF(E594&lt;=301,E594/3,E594/4))))</f>
        <v>538.759728</v>
      </c>
      <c r="G594" s="174" t="str">
        <f t="shared" si="109"/>
        <v xml:space="preserve">2nd to 7th, 9th to 11th, 13rd to 15th, 17th to 19th, 21st to 23rd Floor </v>
      </c>
      <c r="H594" s="174"/>
      <c r="I594" s="38"/>
      <c r="N594" s="38"/>
    </row>
    <row r="595" spans="1:14" s="107" customFormat="1" ht="15.75" customHeight="1" x14ac:dyDescent="0.35">
      <c r="A595" s="174">
        <f t="shared" si="108"/>
        <v>14</v>
      </c>
      <c r="B595" s="174"/>
      <c r="C595" s="123" t="s">
        <v>200</v>
      </c>
      <c r="D595" s="123">
        <f t="shared" si="106"/>
        <v>359.17315200000002</v>
      </c>
      <c r="E595" s="123">
        <v>0</v>
      </c>
      <c r="F595" s="123">
        <f t="shared" ref="F595" si="112">D595*(($F$422)+1)+(IF(E595&lt;101,E595,IF(E595&lt;201,E595/2,IF(E595&lt;=301,E595/3,E595/4))))</f>
        <v>538.759728</v>
      </c>
      <c r="G595" s="174" t="str">
        <f t="shared" si="109"/>
        <v xml:space="preserve">2nd to 7th, 9th to 11th, 13rd to 15th, 17th to 19th, 21st to 23rd Floor </v>
      </c>
      <c r="H595" s="174"/>
      <c r="I595" s="38"/>
      <c r="N595" s="38"/>
    </row>
    <row r="596" spans="1:14" s="107" customFormat="1" ht="15.75" customHeight="1" x14ac:dyDescent="0.35">
      <c r="A596" s="174">
        <f t="shared" si="108"/>
        <v>15</v>
      </c>
      <c r="B596" s="174"/>
      <c r="C596" s="123" t="s">
        <v>200</v>
      </c>
      <c r="D596" s="123">
        <f t="shared" si="106"/>
        <v>359.17315200000002</v>
      </c>
      <c r="E596" s="123">
        <v>0</v>
      </c>
      <c r="F596" s="123">
        <f>D596*(($F$422)+1)+(IF(E596&lt;101,E596,IF(E596&lt;201,E596/2,IF(E596&lt;=301,E596/3,E596/4))))</f>
        <v>538.759728</v>
      </c>
      <c r="G596" s="174" t="str">
        <f t="shared" si="109"/>
        <v xml:space="preserve">2nd to 7th, 9th to 11th, 13rd to 15th, 17th to 19th, 21st to 23rd Floor </v>
      </c>
      <c r="H596" s="174"/>
      <c r="I596" s="38"/>
      <c r="N596" s="38"/>
    </row>
    <row r="597" spans="1:14" s="107" customFormat="1" ht="15.75" customHeight="1" x14ac:dyDescent="0.35">
      <c r="A597" s="174">
        <f t="shared" si="108"/>
        <v>16</v>
      </c>
      <c r="B597" s="174"/>
      <c r="C597" s="123" t="s">
        <v>200</v>
      </c>
      <c r="D597" s="123">
        <f t="shared" si="106"/>
        <v>359.17315200000002</v>
      </c>
      <c r="E597" s="123">
        <v>0</v>
      </c>
      <c r="F597" s="123">
        <f t="shared" ref="F597:F598" si="113">D597*(($F$422)+1)+(IF(E597&lt;101,E597,IF(E597&lt;201,E597/2,IF(E597&lt;=301,E597/3,E597/4))))</f>
        <v>538.759728</v>
      </c>
      <c r="G597" s="174" t="str">
        <f t="shared" si="109"/>
        <v xml:space="preserve">2nd to 7th, 9th to 11th, 13rd to 15th, 17th to 19th, 21st to 23rd Floor </v>
      </c>
      <c r="H597" s="174"/>
      <c r="I597" s="38"/>
      <c r="N597" s="38"/>
    </row>
    <row r="598" spans="1:14" s="107" customFormat="1" ht="15.75" customHeight="1" x14ac:dyDescent="0.35">
      <c r="A598" s="174">
        <f t="shared" si="108"/>
        <v>17</v>
      </c>
      <c r="B598" s="174"/>
      <c r="C598" s="123" t="s">
        <v>200</v>
      </c>
      <c r="D598" s="123">
        <f t="shared" si="106"/>
        <v>359.17315200000002</v>
      </c>
      <c r="E598" s="123">
        <v>0</v>
      </c>
      <c r="F598" s="123">
        <f t="shared" si="113"/>
        <v>538.759728</v>
      </c>
      <c r="G598" s="174" t="str">
        <f t="shared" si="109"/>
        <v xml:space="preserve">2nd to 7th, 9th to 11th, 13rd to 15th, 17th to 19th, 21st to 23rd Floor </v>
      </c>
      <c r="H598" s="174"/>
      <c r="I598" s="38"/>
      <c r="N598" s="38"/>
    </row>
    <row r="599" spans="1:14" s="107" customFormat="1" ht="15.75" customHeight="1" x14ac:dyDescent="0.35">
      <c r="A599" s="174">
        <f t="shared" si="108"/>
        <v>18</v>
      </c>
      <c r="B599" s="174"/>
      <c r="C599" s="123" t="s">
        <v>200</v>
      </c>
      <c r="D599" s="123">
        <f t="shared" si="106"/>
        <v>359.17315200000002</v>
      </c>
      <c r="E599" s="123">
        <v>0</v>
      </c>
      <c r="F599" s="123">
        <f>D599*(($F$422)+1)+(IF(E599&lt;101,E599,IF(E599&lt;201,E599/2,IF(E599&lt;=301,E599/3,E599/4))))</f>
        <v>538.759728</v>
      </c>
      <c r="G599" s="174" t="str">
        <f t="shared" si="109"/>
        <v xml:space="preserve">2nd to 7th, 9th to 11th, 13rd to 15th, 17th to 19th, 21st to 23rd Floor </v>
      </c>
      <c r="H599" s="174"/>
      <c r="I599" s="38"/>
      <c r="N599" s="38"/>
    </row>
    <row r="600" spans="1:14" s="107" customFormat="1" ht="15.75" customHeight="1" x14ac:dyDescent="0.35">
      <c r="A600" s="174">
        <f t="shared" si="108"/>
        <v>19</v>
      </c>
      <c r="B600" s="174"/>
      <c r="C600" s="123" t="s">
        <v>200</v>
      </c>
      <c r="D600" s="123">
        <f t="shared" si="106"/>
        <v>359.17315200000002</v>
      </c>
      <c r="E600" s="123">
        <v>0</v>
      </c>
      <c r="F600" s="123">
        <f t="shared" ref="F600:F604" si="114">D600*(($F$422)+1)+(IF(E600&lt;101,E600,IF(E600&lt;201,E600/2,IF(E600&lt;=301,E600/3,E600/4))))</f>
        <v>538.759728</v>
      </c>
      <c r="G600" s="174" t="str">
        <f t="shared" si="109"/>
        <v xml:space="preserve">2nd to 7th, 9th to 11th, 13rd to 15th, 17th to 19th, 21st to 23rd Floor </v>
      </c>
      <c r="H600" s="174"/>
      <c r="I600" s="38"/>
      <c r="N600" s="38"/>
    </row>
    <row r="601" spans="1:14" s="107" customFormat="1" ht="15.75" customHeight="1" x14ac:dyDescent="0.35">
      <c r="A601" s="174">
        <f t="shared" si="108"/>
        <v>20</v>
      </c>
      <c r="B601" s="174"/>
      <c r="C601" s="123" t="s">
        <v>200</v>
      </c>
      <c r="D601" s="123">
        <f t="shared" si="106"/>
        <v>359.17315200000002</v>
      </c>
      <c r="E601" s="123">
        <v>0</v>
      </c>
      <c r="F601" s="123">
        <f t="shared" si="114"/>
        <v>538.759728</v>
      </c>
      <c r="G601" s="174" t="str">
        <f t="shared" si="109"/>
        <v xml:space="preserve">2nd to 7th, 9th to 11th, 13rd to 15th, 17th to 19th, 21st to 23rd Floor </v>
      </c>
      <c r="H601" s="174"/>
      <c r="I601" s="38"/>
      <c r="N601" s="38"/>
    </row>
    <row r="602" spans="1:14" s="107" customFormat="1" ht="15.75" customHeight="1" x14ac:dyDescent="0.35">
      <c r="A602" s="174">
        <f t="shared" si="108"/>
        <v>21</v>
      </c>
      <c r="B602" s="174"/>
      <c r="C602" s="123" t="s">
        <v>200</v>
      </c>
      <c r="D602" s="123">
        <f t="shared" si="106"/>
        <v>359.17315200000002</v>
      </c>
      <c r="E602" s="123">
        <v>0</v>
      </c>
      <c r="F602" s="123">
        <f t="shared" si="114"/>
        <v>538.759728</v>
      </c>
      <c r="G602" s="174" t="str">
        <f t="shared" si="109"/>
        <v xml:space="preserve">2nd to 7th, 9th to 11th, 13rd to 15th, 17th to 19th, 21st to 23rd Floor </v>
      </c>
      <c r="H602" s="174"/>
      <c r="I602" s="38"/>
      <c r="N602" s="38"/>
    </row>
    <row r="603" spans="1:14" s="107" customFormat="1" ht="15.75" customHeight="1" x14ac:dyDescent="0.35">
      <c r="A603" s="174">
        <f t="shared" si="108"/>
        <v>22</v>
      </c>
      <c r="B603" s="174"/>
      <c r="C603" s="123" t="s">
        <v>200</v>
      </c>
      <c r="D603" s="123">
        <f t="shared" si="106"/>
        <v>359.17315200000002</v>
      </c>
      <c r="E603" s="123">
        <v>0</v>
      </c>
      <c r="F603" s="123">
        <f t="shared" si="114"/>
        <v>538.759728</v>
      </c>
      <c r="G603" s="174" t="str">
        <f t="shared" si="109"/>
        <v xml:space="preserve">2nd to 7th, 9th to 11th, 13rd to 15th, 17th to 19th, 21st to 23rd Floor </v>
      </c>
      <c r="H603" s="174"/>
      <c r="I603" s="38"/>
      <c r="N603" s="38"/>
    </row>
    <row r="604" spans="1:14" s="107" customFormat="1" ht="15.75" customHeight="1" x14ac:dyDescent="0.35">
      <c r="A604" s="174">
        <f t="shared" si="108"/>
        <v>23</v>
      </c>
      <c r="B604" s="174"/>
      <c r="C604" s="123" t="s">
        <v>200</v>
      </c>
      <c r="D604" s="123">
        <f t="shared" si="106"/>
        <v>359.17315200000002</v>
      </c>
      <c r="E604" s="123">
        <v>0</v>
      </c>
      <c r="F604" s="123">
        <f t="shared" si="114"/>
        <v>538.759728</v>
      </c>
      <c r="G604" s="174" t="str">
        <f t="shared" si="109"/>
        <v xml:space="preserve">2nd to 7th, 9th to 11th, 13rd to 15th, 17th to 19th, 21st to 23rd Floor </v>
      </c>
      <c r="H604" s="174"/>
      <c r="I604" s="38"/>
      <c r="N604" s="38"/>
    </row>
    <row r="605" spans="1:14" s="107" customFormat="1" ht="15.75" customHeight="1" x14ac:dyDescent="0.35">
      <c r="A605" s="174">
        <f t="shared" si="108"/>
        <v>24</v>
      </c>
      <c r="B605" s="174"/>
      <c r="C605" s="123" t="s">
        <v>200</v>
      </c>
      <c r="D605" s="123">
        <f t="shared" si="106"/>
        <v>359.17315200000002</v>
      </c>
      <c r="E605" s="123">
        <v>0</v>
      </c>
      <c r="F605" s="123">
        <f>D605*(($F$422)+1)+(IF(E605&lt;101,E605,IF(E605&lt;201,E605/2,IF(E605&lt;=301,E605/3,E605/4))))</f>
        <v>538.759728</v>
      </c>
      <c r="G605" s="174" t="str">
        <f t="shared" si="109"/>
        <v xml:space="preserve">2nd to 7th, 9th to 11th, 13rd to 15th, 17th to 19th, 21st to 23rd Floor </v>
      </c>
      <c r="H605" s="174"/>
      <c r="I605" s="38"/>
      <c r="N605" s="38"/>
    </row>
    <row r="606" spans="1:14" s="107" customFormat="1" ht="15.75" customHeight="1" x14ac:dyDescent="0.35">
      <c r="A606" s="174">
        <f t="shared" si="108"/>
        <v>25</v>
      </c>
      <c r="B606" s="174"/>
      <c r="C606" s="123" t="s">
        <v>200</v>
      </c>
      <c r="D606" s="123">
        <f t="shared" si="106"/>
        <v>359.17315200000002</v>
      </c>
      <c r="E606" s="123">
        <v>0</v>
      </c>
      <c r="F606" s="123">
        <f t="shared" ref="F606:F609" si="115">D606*(($F$422)+1)+(IF(E606&lt;101,E606,IF(E606&lt;201,E606/2,IF(E606&lt;=301,E606/3,E606/4))))</f>
        <v>538.759728</v>
      </c>
      <c r="G606" s="174" t="str">
        <f t="shared" si="109"/>
        <v xml:space="preserve">2nd to 7th, 9th to 11th, 13rd to 15th, 17th to 19th, 21st to 23rd Floor </v>
      </c>
      <c r="H606" s="174"/>
      <c r="I606" s="38"/>
      <c r="N606" s="38"/>
    </row>
    <row r="607" spans="1:14" s="107" customFormat="1" ht="15.75" customHeight="1" x14ac:dyDescent="0.35">
      <c r="A607" s="174">
        <f t="shared" si="108"/>
        <v>26</v>
      </c>
      <c r="B607" s="174"/>
      <c r="C607" s="123" t="s">
        <v>200</v>
      </c>
      <c r="D607" s="123">
        <f t="shared" si="106"/>
        <v>359.17315200000002</v>
      </c>
      <c r="E607" s="123">
        <v>0</v>
      </c>
      <c r="F607" s="123">
        <f t="shared" si="115"/>
        <v>538.759728</v>
      </c>
      <c r="G607" s="174" t="str">
        <f t="shared" si="109"/>
        <v xml:space="preserve">2nd to 7th, 9th to 11th, 13rd to 15th, 17th to 19th, 21st to 23rd Floor </v>
      </c>
      <c r="H607" s="174"/>
      <c r="I607" s="38"/>
      <c r="N607" s="38"/>
    </row>
    <row r="608" spans="1:14" s="107" customFormat="1" ht="15.75" customHeight="1" x14ac:dyDescent="0.35">
      <c r="A608" s="174">
        <f t="shared" si="108"/>
        <v>27</v>
      </c>
      <c r="B608" s="174"/>
      <c r="C608" s="123" t="s">
        <v>200</v>
      </c>
      <c r="D608" s="123">
        <f t="shared" si="106"/>
        <v>359.17315200000002</v>
      </c>
      <c r="E608" s="123">
        <v>0</v>
      </c>
      <c r="F608" s="123">
        <f t="shared" si="115"/>
        <v>538.759728</v>
      </c>
      <c r="G608" s="174" t="str">
        <f t="shared" si="109"/>
        <v xml:space="preserve">2nd to 7th, 9th to 11th, 13rd to 15th, 17th to 19th, 21st to 23rd Floor </v>
      </c>
      <c r="H608" s="174"/>
      <c r="I608" s="38"/>
      <c r="N608" s="38"/>
    </row>
    <row r="609" spans="1:14" s="107" customFormat="1" ht="15.75" customHeight="1" x14ac:dyDescent="0.35">
      <c r="A609" s="174">
        <f t="shared" si="108"/>
        <v>28</v>
      </c>
      <c r="B609" s="174"/>
      <c r="C609" s="123" t="s">
        <v>200</v>
      </c>
      <c r="D609" s="123">
        <f t="shared" si="106"/>
        <v>359.17315200000002</v>
      </c>
      <c r="E609" s="123">
        <v>0</v>
      </c>
      <c r="F609" s="123">
        <f t="shared" si="115"/>
        <v>538.759728</v>
      </c>
      <c r="G609" s="174" t="str">
        <f t="shared" si="109"/>
        <v xml:space="preserve">2nd to 7th, 9th to 11th, 13rd to 15th, 17th to 19th, 21st to 23rd Floor </v>
      </c>
      <c r="H609" s="174"/>
      <c r="I609" s="38"/>
      <c r="N609" s="38"/>
    </row>
    <row r="610" spans="1:14" s="107" customFormat="1" x14ac:dyDescent="0.35">
      <c r="A610" s="183" t="s">
        <v>227</v>
      </c>
      <c r="B610" s="183"/>
      <c r="C610" s="183"/>
      <c r="D610" s="183"/>
      <c r="E610" s="183"/>
      <c r="F610" s="183"/>
      <c r="G610" s="183"/>
      <c r="H610" s="183"/>
      <c r="I610" s="38"/>
      <c r="L610" s="182"/>
      <c r="M610" s="182"/>
    </row>
    <row r="611" spans="1:14" s="107" customFormat="1" ht="15.75" customHeight="1" x14ac:dyDescent="0.35">
      <c r="A611" s="174">
        <v>1</v>
      </c>
      <c r="B611" s="174"/>
      <c r="C611" s="127" t="s">
        <v>200</v>
      </c>
      <c r="D611" s="127">
        <f t="shared" si="106"/>
        <v>359.17315200000002</v>
      </c>
      <c r="E611" s="127">
        <v>0</v>
      </c>
      <c r="F611" s="127">
        <f t="shared" ref="F611:F612" si="116">D611*(($F$422)+1)+(IF(E611&lt;101,E611,IF(E611&lt;201,E611/2,IF(E611&lt;=301,E611/3,E611/4))))</f>
        <v>538.759728</v>
      </c>
      <c r="G611" s="174" t="str">
        <f>A610</f>
        <v>8th, 12th, 16th &amp; 20th Floor (Part Refuge Area)</v>
      </c>
      <c r="H611" s="174"/>
      <c r="I611" s="38">
        <f>2.44*2.9+1.68*2.24+2.42*3.13+0.95*1.22+1.14*1.84+0.9*2.1</f>
        <v>23.560399999999998</v>
      </c>
      <c r="N611" s="38"/>
    </row>
    <row r="612" spans="1:14" s="107" customFormat="1" ht="15.75" customHeight="1" x14ac:dyDescent="0.35">
      <c r="A612" s="174">
        <f t="shared" ref="A612:A638" si="117">A611+1</f>
        <v>2</v>
      </c>
      <c r="B612" s="174"/>
      <c r="C612" s="127" t="s">
        <v>200</v>
      </c>
      <c r="D612" s="127">
        <f t="shared" si="106"/>
        <v>359.17315200000002</v>
      </c>
      <c r="E612" s="127">
        <v>0</v>
      </c>
      <c r="F612" s="127">
        <f t="shared" si="116"/>
        <v>538.759728</v>
      </c>
      <c r="G612" s="174" t="str">
        <f t="shared" ref="G612:G638" si="118">G611</f>
        <v>8th, 12th, 16th &amp; 20th Floor (Part Refuge Area)</v>
      </c>
      <c r="H612" s="174"/>
      <c r="I612" s="38"/>
      <c r="N612" s="38"/>
    </row>
    <row r="613" spans="1:14" s="107" customFormat="1" ht="15.75" customHeight="1" x14ac:dyDescent="0.35">
      <c r="A613" s="174">
        <f t="shared" si="117"/>
        <v>3</v>
      </c>
      <c r="B613" s="174"/>
      <c r="C613" s="127" t="s">
        <v>200</v>
      </c>
      <c r="D613" s="127">
        <f t="shared" si="106"/>
        <v>359.17315200000002</v>
      </c>
      <c r="E613" s="127">
        <v>0</v>
      </c>
      <c r="F613" s="127">
        <f>D613*(($F$422)+1)+(IF(E613&lt;101,E613,IF(E613&lt;201,E613/2,IF(E613&lt;=301,E613/3,E613/4))))</f>
        <v>538.759728</v>
      </c>
      <c r="G613" s="174" t="str">
        <f t="shared" si="118"/>
        <v>8th, 12th, 16th &amp; 20th Floor (Part Refuge Area)</v>
      </c>
      <c r="H613" s="174"/>
      <c r="I613" s="38"/>
      <c r="N613" s="38"/>
    </row>
    <row r="614" spans="1:14" s="107" customFormat="1" ht="15.75" customHeight="1" x14ac:dyDescent="0.35">
      <c r="A614" s="174">
        <f t="shared" si="117"/>
        <v>4</v>
      </c>
      <c r="B614" s="174"/>
      <c r="C614" s="127" t="s">
        <v>200</v>
      </c>
      <c r="D614" s="127">
        <f t="shared" si="106"/>
        <v>359.17315200000002</v>
      </c>
      <c r="E614" s="127">
        <v>0</v>
      </c>
      <c r="F614" s="127">
        <f t="shared" ref="F614:F617" si="119">D614*(($F$422)+1)+(IF(E614&lt;101,E614,IF(E614&lt;201,E614/2,IF(E614&lt;=301,E614/3,E614/4))))</f>
        <v>538.759728</v>
      </c>
      <c r="G614" s="174" t="str">
        <f t="shared" si="118"/>
        <v>8th, 12th, 16th &amp; 20th Floor (Part Refuge Area)</v>
      </c>
      <c r="H614" s="174"/>
      <c r="I614" s="38"/>
      <c r="N614" s="38"/>
    </row>
    <row r="615" spans="1:14" s="107" customFormat="1" ht="15.75" customHeight="1" x14ac:dyDescent="0.35">
      <c r="A615" s="174">
        <f t="shared" si="117"/>
        <v>5</v>
      </c>
      <c r="B615" s="174"/>
      <c r="C615" s="127" t="s">
        <v>200</v>
      </c>
      <c r="D615" s="127">
        <f t="shared" si="106"/>
        <v>359.17315200000002</v>
      </c>
      <c r="E615" s="127">
        <v>0</v>
      </c>
      <c r="F615" s="127">
        <f t="shared" si="119"/>
        <v>538.759728</v>
      </c>
      <c r="G615" s="174" t="str">
        <f t="shared" si="118"/>
        <v>8th, 12th, 16th &amp; 20th Floor (Part Refuge Area)</v>
      </c>
      <c r="H615" s="174"/>
      <c r="I615" s="38"/>
      <c r="N615" s="38"/>
    </row>
    <row r="616" spans="1:14" s="107" customFormat="1" ht="15.75" customHeight="1" x14ac:dyDescent="0.35">
      <c r="A616" s="174">
        <f t="shared" si="117"/>
        <v>6</v>
      </c>
      <c r="B616" s="174"/>
      <c r="C616" s="127" t="s">
        <v>200</v>
      </c>
      <c r="D616" s="127">
        <f t="shared" si="106"/>
        <v>359.17315200000002</v>
      </c>
      <c r="E616" s="127">
        <v>0</v>
      </c>
      <c r="F616" s="127">
        <f t="shared" si="119"/>
        <v>538.759728</v>
      </c>
      <c r="G616" s="174" t="str">
        <f t="shared" si="118"/>
        <v>8th, 12th, 16th &amp; 20th Floor (Part Refuge Area)</v>
      </c>
      <c r="H616" s="174"/>
      <c r="I616" s="38"/>
      <c r="N616" s="38"/>
    </row>
    <row r="617" spans="1:14" s="107" customFormat="1" ht="15.75" customHeight="1" x14ac:dyDescent="0.35">
      <c r="A617" s="174">
        <f t="shared" si="117"/>
        <v>7</v>
      </c>
      <c r="B617" s="174"/>
      <c r="C617" s="127" t="s">
        <v>200</v>
      </c>
      <c r="D617" s="127">
        <f t="shared" si="106"/>
        <v>359.17315200000002</v>
      </c>
      <c r="E617" s="127">
        <v>0</v>
      </c>
      <c r="F617" s="127">
        <f t="shared" si="119"/>
        <v>538.759728</v>
      </c>
      <c r="G617" s="174" t="str">
        <f t="shared" si="118"/>
        <v>8th, 12th, 16th &amp; 20th Floor (Part Refuge Area)</v>
      </c>
      <c r="H617" s="174"/>
      <c r="I617" s="38"/>
      <c r="N617" s="38"/>
    </row>
    <row r="618" spans="1:14" s="107" customFormat="1" ht="15.75" customHeight="1" x14ac:dyDescent="0.35">
      <c r="A618" s="174">
        <f t="shared" si="117"/>
        <v>8</v>
      </c>
      <c r="B618" s="174"/>
      <c r="C618" s="127" t="s">
        <v>200</v>
      </c>
      <c r="D618" s="127">
        <f t="shared" si="106"/>
        <v>359.17315200000002</v>
      </c>
      <c r="E618" s="127">
        <v>0</v>
      </c>
      <c r="F618" s="127">
        <f>D618*(($F$422)+1)+(IF(E618&lt;101,E618,IF(E618&lt;201,E618/2,IF(E618&lt;=301,E618/3,E618/4))))</f>
        <v>538.759728</v>
      </c>
      <c r="G618" s="174" t="str">
        <f t="shared" si="118"/>
        <v>8th, 12th, 16th &amp; 20th Floor (Part Refuge Area)</v>
      </c>
      <c r="H618" s="174"/>
      <c r="I618" s="38"/>
      <c r="N618" s="38"/>
    </row>
    <row r="619" spans="1:14" s="107" customFormat="1" ht="15.75" customHeight="1" x14ac:dyDescent="0.35">
      <c r="A619" s="174">
        <f t="shared" si="117"/>
        <v>9</v>
      </c>
      <c r="B619" s="174"/>
      <c r="C619" s="127" t="s">
        <v>200</v>
      </c>
      <c r="D619" s="127">
        <f t="shared" si="106"/>
        <v>359.17315200000002</v>
      </c>
      <c r="E619" s="127">
        <v>0</v>
      </c>
      <c r="F619" s="127">
        <f t="shared" ref="F619:F622" si="120">D619*(($F$422)+1)+(IF(E619&lt;101,E619,IF(E619&lt;201,E619/2,IF(E619&lt;=301,E619/3,E619/4))))</f>
        <v>538.759728</v>
      </c>
      <c r="G619" s="174" t="str">
        <f t="shared" si="118"/>
        <v>8th, 12th, 16th &amp; 20th Floor (Part Refuge Area)</v>
      </c>
      <c r="H619" s="174"/>
      <c r="I619" s="38"/>
      <c r="N619" s="38"/>
    </row>
    <row r="620" spans="1:14" s="107" customFormat="1" ht="15.75" customHeight="1" x14ac:dyDescent="0.35">
      <c r="A620" s="174">
        <f t="shared" si="117"/>
        <v>10</v>
      </c>
      <c r="B620" s="174"/>
      <c r="C620" s="127" t="s">
        <v>200</v>
      </c>
      <c r="D620" s="127">
        <f t="shared" si="106"/>
        <v>359.17315200000002</v>
      </c>
      <c r="E620" s="127">
        <v>0</v>
      </c>
      <c r="F620" s="127">
        <f t="shared" si="120"/>
        <v>538.759728</v>
      </c>
      <c r="G620" s="174" t="str">
        <f t="shared" si="118"/>
        <v>8th, 12th, 16th &amp; 20th Floor (Part Refuge Area)</v>
      </c>
      <c r="H620" s="174"/>
      <c r="I620" s="38"/>
      <c r="N620" s="38"/>
    </row>
    <row r="621" spans="1:14" s="107" customFormat="1" ht="15.75" customHeight="1" x14ac:dyDescent="0.35">
      <c r="A621" s="174">
        <f t="shared" si="117"/>
        <v>11</v>
      </c>
      <c r="B621" s="174"/>
      <c r="C621" s="127" t="s">
        <v>200</v>
      </c>
      <c r="D621" s="127">
        <f t="shared" si="106"/>
        <v>359.17315200000002</v>
      </c>
      <c r="E621" s="127">
        <v>0</v>
      </c>
      <c r="F621" s="127">
        <f t="shared" si="120"/>
        <v>538.759728</v>
      </c>
      <c r="G621" s="174" t="str">
        <f t="shared" si="118"/>
        <v>8th, 12th, 16th &amp; 20th Floor (Part Refuge Area)</v>
      </c>
      <c r="H621" s="174"/>
      <c r="I621" s="38"/>
      <c r="N621" s="38"/>
    </row>
    <row r="622" spans="1:14" s="107" customFormat="1" ht="15.75" customHeight="1" x14ac:dyDescent="0.35">
      <c r="A622" s="174">
        <f t="shared" si="117"/>
        <v>12</v>
      </c>
      <c r="B622" s="174"/>
      <c r="C622" s="127" t="s">
        <v>200</v>
      </c>
      <c r="D622" s="127">
        <f t="shared" si="106"/>
        <v>359.17315200000002</v>
      </c>
      <c r="E622" s="127">
        <v>0</v>
      </c>
      <c r="F622" s="127">
        <f t="shared" si="120"/>
        <v>538.759728</v>
      </c>
      <c r="G622" s="174" t="str">
        <f t="shared" si="118"/>
        <v>8th, 12th, 16th &amp; 20th Floor (Part Refuge Area)</v>
      </c>
      <c r="H622" s="174"/>
      <c r="I622" s="38"/>
      <c r="N622" s="38"/>
    </row>
    <row r="623" spans="1:14" s="107" customFormat="1" ht="15.75" customHeight="1" x14ac:dyDescent="0.35">
      <c r="A623" s="174">
        <f t="shared" si="117"/>
        <v>13</v>
      </c>
      <c r="B623" s="174"/>
      <c r="C623" s="174" t="s">
        <v>172</v>
      </c>
      <c r="D623" s="174"/>
      <c r="E623" s="174"/>
      <c r="F623" s="174"/>
      <c r="G623" s="174" t="str">
        <f t="shared" si="118"/>
        <v>8th, 12th, 16th &amp; 20th Floor (Part Refuge Area)</v>
      </c>
      <c r="H623" s="174"/>
      <c r="I623" s="38"/>
      <c r="N623" s="38"/>
    </row>
    <row r="624" spans="1:14" s="107" customFormat="1" ht="15.75" customHeight="1" x14ac:dyDescent="0.35">
      <c r="A624" s="174">
        <f t="shared" si="117"/>
        <v>14</v>
      </c>
      <c r="B624" s="174"/>
      <c r="C624" s="174"/>
      <c r="D624" s="174"/>
      <c r="E624" s="174"/>
      <c r="F624" s="174"/>
      <c r="G624" s="174" t="str">
        <f t="shared" si="118"/>
        <v>8th, 12th, 16th &amp; 20th Floor (Part Refuge Area)</v>
      </c>
      <c r="H624" s="174"/>
      <c r="I624" s="38"/>
      <c r="N624" s="38"/>
    </row>
    <row r="625" spans="1:14" s="107" customFormat="1" ht="15.75" customHeight="1" x14ac:dyDescent="0.35">
      <c r="A625" s="174">
        <f t="shared" si="117"/>
        <v>15</v>
      </c>
      <c r="B625" s="174"/>
      <c r="C625" s="174"/>
      <c r="D625" s="174"/>
      <c r="E625" s="174"/>
      <c r="F625" s="174"/>
      <c r="G625" s="174" t="str">
        <f t="shared" si="118"/>
        <v>8th, 12th, 16th &amp; 20th Floor (Part Refuge Area)</v>
      </c>
      <c r="H625" s="174"/>
      <c r="I625" s="38"/>
      <c r="N625" s="38"/>
    </row>
    <row r="626" spans="1:14" s="107" customFormat="1" ht="15.75" customHeight="1" x14ac:dyDescent="0.35">
      <c r="A626" s="174">
        <f t="shared" si="117"/>
        <v>16</v>
      </c>
      <c r="B626" s="174"/>
      <c r="C626" s="127" t="s">
        <v>200</v>
      </c>
      <c r="D626" s="127">
        <f t="shared" si="106"/>
        <v>359.17315200000002</v>
      </c>
      <c r="E626" s="127">
        <v>0</v>
      </c>
      <c r="F626" s="127">
        <f t="shared" ref="F626:F627" si="121">D626*(($F$422)+1)+(IF(E626&lt;101,E626,IF(E626&lt;201,E626/2,IF(E626&lt;=301,E626/3,E626/4))))</f>
        <v>538.759728</v>
      </c>
      <c r="G626" s="174" t="str">
        <f t="shared" si="118"/>
        <v>8th, 12th, 16th &amp; 20th Floor (Part Refuge Area)</v>
      </c>
      <c r="H626" s="174"/>
      <c r="I626" s="38"/>
      <c r="N626" s="38"/>
    </row>
    <row r="627" spans="1:14" s="107" customFormat="1" ht="15.75" customHeight="1" x14ac:dyDescent="0.35">
      <c r="A627" s="174">
        <f t="shared" si="117"/>
        <v>17</v>
      </c>
      <c r="B627" s="174"/>
      <c r="C627" s="127" t="s">
        <v>200</v>
      </c>
      <c r="D627" s="127">
        <f t="shared" si="106"/>
        <v>359.17315200000002</v>
      </c>
      <c r="E627" s="127">
        <v>0</v>
      </c>
      <c r="F627" s="127">
        <f t="shared" si="121"/>
        <v>538.759728</v>
      </c>
      <c r="G627" s="174" t="str">
        <f t="shared" si="118"/>
        <v>8th, 12th, 16th &amp; 20th Floor (Part Refuge Area)</v>
      </c>
      <c r="H627" s="174"/>
      <c r="I627" s="38"/>
      <c r="N627" s="38"/>
    </row>
    <row r="628" spans="1:14" s="107" customFormat="1" ht="15.75" customHeight="1" x14ac:dyDescent="0.35">
      <c r="A628" s="174">
        <f t="shared" si="117"/>
        <v>18</v>
      </c>
      <c r="B628" s="174"/>
      <c r="C628" s="127" t="s">
        <v>200</v>
      </c>
      <c r="D628" s="127">
        <f t="shared" si="106"/>
        <v>359.17315200000002</v>
      </c>
      <c r="E628" s="127">
        <v>0</v>
      </c>
      <c r="F628" s="127">
        <f>D628*(($F$422)+1)+(IF(E628&lt;101,E628,IF(E628&lt;201,E628/2,IF(E628&lt;=301,E628/3,E628/4))))</f>
        <v>538.759728</v>
      </c>
      <c r="G628" s="174" t="str">
        <f t="shared" si="118"/>
        <v>8th, 12th, 16th &amp; 20th Floor (Part Refuge Area)</v>
      </c>
      <c r="H628" s="174"/>
      <c r="I628" s="38"/>
      <c r="N628" s="38"/>
    </row>
    <row r="629" spans="1:14" s="107" customFormat="1" ht="15.75" customHeight="1" x14ac:dyDescent="0.35">
      <c r="A629" s="174">
        <f t="shared" si="117"/>
        <v>19</v>
      </c>
      <c r="B629" s="174"/>
      <c r="C629" s="127" t="s">
        <v>200</v>
      </c>
      <c r="D629" s="127">
        <f t="shared" si="106"/>
        <v>359.17315200000002</v>
      </c>
      <c r="E629" s="127">
        <v>0</v>
      </c>
      <c r="F629" s="127">
        <f t="shared" ref="F629:F633" si="122">D629*(($F$422)+1)+(IF(E629&lt;101,E629,IF(E629&lt;201,E629/2,IF(E629&lt;=301,E629/3,E629/4))))</f>
        <v>538.759728</v>
      </c>
      <c r="G629" s="174" t="str">
        <f t="shared" si="118"/>
        <v>8th, 12th, 16th &amp; 20th Floor (Part Refuge Area)</v>
      </c>
      <c r="H629" s="174"/>
      <c r="I629" s="38"/>
      <c r="N629" s="38"/>
    </row>
    <row r="630" spans="1:14" s="107" customFormat="1" ht="15.75" customHeight="1" x14ac:dyDescent="0.35">
      <c r="A630" s="174">
        <f t="shared" si="117"/>
        <v>20</v>
      </c>
      <c r="B630" s="174"/>
      <c r="C630" s="127" t="s">
        <v>200</v>
      </c>
      <c r="D630" s="127">
        <f t="shared" si="106"/>
        <v>359.17315200000002</v>
      </c>
      <c r="E630" s="127">
        <v>0</v>
      </c>
      <c r="F630" s="127">
        <f t="shared" si="122"/>
        <v>538.759728</v>
      </c>
      <c r="G630" s="174" t="str">
        <f t="shared" si="118"/>
        <v>8th, 12th, 16th &amp; 20th Floor (Part Refuge Area)</v>
      </c>
      <c r="H630" s="174"/>
      <c r="I630" s="38"/>
      <c r="N630" s="38"/>
    </row>
    <row r="631" spans="1:14" s="107" customFormat="1" ht="15.75" customHeight="1" x14ac:dyDescent="0.35">
      <c r="A631" s="174">
        <f t="shared" si="117"/>
        <v>21</v>
      </c>
      <c r="B631" s="174"/>
      <c r="C631" s="127" t="s">
        <v>200</v>
      </c>
      <c r="D631" s="127">
        <f t="shared" si="106"/>
        <v>359.17315200000002</v>
      </c>
      <c r="E631" s="127">
        <v>0</v>
      </c>
      <c r="F631" s="127">
        <f t="shared" si="122"/>
        <v>538.759728</v>
      </c>
      <c r="G631" s="174" t="str">
        <f t="shared" si="118"/>
        <v>8th, 12th, 16th &amp; 20th Floor (Part Refuge Area)</v>
      </c>
      <c r="H631" s="174"/>
      <c r="I631" s="38"/>
      <c r="N631" s="38"/>
    </row>
    <row r="632" spans="1:14" s="107" customFormat="1" ht="15.75" customHeight="1" x14ac:dyDescent="0.35">
      <c r="A632" s="174">
        <f t="shared" si="117"/>
        <v>22</v>
      </c>
      <c r="B632" s="174"/>
      <c r="C632" s="127" t="s">
        <v>200</v>
      </c>
      <c r="D632" s="127">
        <f t="shared" si="106"/>
        <v>359.17315200000002</v>
      </c>
      <c r="E632" s="127">
        <v>0</v>
      </c>
      <c r="F632" s="127">
        <f t="shared" si="122"/>
        <v>538.759728</v>
      </c>
      <c r="G632" s="174" t="str">
        <f t="shared" si="118"/>
        <v>8th, 12th, 16th &amp; 20th Floor (Part Refuge Area)</v>
      </c>
      <c r="H632" s="174"/>
      <c r="I632" s="38"/>
      <c r="N632" s="38"/>
    </row>
    <row r="633" spans="1:14" s="107" customFormat="1" ht="15.75" customHeight="1" x14ac:dyDescent="0.35">
      <c r="A633" s="174">
        <f t="shared" si="117"/>
        <v>23</v>
      </c>
      <c r="B633" s="174"/>
      <c r="C633" s="127" t="s">
        <v>200</v>
      </c>
      <c r="D633" s="127">
        <f t="shared" si="106"/>
        <v>359.17315200000002</v>
      </c>
      <c r="E633" s="127">
        <v>0</v>
      </c>
      <c r="F633" s="127">
        <f t="shared" si="122"/>
        <v>538.759728</v>
      </c>
      <c r="G633" s="174" t="str">
        <f t="shared" si="118"/>
        <v>8th, 12th, 16th &amp; 20th Floor (Part Refuge Area)</v>
      </c>
      <c r="H633" s="174"/>
      <c r="I633" s="38"/>
      <c r="N633" s="38"/>
    </row>
    <row r="634" spans="1:14" s="107" customFormat="1" ht="15.75" customHeight="1" x14ac:dyDescent="0.35">
      <c r="A634" s="174">
        <f t="shared" si="117"/>
        <v>24</v>
      </c>
      <c r="B634" s="174"/>
      <c r="C634" s="127" t="s">
        <v>200</v>
      </c>
      <c r="D634" s="127">
        <f t="shared" si="106"/>
        <v>359.17315200000002</v>
      </c>
      <c r="E634" s="127">
        <v>0</v>
      </c>
      <c r="F634" s="127">
        <f>D634*(($F$422)+1)+(IF(E634&lt;101,E634,IF(E634&lt;201,E634/2,IF(E634&lt;=301,E634/3,E634/4))))</f>
        <v>538.759728</v>
      </c>
      <c r="G634" s="174" t="str">
        <f t="shared" si="118"/>
        <v>8th, 12th, 16th &amp; 20th Floor (Part Refuge Area)</v>
      </c>
      <c r="H634" s="174"/>
      <c r="I634" s="38"/>
      <c r="N634" s="38"/>
    </row>
    <row r="635" spans="1:14" s="107" customFormat="1" ht="15.75" customHeight="1" x14ac:dyDescent="0.35">
      <c r="A635" s="174">
        <f t="shared" si="117"/>
        <v>25</v>
      </c>
      <c r="B635" s="174"/>
      <c r="C635" s="127" t="s">
        <v>200</v>
      </c>
      <c r="D635" s="127">
        <f t="shared" si="106"/>
        <v>359.17315200000002</v>
      </c>
      <c r="E635" s="127">
        <v>0</v>
      </c>
      <c r="F635" s="127">
        <f t="shared" ref="F635:F638" si="123">D635*(($F$422)+1)+(IF(E635&lt;101,E635,IF(E635&lt;201,E635/2,IF(E635&lt;=301,E635/3,E635/4))))</f>
        <v>538.759728</v>
      </c>
      <c r="G635" s="174" t="str">
        <f t="shared" si="118"/>
        <v>8th, 12th, 16th &amp; 20th Floor (Part Refuge Area)</v>
      </c>
      <c r="H635" s="174"/>
      <c r="I635" s="38"/>
      <c r="N635" s="38"/>
    </row>
    <row r="636" spans="1:14" s="107" customFormat="1" ht="15.75" customHeight="1" x14ac:dyDescent="0.35">
      <c r="A636" s="174">
        <f t="shared" si="117"/>
        <v>26</v>
      </c>
      <c r="B636" s="174"/>
      <c r="C636" s="127" t="s">
        <v>200</v>
      </c>
      <c r="D636" s="127">
        <f t="shared" si="106"/>
        <v>359.17315200000002</v>
      </c>
      <c r="E636" s="127">
        <v>0</v>
      </c>
      <c r="F636" s="127">
        <f t="shared" si="123"/>
        <v>538.759728</v>
      </c>
      <c r="G636" s="174" t="str">
        <f t="shared" si="118"/>
        <v>8th, 12th, 16th &amp; 20th Floor (Part Refuge Area)</v>
      </c>
      <c r="H636" s="174"/>
      <c r="I636" s="38"/>
      <c r="N636" s="38"/>
    </row>
    <row r="637" spans="1:14" s="107" customFormat="1" ht="15.75" customHeight="1" x14ac:dyDescent="0.35">
      <c r="A637" s="174">
        <f t="shared" si="117"/>
        <v>27</v>
      </c>
      <c r="B637" s="174"/>
      <c r="C637" s="127" t="s">
        <v>200</v>
      </c>
      <c r="D637" s="127">
        <f t="shared" si="106"/>
        <v>359.17315200000002</v>
      </c>
      <c r="E637" s="127">
        <v>0</v>
      </c>
      <c r="F637" s="127">
        <f t="shared" si="123"/>
        <v>538.759728</v>
      </c>
      <c r="G637" s="174" t="str">
        <f t="shared" si="118"/>
        <v>8th, 12th, 16th &amp; 20th Floor (Part Refuge Area)</v>
      </c>
      <c r="H637" s="174"/>
      <c r="I637" s="38"/>
      <c r="N637" s="38"/>
    </row>
    <row r="638" spans="1:14" s="107" customFormat="1" ht="15.75" customHeight="1" x14ac:dyDescent="0.35">
      <c r="A638" s="174">
        <f t="shared" si="117"/>
        <v>28</v>
      </c>
      <c r="B638" s="174"/>
      <c r="C638" s="127" t="s">
        <v>200</v>
      </c>
      <c r="D638" s="127">
        <f t="shared" si="106"/>
        <v>359.17315200000002</v>
      </c>
      <c r="E638" s="127">
        <v>0</v>
      </c>
      <c r="F638" s="127">
        <f t="shared" si="123"/>
        <v>538.759728</v>
      </c>
      <c r="G638" s="174" t="str">
        <f t="shared" si="118"/>
        <v>8th, 12th, 16th &amp; 20th Floor (Part Refuge Area)</v>
      </c>
      <c r="H638" s="174"/>
      <c r="I638" s="38"/>
      <c r="N638" s="38"/>
    </row>
    <row r="639" spans="1:14" x14ac:dyDescent="0.35">
      <c r="A639" s="177" t="s">
        <v>228</v>
      </c>
      <c r="B639" s="177"/>
      <c r="C639" s="177"/>
      <c r="D639" s="177"/>
      <c r="E639" s="177"/>
      <c r="F639" s="177"/>
      <c r="G639" s="177"/>
      <c r="H639" s="177"/>
    </row>
    <row r="640" spans="1:14" s="107" customFormat="1" x14ac:dyDescent="0.35">
      <c r="A640" s="183" t="s">
        <v>229</v>
      </c>
      <c r="B640" s="183"/>
      <c r="C640" s="183"/>
      <c r="D640" s="183"/>
      <c r="E640" s="183"/>
      <c r="F640" s="183"/>
      <c r="G640" s="183"/>
      <c r="H640" s="183"/>
      <c r="I640" s="38"/>
      <c r="L640" s="182"/>
      <c r="M640" s="182"/>
    </row>
    <row r="641" spans="1:14" s="107" customFormat="1" x14ac:dyDescent="0.35">
      <c r="A641" s="183" t="s">
        <v>169</v>
      </c>
      <c r="B641" s="183"/>
      <c r="C641" s="183"/>
      <c r="D641" s="183"/>
      <c r="E641" s="183"/>
      <c r="F641" s="183"/>
      <c r="G641" s="183"/>
      <c r="H641" s="183"/>
      <c r="I641" s="38"/>
      <c r="L641" s="182"/>
      <c r="M641" s="182"/>
    </row>
    <row r="642" spans="1:14" s="107" customFormat="1" ht="15.75" customHeight="1" x14ac:dyDescent="0.35">
      <c r="A642" s="174">
        <v>1</v>
      </c>
      <c r="B642" s="174"/>
      <c r="C642" s="127" t="s">
        <v>200</v>
      </c>
      <c r="D642" s="127">
        <f>(23.69+1.8*(1.5+1.2)+0.6*1.68+3.16*0.75)*10.764</f>
        <v>343.67299199999997</v>
      </c>
      <c r="E642" s="127">
        <f>(1.2*5)*10.764</f>
        <v>64.584000000000003</v>
      </c>
      <c r="F642" s="127">
        <f t="shared" ref="F642:F643" si="124">D642*(($F$422)+1)+(IF(E642&lt;101,E642,IF(E642&lt;201,E642/2,IF(E642&lt;=301,E642/3,E642/4))))</f>
        <v>580.09348799999998</v>
      </c>
      <c r="G642" s="174" t="str">
        <f>A641</f>
        <v>1st Floor for Residential</v>
      </c>
      <c r="H642" s="174"/>
      <c r="I642" s="38">
        <f>2.44*2.9+1.68*2.24+2.42*3.13+0.95*1.22+1.14*1.84+0.9*2.1</f>
        <v>23.560399999999998</v>
      </c>
      <c r="N642" s="38"/>
    </row>
    <row r="643" spans="1:14" s="107" customFormat="1" ht="15.75" customHeight="1" x14ac:dyDescent="0.35">
      <c r="A643" s="174">
        <f t="shared" ref="A643:A677" si="125">A642+1</f>
        <v>2</v>
      </c>
      <c r="B643" s="174"/>
      <c r="C643" s="127" t="s">
        <v>200</v>
      </c>
      <c r="D643" s="127">
        <f>(23.69+1.8*(1.5)+1.2*1.38+0.6*1.68+3.16*0.75)*10.764</f>
        <v>338.24793599999998</v>
      </c>
      <c r="E643" s="127">
        <f>(3.5*1.8)*10.764</f>
        <v>67.813199999999995</v>
      </c>
      <c r="F643" s="127">
        <f t="shared" si="124"/>
        <v>575.18510399999991</v>
      </c>
      <c r="G643" s="174"/>
      <c r="H643" s="174"/>
      <c r="I643" s="38"/>
      <c r="N643" s="38"/>
    </row>
    <row r="644" spans="1:14" s="107" customFormat="1" ht="15.75" customHeight="1" x14ac:dyDescent="0.35">
      <c r="A644" s="174">
        <f t="shared" si="125"/>
        <v>3</v>
      </c>
      <c r="B644" s="174"/>
      <c r="C644" s="127" t="s">
        <v>200</v>
      </c>
      <c r="D644" s="127">
        <f>(23.69+1.8*(1.5)+1.2*1.38+0.6*1.68+3.16*0.75)*10.764</f>
        <v>338.24793599999998</v>
      </c>
      <c r="E644" s="127">
        <f>(3.5*1.8)*10.764</f>
        <v>67.813199999999995</v>
      </c>
      <c r="F644" s="127">
        <f>D644*(($F$422)+1)+(IF(E644&lt;101,E644,IF(E644&lt;201,E644/2,IF(E644&lt;=301,E644/3,E644/4))))</f>
        <v>575.18510399999991</v>
      </c>
      <c r="G644" s="174"/>
      <c r="H644" s="174"/>
      <c r="I644" s="38"/>
      <c r="N644" s="38"/>
    </row>
    <row r="645" spans="1:14" s="107" customFormat="1" ht="15.75" customHeight="1" x14ac:dyDescent="0.35">
      <c r="A645" s="174">
        <f t="shared" si="125"/>
        <v>4</v>
      </c>
      <c r="B645" s="174"/>
      <c r="C645" s="127" t="s">
        <v>200</v>
      </c>
      <c r="D645" s="127">
        <f>(23.69+1.8*(1.5)+0.6*1.68+3.16*0.75)*10.764</f>
        <v>320.422752</v>
      </c>
      <c r="E645" s="127">
        <f>(1.2*5+3.5*1.8)*10.764</f>
        <v>132.3972</v>
      </c>
      <c r="F645" s="127">
        <f t="shared" ref="F645:F648" si="126">D645*(($F$422)+1)+(IF(E645&lt;101,E645,IF(E645&lt;201,E645/2,IF(E645&lt;=301,E645/3,E645/4))))</f>
        <v>546.83272800000009</v>
      </c>
      <c r="G645" s="174"/>
      <c r="H645" s="174"/>
      <c r="I645" s="38"/>
      <c r="N645" s="38"/>
    </row>
    <row r="646" spans="1:14" s="107" customFormat="1" ht="15.75" customHeight="1" x14ac:dyDescent="0.35">
      <c r="A646" s="174">
        <f t="shared" si="125"/>
        <v>5</v>
      </c>
      <c r="B646" s="174"/>
      <c r="C646" s="127" t="s">
        <v>200</v>
      </c>
      <c r="D646" s="127">
        <f>(23.69+1.8*(1.5)+0.6*1.68+3.16*0.75)*10.764</f>
        <v>320.422752</v>
      </c>
      <c r="E646" s="127">
        <f>(3.5*1.8+2.33*3.7)*10.764</f>
        <v>160.60964399999997</v>
      </c>
      <c r="F646" s="127">
        <f t="shared" si="126"/>
        <v>560.93894999999998</v>
      </c>
      <c r="G646" s="174"/>
      <c r="H646" s="174"/>
      <c r="I646" s="38"/>
      <c r="N646" s="38"/>
    </row>
    <row r="647" spans="1:14" s="107" customFormat="1" ht="15.75" customHeight="1" x14ac:dyDescent="0.35">
      <c r="A647" s="174">
        <f t="shared" si="125"/>
        <v>6</v>
      </c>
      <c r="B647" s="174"/>
      <c r="C647" s="127" t="s">
        <v>200</v>
      </c>
      <c r="D647" s="127">
        <f>(23.69+1.8*(1.5)+1.2*1.38+0.6*1.68+3.16*0.75)*10.764</f>
        <v>338.24793599999998</v>
      </c>
      <c r="E647" s="127">
        <f>(3.5*1.8)*10.764</f>
        <v>67.813199999999995</v>
      </c>
      <c r="F647" s="127">
        <f t="shared" si="126"/>
        <v>575.18510399999991</v>
      </c>
      <c r="G647" s="174"/>
      <c r="H647" s="174"/>
      <c r="I647" s="38"/>
      <c r="N647" s="38"/>
    </row>
    <row r="648" spans="1:14" s="107" customFormat="1" ht="15.75" customHeight="1" x14ac:dyDescent="0.35">
      <c r="A648" s="174">
        <f t="shared" si="125"/>
        <v>7</v>
      </c>
      <c r="B648" s="174"/>
      <c r="C648" s="127" t="s">
        <v>200</v>
      </c>
      <c r="D648" s="127">
        <f>(23.69+1.8*(1.5)+0.6*1.68+3.16*0.75)*10.764</f>
        <v>320.422752</v>
      </c>
      <c r="E648" s="127">
        <f>(3.5*1.8)*10.764</f>
        <v>67.813199999999995</v>
      </c>
      <c r="F648" s="127">
        <f t="shared" si="126"/>
        <v>548.44732799999997</v>
      </c>
      <c r="G648" s="174"/>
      <c r="H648" s="174"/>
      <c r="I648" s="38"/>
      <c r="N648" s="38"/>
    </row>
    <row r="649" spans="1:14" s="107" customFormat="1" ht="15.75" customHeight="1" x14ac:dyDescent="0.35">
      <c r="A649" s="174">
        <f t="shared" si="125"/>
        <v>8</v>
      </c>
      <c r="B649" s="174"/>
      <c r="C649" s="127" t="s">
        <v>200</v>
      </c>
      <c r="D649" s="127">
        <f>(23.69+1.8*(1.5)+(1.2*1.2)+0.6*1.68+3.16*0.75)*10.764</f>
        <v>335.922912</v>
      </c>
      <c r="E649" s="127">
        <f>(3.5*1.8)*10.764</f>
        <v>67.813199999999995</v>
      </c>
      <c r="F649" s="127">
        <f>D649*(($F$422)+1)+(IF(E649&lt;101,E649,IF(E649&lt;201,E649/2,IF(E649&lt;=301,E649/3,E649/4))))</f>
        <v>571.69756800000005</v>
      </c>
      <c r="G649" s="174"/>
      <c r="H649" s="174"/>
      <c r="I649" s="38"/>
      <c r="N649" s="38"/>
    </row>
    <row r="650" spans="1:14" s="107" customFormat="1" ht="15.75" customHeight="1" x14ac:dyDescent="0.35">
      <c r="A650" s="174">
        <f t="shared" si="125"/>
        <v>9</v>
      </c>
      <c r="B650" s="174"/>
      <c r="C650" s="127" t="s">
        <v>200</v>
      </c>
      <c r="D650" s="127">
        <f>(23.69+1.8*(1.5)+(1.2*1.2)+0.6*1.68+3.16*0.75)*10.764</f>
        <v>335.922912</v>
      </c>
      <c r="E650" s="127">
        <f>(3.5*1.8)*10.764</f>
        <v>67.813199999999995</v>
      </c>
      <c r="F650" s="127">
        <f t="shared" ref="F650:F653" si="127">D650*(($F$422)+1)+(IF(E650&lt;101,E650,IF(E650&lt;201,E650/2,IF(E650&lt;=301,E650/3,E650/4))))</f>
        <v>571.69756800000005</v>
      </c>
      <c r="G650" s="174"/>
      <c r="H650" s="174"/>
      <c r="I650" s="38"/>
      <c r="N650" s="38"/>
    </row>
    <row r="651" spans="1:14" s="107" customFormat="1" ht="15.75" customHeight="1" x14ac:dyDescent="0.35">
      <c r="A651" s="174">
        <f t="shared" si="125"/>
        <v>10</v>
      </c>
      <c r="B651" s="174"/>
      <c r="C651" s="127" t="s">
        <v>200</v>
      </c>
      <c r="D651" s="127">
        <f>(23.69+1.8*(1.5+1.2)+0.6*1.68+3.16*0.75)*10.764</f>
        <v>343.67299199999997</v>
      </c>
      <c r="E651" s="127">
        <f>(5*1.2)*10.764</f>
        <v>64.584000000000003</v>
      </c>
      <c r="F651" s="127">
        <f t="shared" si="127"/>
        <v>580.09348799999998</v>
      </c>
      <c r="G651" s="174"/>
      <c r="H651" s="174"/>
      <c r="I651" s="38"/>
      <c r="N651" s="38"/>
    </row>
    <row r="652" spans="1:14" s="107" customFormat="1" ht="15.75" customHeight="1" x14ac:dyDescent="0.35">
      <c r="A652" s="174">
        <f t="shared" si="125"/>
        <v>11</v>
      </c>
      <c r="B652" s="174"/>
      <c r="C652" s="127" t="s">
        <v>200</v>
      </c>
      <c r="D652" s="127">
        <f>(23.69+1.8*(1.5+1.2)+0.6*1.68+3.16*0.75)*10.764</f>
        <v>343.67299199999997</v>
      </c>
      <c r="E652" s="127">
        <f>(5*1.2)*10.764</f>
        <v>64.584000000000003</v>
      </c>
      <c r="F652" s="127">
        <f t="shared" si="127"/>
        <v>580.09348799999998</v>
      </c>
      <c r="G652" s="174"/>
      <c r="H652" s="174"/>
      <c r="I652" s="38"/>
      <c r="N652" s="38"/>
    </row>
    <row r="653" spans="1:14" s="107" customFormat="1" ht="15.75" customHeight="1" x14ac:dyDescent="0.35">
      <c r="A653" s="174">
        <f t="shared" si="125"/>
        <v>12</v>
      </c>
      <c r="B653" s="174"/>
      <c r="C653" s="127" t="s">
        <v>200</v>
      </c>
      <c r="D653" s="127">
        <f>(23.69+1.8*(1.5)+(1.2*1.2)+0.6*1.68+3.16*0.75)*10.764</f>
        <v>335.922912</v>
      </c>
      <c r="E653" s="127">
        <f>(3.5*1.8)*10.764</f>
        <v>67.813199999999995</v>
      </c>
      <c r="F653" s="127">
        <f t="shared" si="127"/>
        <v>571.69756800000005</v>
      </c>
      <c r="G653" s="174"/>
      <c r="H653" s="174"/>
      <c r="I653" s="38"/>
      <c r="N653" s="38"/>
    </row>
    <row r="654" spans="1:14" s="107" customFormat="1" ht="15.75" customHeight="1" x14ac:dyDescent="0.35">
      <c r="A654" s="174">
        <f t="shared" si="125"/>
        <v>13</v>
      </c>
      <c r="B654" s="174"/>
      <c r="C654" s="127" t="s">
        <v>200</v>
      </c>
      <c r="D654" s="127">
        <f t="shared" ref="D654:D661" si="128">(23.69+1.8*(1.5)+0.6*1.68+3.16*0.75)*10.764</f>
        <v>320.422752</v>
      </c>
      <c r="E654" s="127">
        <f>(3.5*1.8+5*1.2)*10.764</f>
        <v>132.3972</v>
      </c>
      <c r="F654" s="127">
        <f>D654*(($F$422)+1)+(IF(E654&lt;101,E654,IF(E654&lt;201,E654/2,IF(E654&lt;=301,E654/3,E654/4))))</f>
        <v>546.83272800000009</v>
      </c>
      <c r="G654" s="174"/>
      <c r="H654" s="174"/>
      <c r="I654" s="38"/>
      <c r="N654" s="38"/>
    </row>
    <row r="655" spans="1:14" s="107" customFormat="1" ht="15.75" customHeight="1" x14ac:dyDescent="0.35">
      <c r="A655" s="174">
        <f t="shared" si="125"/>
        <v>14</v>
      </c>
      <c r="B655" s="174"/>
      <c r="C655" s="127" t="s">
        <v>200</v>
      </c>
      <c r="D655" s="127">
        <f t="shared" si="128"/>
        <v>320.422752</v>
      </c>
      <c r="E655" s="127">
        <f>(3.5*1.8+5*1.2)*10.764</f>
        <v>132.3972</v>
      </c>
      <c r="F655" s="127">
        <f t="shared" ref="F655" si="129">D655*(($F$422)+1)+(IF(E655&lt;101,E655,IF(E655&lt;201,E655/2,IF(E655&lt;=301,E655/3,E655/4))))</f>
        <v>546.83272800000009</v>
      </c>
      <c r="G655" s="174"/>
      <c r="H655" s="174"/>
      <c r="I655" s="38"/>
      <c r="N655" s="38"/>
    </row>
    <row r="656" spans="1:14" s="107" customFormat="1" ht="15.75" customHeight="1" x14ac:dyDescent="0.35">
      <c r="A656" s="174">
        <f t="shared" si="125"/>
        <v>15</v>
      </c>
      <c r="B656" s="174"/>
      <c r="C656" s="127" t="s">
        <v>200</v>
      </c>
      <c r="D656" s="127">
        <f t="shared" si="128"/>
        <v>320.422752</v>
      </c>
      <c r="E656" s="127">
        <f>(3.5*1.8+5*1.2)*10.764</f>
        <v>132.3972</v>
      </c>
      <c r="F656" s="127">
        <f>D656*(($F$422)+1)+(IF(E656&lt;101,E656,IF(E656&lt;201,E656/2,IF(E656&lt;=301,E656/3,E656/4))))</f>
        <v>546.83272800000009</v>
      </c>
      <c r="G656" s="174"/>
      <c r="H656" s="174"/>
      <c r="I656" s="38"/>
      <c r="N656" s="38"/>
    </row>
    <row r="657" spans="1:14" s="107" customFormat="1" ht="15.75" customHeight="1" x14ac:dyDescent="0.35">
      <c r="A657" s="174">
        <f t="shared" si="125"/>
        <v>16</v>
      </c>
      <c r="B657" s="174"/>
      <c r="C657" s="127" t="s">
        <v>200</v>
      </c>
      <c r="D657" s="127">
        <f t="shared" si="128"/>
        <v>320.422752</v>
      </c>
      <c r="E657" s="127">
        <f t="shared" ref="E657:E661" si="130">(3.5*1.8+5*1.2)*10.764</f>
        <v>132.3972</v>
      </c>
      <c r="F657" s="127">
        <f t="shared" ref="F657:F658" si="131">D657*(($F$422)+1)+(IF(E657&lt;101,E657,IF(E657&lt;201,E657/2,IF(E657&lt;=301,E657/3,E657/4))))</f>
        <v>546.83272800000009</v>
      </c>
      <c r="G657" s="174"/>
      <c r="H657" s="174"/>
      <c r="I657" s="38"/>
      <c r="N657" s="38"/>
    </row>
    <row r="658" spans="1:14" s="107" customFormat="1" ht="15.75" customHeight="1" x14ac:dyDescent="0.35">
      <c r="A658" s="174">
        <f t="shared" si="125"/>
        <v>17</v>
      </c>
      <c r="B658" s="174"/>
      <c r="C658" s="127" t="s">
        <v>200</v>
      </c>
      <c r="D658" s="127">
        <f t="shared" si="128"/>
        <v>320.422752</v>
      </c>
      <c r="E658" s="127">
        <f t="shared" si="130"/>
        <v>132.3972</v>
      </c>
      <c r="F658" s="127">
        <f t="shared" si="131"/>
        <v>546.83272800000009</v>
      </c>
      <c r="G658" s="174"/>
      <c r="H658" s="174"/>
      <c r="I658" s="38"/>
      <c r="N658" s="38"/>
    </row>
    <row r="659" spans="1:14" s="107" customFormat="1" ht="15.75" customHeight="1" x14ac:dyDescent="0.35">
      <c r="A659" s="174">
        <f t="shared" si="125"/>
        <v>18</v>
      </c>
      <c r="B659" s="174"/>
      <c r="C659" s="127" t="s">
        <v>200</v>
      </c>
      <c r="D659" s="127">
        <f t="shared" si="128"/>
        <v>320.422752</v>
      </c>
      <c r="E659" s="127">
        <f t="shared" si="130"/>
        <v>132.3972</v>
      </c>
      <c r="F659" s="127">
        <f>D659*(($F$422)+1)+(IF(E659&lt;101,E659,IF(E659&lt;201,E659/2,IF(E659&lt;=301,E659/3,E659/4))))</f>
        <v>546.83272800000009</v>
      </c>
      <c r="G659" s="174"/>
      <c r="H659" s="174"/>
      <c r="I659" s="38"/>
      <c r="N659" s="38"/>
    </row>
    <row r="660" spans="1:14" s="107" customFormat="1" ht="15.75" customHeight="1" x14ac:dyDescent="0.35">
      <c r="A660" s="174">
        <f t="shared" si="125"/>
        <v>19</v>
      </c>
      <c r="B660" s="174"/>
      <c r="C660" s="127" t="s">
        <v>200</v>
      </c>
      <c r="D660" s="127">
        <f t="shared" si="128"/>
        <v>320.422752</v>
      </c>
      <c r="E660" s="127">
        <f t="shared" si="130"/>
        <v>132.3972</v>
      </c>
      <c r="F660" s="127">
        <f t="shared" ref="F660:F664" si="132">D660*(($F$422)+1)+(IF(E660&lt;101,E660,IF(E660&lt;201,E660/2,IF(E660&lt;=301,E660/3,E660/4))))</f>
        <v>546.83272800000009</v>
      </c>
      <c r="G660" s="174"/>
      <c r="H660" s="174"/>
      <c r="I660" s="38"/>
      <c r="N660" s="38"/>
    </row>
    <row r="661" spans="1:14" s="107" customFormat="1" ht="15.75" customHeight="1" x14ac:dyDescent="0.35">
      <c r="A661" s="174">
        <f t="shared" si="125"/>
        <v>20</v>
      </c>
      <c r="B661" s="174"/>
      <c r="C661" s="127" t="s">
        <v>200</v>
      </c>
      <c r="D661" s="127">
        <f t="shared" si="128"/>
        <v>320.422752</v>
      </c>
      <c r="E661" s="127">
        <f t="shared" si="130"/>
        <v>132.3972</v>
      </c>
      <c r="F661" s="127">
        <f t="shared" si="132"/>
        <v>546.83272800000009</v>
      </c>
      <c r="G661" s="174"/>
      <c r="H661" s="174"/>
      <c r="I661" s="38"/>
      <c r="N661" s="38"/>
    </row>
    <row r="662" spans="1:14" s="107" customFormat="1" ht="15.75" customHeight="1" x14ac:dyDescent="0.35">
      <c r="A662" s="174">
        <f t="shared" si="125"/>
        <v>21</v>
      </c>
      <c r="B662" s="174"/>
      <c r="C662" s="127" t="s">
        <v>200</v>
      </c>
      <c r="D662" s="127">
        <f>(23.69+1.8*(1.5)+(1.2*1.2)+0.6*1.68+3.16*0.75)*10.764</f>
        <v>335.922912</v>
      </c>
      <c r="E662" s="127">
        <f>(3.5*1.8)*10.764</f>
        <v>67.813199999999995</v>
      </c>
      <c r="F662" s="127">
        <f t="shared" si="132"/>
        <v>571.69756800000005</v>
      </c>
      <c r="G662" s="174"/>
      <c r="H662" s="174"/>
      <c r="I662" s="38"/>
      <c r="N662" s="38"/>
    </row>
    <row r="663" spans="1:14" s="107" customFormat="1" ht="15.75" customHeight="1" x14ac:dyDescent="0.35">
      <c r="A663" s="174">
        <f t="shared" si="125"/>
        <v>22</v>
      </c>
      <c r="B663" s="174"/>
      <c r="C663" s="127" t="s">
        <v>200</v>
      </c>
      <c r="D663" s="127">
        <f>(23.69+1.8*(1.5+1.2)+0.6*1.68+3.16*0.75)*10.764</f>
        <v>343.67299199999997</v>
      </c>
      <c r="E663" s="127">
        <f>(5*1.2)*10.764</f>
        <v>64.584000000000003</v>
      </c>
      <c r="F663" s="127">
        <f t="shared" si="132"/>
        <v>580.09348799999998</v>
      </c>
      <c r="G663" s="174"/>
      <c r="H663" s="174"/>
      <c r="I663" s="38"/>
      <c r="N663" s="38"/>
    </row>
    <row r="664" spans="1:14" s="107" customFormat="1" ht="15.75" customHeight="1" x14ac:dyDescent="0.35">
      <c r="A664" s="174">
        <f t="shared" si="125"/>
        <v>23</v>
      </c>
      <c r="B664" s="174"/>
      <c r="C664" s="127" t="s">
        <v>200</v>
      </c>
      <c r="D664" s="127">
        <f>(23.69+1.8*(1.5)+(1.2*1.2)+0.6*1.68+3.16*0.75)*10.764</f>
        <v>335.922912</v>
      </c>
      <c r="E664" s="127">
        <f>(3.5*1.8+2.66*3.8)*10.764</f>
        <v>176.615712</v>
      </c>
      <c r="F664" s="127">
        <f t="shared" si="132"/>
        <v>592.19222400000001</v>
      </c>
      <c r="G664" s="174"/>
      <c r="H664" s="174"/>
      <c r="I664" s="38"/>
      <c r="N664" s="38"/>
    </row>
    <row r="665" spans="1:14" s="107" customFormat="1" ht="15.75" customHeight="1" x14ac:dyDescent="0.35">
      <c r="A665" s="174">
        <f t="shared" si="125"/>
        <v>24</v>
      </c>
      <c r="B665" s="174"/>
      <c r="C665" s="127" t="s">
        <v>200</v>
      </c>
      <c r="D665" s="127">
        <f>(23.69+1.8*(1.5)+0.6*1.68+3.16*0.75)*10.764</f>
        <v>320.422752</v>
      </c>
      <c r="E665" s="127">
        <f t="shared" ref="E665:E667" si="133">(3.5*1.8+5*1.2)*10.764</f>
        <v>132.3972</v>
      </c>
      <c r="F665" s="127">
        <f>D665*(($F$422)+1)+(IF(E665&lt;101,E665,IF(E665&lt;201,E665/2,IF(E665&lt;=301,E665/3,E665/4))))</f>
        <v>546.83272800000009</v>
      </c>
      <c r="G665" s="174"/>
      <c r="H665" s="174"/>
      <c r="I665" s="38"/>
      <c r="N665" s="38"/>
    </row>
    <row r="666" spans="1:14" s="107" customFormat="1" ht="15.75" customHeight="1" x14ac:dyDescent="0.35">
      <c r="A666" s="174">
        <f t="shared" si="125"/>
        <v>25</v>
      </c>
      <c r="B666" s="174"/>
      <c r="C666" s="127" t="s">
        <v>200</v>
      </c>
      <c r="D666" s="127">
        <f>(23.69+1.8*(1.5)+(1.2*1.2)+0.6*1.68+3.16*0.75)*10.764</f>
        <v>335.922912</v>
      </c>
      <c r="E666" s="127">
        <f>(3.5*1.8+3.8*3.8)*10.764</f>
        <v>223.24535999999998</v>
      </c>
      <c r="F666" s="127">
        <f t="shared" ref="F666:F670" si="134">D666*(($F$422)+1)+(IF(E666&lt;101,E666,IF(E666&lt;201,E666/2,IF(E666&lt;=301,E666/3,E666/4))))</f>
        <v>578.299488</v>
      </c>
      <c r="G666" s="174"/>
      <c r="H666" s="174"/>
      <c r="I666" s="38"/>
      <c r="N666" s="38"/>
    </row>
    <row r="667" spans="1:14" s="107" customFormat="1" ht="15.75" customHeight="1" x14ac:dyDescent="0.35">
      <c r="A667" s="174">
        <f t="shared" si="125"/>
        <v>26</v>
      </c>
      <c r="B667" s="174"/>
      <c r="C667" s="127" t="s">
        <v>200</v>
      </c>
      <c r="D667" s="127">
        <f>(23.69+1.8*(1.5)+0.6*1.68+3.16*0.75)*10.764</f>
        <v>320.422752</v>
      </c>
      <c r="E667" s="127">
        <f t="shared" si="133"/>
        <v>132.3972</v>
      </c>
      <c r="F667" s="127">
        <f t="shared" si="134"/>
        <v>546.83272800000009</v>
      </c>
      <c r="G667" s="174"/>
      <c r="H667" s="174"/>
      <c r="I667" s="38"/>
      <c r="N667" s="38"/>
    </row>
    <row r="668" spans="1:14" s="107" customFormat="1" ht="15.75" customHeight="1" x14ac:dyDescent="0.35">
      <c r="A668" s="174">
        <f t="shared" si="125"/>
        <v>27</v>
      </c>
      <c r="B668" s="174"/>
      <c r="C668" s="127" t="s">
        <v>200</v>
      </c>
      <c r="D668" s="127">
        <f>(23.69+1.8*(1.5)+0.6*1.68+3.16*0.75)*10.764</f>
        <v>320.422752</v>
      </c>
      <c r="E668" s="127">
        <f>(3.5*1.8+5*1.2)*10.764</f>
        <v>132.3972</v>
      </c>
      <c r="F668" s="127">
        <f t="shared" si="134"/>
        <v>546.83272800000009</v>
      </c>
      <c r="G668" s="174"/>
      <c r="H668" s="174"/>
      <c r="I668" s="38"/>
      <c r="N668" s="38"/>
    </row>
    <row r="669" spans="1:14" s="107" customFormat="1" ht="15.75" customHeight="1" x14ac:dyDescent="0.35">
      <c r="A669" s="174">
        <f t="shared" si="125"/>
        <v>28</v>
      </c>
      <c r="B669" s="174"/>
      <c r="C669" s="127" t="s">
        <v>200</v>
      </c>
      <c r="D669" s="127">
        <f>(23.69+1.8*(1.5)+(1.2*1.2)+0.6*1.68+3.16*0.75)*10.764</f>
        <v>335.922912</v>
      </c>
      <c r="E669" s="127">
        <f>(3.5*1.8)*10.764</f>
        <v>67.813199999999995</v>
      </c>
      <c r="F669" s="127">
        <f t="shared" si="134"/>
        <v>571.69756800000005</v>
      </c>
      <c r="G669" s="174"/>
      <c r="H669" s="174"/>
      <c r="I669" s="38"/>
      <c r="N669" s="38"/>
    </row>
    <row r="670" spans="1:14" s="107" customFormat="1" ht="15.75" customHeight="1" x14ac:dyDescent="0.35">
      <c r="A670" s="174">
        <f t="shared" si="125"/>
        <v>29</v>
      </c>
      <c r="B670" s="174"/>
      <c r="C670" s="127" t="s">
        <v>200</v>
      </c>
      <c r="D670" s="127">
        <f>(23.69+1.8*(1.5+1.2)+0.6*1.68+3.16*0.75)*10.764</f>
        <v>343.67299199999997</v>
      </c>
      <c r="E670" s="127">
        <f>(5*1.2)*10.764</f>
        <v>64.584000000000003</v>
      </c>
      <c r="F670" s="127">
        <f t="shared" si="134"/>
        <v>580.09348799999998</v>
      </c>
      <c r="G670" s="174"/>
      <c r="H670" s="174"/>
      <c r="I670" s="38"/>
      <c r="N670" s="38"/>
    </row>
    <row r="671" spans="1:14" s="107" customFormat="1" ht="15.75" customHeight="1" x14ac:dyDescent="0.35">
      <c r="A671" s="174">
        <f t="shared" si="125"/>
        <v>30</v>
      </c>
      <c r="B671" s="174"/>
      <c r="C671" s="127" t="s">
        <v>200</v>
      </c>
      <c r="D671" s="127">
        <f>(23.69+1.8*(1.5)+(1.2*1.2)+0.6*1.68+3.16*0.75)*10.764</f>
        <v>335.922912</v>
      </c>
      <c r="E671" s="127">
        <f>(3.5*1.8)*10.764</f>
        <v>67.813199999999995</v>
      </c>
      <c r="F671" s="127">
        <f>D671*(($F$422)+1)+(IF(E671&lt;101,E671,IF(E671&lt;201,E671/2,IF(E671&lt;=301,E671/3,E671/4))))</f>
        <v>571.69756800000005</v>
      </c>
      <c r="G671" s="174"/>
      <c r="H671" s="174"/>
      <c r="I671" s="38"/>
      <c r="N671" s="38"/>
    </row>
    <row r="672" spans="1:14" s="107" customFormat="1" ht="15.75" customHeight="1" x14ac:dyDescent="0.35">
      <c r="A672" s="174">
        <f t="shared" si="125"/>
        <v>31</v>
      </c>
      <c r="B672" s="174"/>
      <c r="C672" s="127" t="s">
        <v>200</v>
      </c>
      <c r="D672" s="127">
        <f>(23.69+1.8*(1.5)+0.6*1.68+3.16*0.75)*10.764</f>
        <v>320.422752</v>
      </c>
      <c r="E672" s="127">
        <f t="shared" ref="E672:E675" si="135">(3.5*1.8+5*1.2)*10.764</f>
        <v>132.3972</v>
      </c>
      <c r="F672" s="127">
        <f t="shared" ref="F672:F676" si="136">D672*(($F$422)+1)+(IF(E672&lt;101,E672,IF(E672&lt;201,E672/2,IF(E672&lt;=301,E672/3,E672/4))))</f>
        <v>546.83272800000009</v>
      </c>
      <c r="G672" s="174"/>
      <c r="H672" s="174"/>
      <c r="I672" s="38"/>
      <c r="N672" s="38"/>
    </row>
    <row r="673" spans="1:14" s="107" customFormat="1" ht="15.75" customHeight="1" x14ac:dyDescent="0.35">
      <c r="A673" s="174">
        <f t="shared" si="125"/>
        <v>32</v>
      </c>
      <c r="B673" s="174"/>
      <c r="C673" s="127" t="s">
        <v>200</v>
      </c>
      <c r="D673" s="127">
        <f>(23.69+1.8*(1.5)+(1.2*1.2)+0.6*1.68+3.16*0.75)*10.764</f>
        <v>335.922912</v>
      </c>
      <c r="E673" s="127">
        <f>(3.5*1.8+3.8*2.7)*10.764</f>
        <v>178.25183999999999</v>
      </c>
      <c r="F673" s="127">
        <f t="shared" si="136"/>
        <v>593.01028799999995</v>
      </c>
      <c r="G673" s="174"/>
      <c r="H673" s="174"/>
      <c r="I673" s="38"/>
      <c r="N673" s="38"/>
    </row>
    <row r="674" spans="1:14" s="107" customFormat="1" ht="15.75" customHeight="1" x14ac:dyDescent="0.35">
      <c r="A674" s="174">
        <f t="shared" si="125"/>
        <v>33</v>
      </c>
      <c r="B674" s="174"/>
      <c r="C674" s="127" t="s">
        <v>200</v>
      </c>
      <c r="D674" s="127">
        <f>(23.69+1.8*(1.5)+0.6*1.68+3.16*0.75)*10.764</f>
        <v>320.422752</v>
      </c>
      <c r="E674" s="127">
        <f t="shared" si="135"/>
        <v>132.3972</v>
      </c>
      <c r="F674" s="127">
        <f t="shared" si="136"/>
        <v>546.83272800000009</v>
      </c>
      <c r="G674" s="174"/>
      <c r="H674" s="174"/>
      <c r="I674" s="38"/>
      <c r="N674" s="38"/>
    </row>
    <row r="675" spans="1:14" s="107" customFormat="1" ht="15.75" customHeight="1" x14ac:dyDescent="0.35">
      <c r="A675" s="174">
        <f t="shared" si="125"/>
        <v>34</v>
      </c>
      <c r="B675" s="174"/>
      <c r="C675" s="127" t="s">
        <v>200</v>
      </c>
      <c r="D675" s="127">
        <f>(23.69+1.8*(1.5)+0.6*1.68+3.16*0.75)*10.764</f>
        <v>320.422752</v>
      </c>
      <c r="E675" s="127">
        <f t="shared" si="135"/>
        <v>132.3972</v>
      </c>
      <c r="F675" s="127">
        <f t="shared" si="136"/>
        <v>546.83272800000009</v>
      </c>
      <c r="G675" s="174"/>
      <c r="H675" s="174"/>
      <c r="I675" s="38"/>
      <c r="N675" s="38"/>
    </row>
    <row r="676" spans="1:14" s="107" customFormat="1" ht="15.75" customHeight="1" x14ac:dyDescent="0.35">
      <c r="A676" s="174">
        <f t="shared" si="125"/>
        <v>35</v>
      </c>
      <c r="B676" s="174"/>
      <c r="C676" s="127" t="s">
        <v>200</v>
      </c>
      <c r="D676" s="127">
        <f>(23.69+1.8*(1.5)+(1.2*1.2)+0.6*1.68+3.16*0.75)*10.764</f>
        <v>335.922912</v>
      </c>
      <c r="E676" s="127">
        <f>(3.5*1.8)*10.764</f>
        <v>67.813199999999995</v>
      </c>
      <c r="F676" s="127">
        <f t="shared" si="136"/>
        <v>571.69756800000005</v>
      </c>
      <c r="G676" s="174"/>
      <c r="H676" s="174"/>
      <c r="I676" s="38"/>
      <c r="N676" s="38"/>
    </row>
    <row r="677" spans="1:14" s="107" customFormat="1" ht="15.75" customHeight="1" x14ac:dyDescent="0.35">
      <c r="A677" s="174">
        <f t="shared" si="125"/>
        <v>36</v>
      </c>
      <c r="B677" s="174"/>
      <c r="C677" s="127" t="s">
        <v>200</v>
      </c>
      <c r="D677" s="127">
        <f>(23.69+1.8*(1.5+1.2)+0.6*1.68+3.16*0.75)*10.764</f>
        <v>343.67299199999997</v>
      </c>
      <c r="E677" s="127">
        <f>(5*1.2)*10.764</f>
        <v>64.584000000000003</v>
      </c>
      <c r="F677" s="127">
        <f>D677*(($F$422)+1)+(IF(E677&lt;101,E677,IF(E677&lt;201,E677/2,IF(E677&lt;=301,E677/3,E677/4))))</f>
        <v>580.09348799999998</v>
      </c>
      <c r="G677" s="174"/>
      <c r="H677" s="174"/>
      <c r="I677" s="38"/>
      <c r="N677" s="38"/>
    </row>
    <row r="678" spans="1:14" s="107" customFormat="1" x14ac:dyDescent="0.35">
      <c r="A678" s="183" t="s">
        <v>171</v>
      </c>
      <c r="B678" s="183"/>
      <c r="C678" s="183"/>
      <c r="D678" s="183"/>
      <c r="E678" s="183"/>
      <c r="F678" s="183"/>
      <c r="G678" s="183"/>
      <c r="H678" s="183"/>
      <c r="I678" s="38"/>
      <c r="L678" s="182"/>
      <c r="M678" s="182"/>
    </row>
    <row r="679" spans="1:14" s="107" customFormat="1" ht="15.75" customHeight="1" x14ac:dyDescent="0.35">
      <c r="A679" s="174">
        <v>1</v>
      </c>
      <c r="B679" s="174"/>
      <c r="C679" s="127" t="s">
        <v>200</v>
      </c>
      <c r="D679" s="127">
        <f t="shared" ref="D679:D742" si="137">(23.69+1.8*(1.5+1.2)+0.6*1.68+3.16*0.75+1.2*1.2)*10.764</f>
        <v>359.17315200000002</v>
      </c>
      <c r="E679" s="127">
        <v>0</v>
      </c>
      <c r="F679" s="127">
        <f t="shared" ref="F679:F680" si="138">D679*(($F$422)+1)+(IF(E679&lt;101,E679,IF(E679&lt;201,E679/2,IF(E679&lt;=301,E679/3,E679/4))))</f>
        <v>538.759728</v>
      </c>
      <c r="G679" s="174" t="str">
        <f>A678</f>
        <v xml:space="preserve">2nd to 7th, 9th to 11th, 13rd to 15th, 17th to 19th, 21st to 23rd Floor </v>
      </c>
      <c r="H679" s="174"/>
      <c r="I679" s="38">
        <f>2.44*2.9+1.68*2.24+2.42*3.13+0.95*1.22+1.14*1.84+0.9*2.1</f>
        <v>23.560399999999998</v>
      </c>
      <c r="N679" s="38"/>
    </row>
    <row r="680" spans="1:14" s="107" customFormat="1" ht="15.75" customHeight="1" x14ac:dyDescent="0.35">
      <c r="A680" s="174">
        <f t="shared" ref="A680:A714" si="139">A679+1</f>
        <v>2</v>
      </c>
      <c r="B680" s="174"/>
      <c r="C680" s="127" t="s">
        <v>200</v>
      </c>
      <c r="D680" s="127">
        <f t="shared" si="137"/>
        <v>359.17315200000002</v>
      </c>
      <c r="E680" s="127">
        <v>0</v>
      </c>
      <c r="F680" s="127">
        <f t="shared" si="138"/>
        <v>538.759728</v>
      </c>
      <c r="G680" s="174"/>
      <c r="H680" s="174"/>
      <c r="I680" s="38"/>
      <c r="N680" s="38"/>
    </row>
    <row r="681" spans="1:14" s="107" customFormat="1" ht="15.75" customHeight="1" x14ac:dyDescent="0.35">
      <c r="A681" s="174">
        <f t="shared" si="139"/>
        <v>3</v>
      </c>
      <c r="B681" s="174"/>
      <c r="C681" s="127" t="s">
        <v>200</v>
      </c>
      <c r="D681" s="127">
        <f t="shared" si="137"/>
        <v>359.17315200000002</v>
      </c>
      <c r="E681" s="127">
        <v>0</v>
      </c>
      <c r="F681" s="127">
        <f>D681*(($F$422)+1)+(IF(E681&lt;101,E681,IF(E681&lt;201,E681/2,IF(E681&lt;=301,E681/3,E681/4))))</f>
        <v>538.759728</v>
      </c>
      <c r="G681" s="174"/>
      <c r="H681" s="174"/>
      <c r="I681" s="38"/>
      <c r="N681" s="38"/>
    </row>
    <row r="682" spans="1:14" s="107" customFormat="1" ht="15.75" customHeight="1" x14ac:dyDescent="0.35">
      <c r="A682" s="174">
        <f t="shared" si="139"/>
        <v>4</v>
      </c>
      <c r="B682" s="174"/>
      <c r="C682" s="127" t="s">
        <v>200</v>
      </c>
      <c r="D682" s="127">
        <f t="shared" si="137"/>
        <v>359.17315200000002</v>
      </c>
      <c r="E682" s="127">
        <v>0</v>
      </c>
      <c r="F682" s="127">
        <f t="shared" ref="F682:F685" si="140">D682*(($F$422)+1)+(IF(E682&lt;101,E682,IF(E682&lt;201,E682/2,IF(E682&lt;=301,E682/3,E682/4))))</f>
        <v>538.759728</v>
      </c>
      <c r="G682" s="174"/>
      <c r="H682" s="174"/>
      <c r="I682" s="38"/>
      <c r="N682" s="38"/>
    </row>
    <row r="683" spans="1:14" s="107" customFormat="1" ht="15.75" customHeight="1" x14ac:dyDescent="0.35">
      <c r="A683" s="174">
        <f t="shared" si="139"/>
        <v>5</v>
      </c>
      <c r="B683" s="174"/>
      <c r="C683" s="127" t="s">
        <v>200</v>
      </c>
      <c r="D683" s="127">
        <f t="shared" si="137"/>
        <v>359.17315200000002</v>
      </c>
      <c r="E683" s="127">
        <v>0</v>
      </c>
      <c r="F683" s="127">
        <f t="shared" si="140"/>
        <v>538.759728</v>
      </c>
      <c r="G683" s="174"/>
      <c r="H683" s="174"/>
      <c r="I683" s="38"/>
      <c r="N683" s="38"/>
    </row>
    <row r="684" spans="1:14" s="107" customFormat="1" ht="15.75" customHeight="1" x14ac:dyDescent="0.35">
      <c r="A684" s="174">
        <f t="shared" si="139"/>
        <v>6</v>
      </c>
      <c r="B684" s="174"/>
      <c r="C684" s="127" t="s">
        <v>200</v>
      </c>
      <c r="D684" s="127">
        <f t="shared" si="137"/>
        <v>359.17315200000002</v>
      </c>
      <c r="E684" s="127">
        <v>0</v>
      </c>
      <c r="F684" s="127">
        <f t="shared" si="140"/>
        <v>538.759728</v>
      </c>
      <c r="G684" s="174"/>
      <c r="H684" s="174"/>
      <c r="I684" s="38"/>
      <c r="N684" s="38"/>
    </row>
    <row r="685" spans="1:14" s="107" customFormat="1" ht="15.75" customHeight="1" x14ac:dyDescent="0.35">
      <c r="A685" s="174">
        <f t="shared" si="139"/>
        <v>7</v>
      </c>
      <c r="B685" s="174"/>
      <c r="C685" s="127" t="s">
        <v>200</v>
      </c>
      <c r="D685" s="127">
        <f t="shared" si="137"/>
        <v>359.17315200000002</v>
      </c>
      <c r="E685" s="127">
        <v>0</v>
      </c>
      <c r="F685" s="127">
        <f t="shared" si="140"/>
        <v>538.759728</v>
      </c>
      <c r="G685" s="174"/>
      <c r="H685" s="174"/>
      <c r="I685" s="38"/>
      <c r="N685" s="38"/>
    </row>
    <row r="686" spans="1:14" s="107" customFormat="1" ht="15.75" customHeight="1" x14ac:dyDescent="0.35">
      <c r="A686" s="174">
        <f t="shared" si="139"/>
        <v>8</v>
      </c>
      <c r="B686" s="174"/>
      <c r="C686" s="127" t="s">
        <v>200</v>
      </c>
      <c r="D686" s="127">
        <f t="shared" si="137"/>
        <v>359.17315200000002</v>
      </c>
      <c r="E686" s="127">
        <v>0</v>
      </c>
      <c r="F686" s="127">
        <f>D686*(($F$422)+1)+(IF(E686&lt;101,E686,IF(E686&lt;201,E686/2,IF(E686&lt;=301,E686/3,E686/4))))</f>
        <v>538.759728</v>
      </c>
      <c r="G686" s="174"/>
      <c r="H686" s="174"/>
      <c r="I686" s="38"/>
      <c r="N686" s="38"/>
    </row>
    <row r="687" spans="1:14" s="107" customFormat="1" ht="15.75" customHeight="1" x14ac:dyDescent="0.35">
      <c r="A687" s="174">
        <f t="shared" si="139"/>
        <v>9</v>
      </c>
      <c r="B687" s="174"/>
      <c r="C687" s="127" t="s">
        <v>200</v>
      </c>
      <c r="D687" s="127">
        <f t="shared" si="137"/>
        <v>359.17315200000002</v>
      </c>
      <c r="E687" s="127">
        <v>0</v>
      </c>
      <c r="F687" s="127">
        <f t="shared" ref="F687:F690" si="141">D687*(($F$422)+1)+(IF(E687&lt;101,E687,IF(E687&lt;201,E687/2,IF(E687&lt;=301,E687/3,E687/4))))</f>
        <v>538.759728</v>
      </c>
      <c r="G687" s="174"/>
      <c r="H687" s="174"/>
      <c r="I687" s="38"/>
      <c r="N687" s="38"/>
    </row>
    <row r="688" spans="1:14" s="107" customFormat="1" ht="15.75" customHeight="1" x14ac:dyDescent="0.35">
      <c r="A688" s="174">
        <f t="shared" si="139"/>
        <v>10</v>
      </c>
      <c r="B688" s="174"/>
      <c r="C688" s="127" t="s">
        <v>200</v>
      </c>
      <c r="D688" s="127">
        <f t="shared" si="137"/>
        <v>359.17315200000002</v>
      </c>
      <c r="E688" s="127">
        <v>0</v>
      </c>
      <c r="F688" s="127">
        <f t="shared" si="141"/>
        <v>538.759728</v>
      </c>
      <c r="G688" s="174"/>
      <c r="H688" s="174"/>
      <c r="I688" s="38"/>
      <c r="N688" s="38"/>
    </row>
    <row r="689" spans="1:14" s="107" customFormat="1" ht="15.75" customHeight="1" x14ac:dyDescent="0.35">
      <c r="A689" s="174">
        <f t="shared" si="139"/>
        <v>11</v>
      </c>
      <c r="B689" s="174"/>
      <c r="C689" s="127" t="s">
        <v>200</v>
      </c>
      <c r="D689" s="127">
        <f t="shared" si="137"/>
        <v>359.17315200000002</v>
      </c>
      <c r="E689" s="127">
        <v>0</v>
      </c>
      <c r="F689" s="127">
        <f t="shared" si="141"/>
        <v>538.759728</v>
      </c>
      <c r="G689" s="174"/>
      <c r="H689" s="174"/>
      <c r="I689" s="38"/>
      <c r="N689" s="38"/>
    </row>
    <row r="690" spans="1:14" s="107" customFormat="1" ht="15.75" customHeight="1" x14ac:dyDescent="0.35">
      <c r="A690" s="174">
        <f t="shared" si="139"/>
        <v>12</v>
      </c>
      <c r="B690" s="174"/>
      <c r="C690" s="127" t="s">
        <v>200</v>
      </c>
      <c r="D690" s="127">
        <f t="shared" si="137"/>
        <v>359.17315200000002</v>
      </c>
      <c r="E690" s="127">
        <v>0</v>
      </c>
      <c r="F690" s="127">
        <f t="shared" si="141"/>
        <v>538.759728</v>
      </c>
      <c r="G690" s="174"/>
      <c r="H690" s="174"/>
      <c r="I690" s="38"/>
      <c r="N690" s="38"/>
    </row>
    <row r="691" spans="1:14" s="107" customFormat="1" ht="15.75" customHeight="1" x14ac:dyDescent="0.35">
      <c r="A691" s="174">
        <f t="shared" si="139"/>
        <v>13</v>
      </c>
      <c r="B691" s="174"/>
      <c r="C691" s="127" t="s">
        <v>200</v>
      </c>
      <c r="D691" s="127">
        <f t="shared" si="137"/>
        <v>359.17315200000002</v>
      </c>
      <c r="E691" s="127">
        <v>0</v>
      </c>
      <c r="F691" s="127">
        <f>D691*(($F$422)+1)+(IF(E691&lt;101,E691,IF(E691&lt;201,E691/2,IF(E691&lt;=301,E691/3,E691/4))))</f>
        <v>538.759728</v>
      </c>
      <c r="G691" s="174"/>
      <c r="H691" s="174"/>
      <c r="I691" s="38"/>
      <c r="N691" s="38"/>
    </row>
    <row r="692" spans="1:14" s="107" customFormat="1" ht="15.75" customHeight="1" x14ac:dyDescent="0.35">
      <c r="A692" s="174">
        <f t="shared" si="139"/>
        <v>14</v>
      </c>
      <c r="B692" s="174"/>
      <c r="C692" s="127" t="s">
        <v>200</v>
      </c>
      <c r="D692" s="127">
        <f t="shared" si="137"/>
        <v>359.17315200000002</v>
      </c>
      <c r="E692" s="127">
        <v>0</v>
      </c>
      <c r="F692" s="127">
        <f t="shared" ref="F692" si="142">D692*(($F$422)+1)+(IF(E692&lt;101,E692,IF(E692&lt;201,E692/2,IF(E692&lt;=301,E692/3,E692/4))))</f>
        <v>538.759728</v>
      </c>
      <c r="G692" s="174"/>
      <c r="H692" s="174"/>
      <c r="I692" s="38"/>
      <c r="N692" s="38"/>
    </row>
    <row r="693" spans="1:14" s="107" customFormat="1" ht="15.75" customHeight="1" x14ac:dyDescent="0.35">
      <c r="A693" s="174">
        <f t="shared" si="139"/>
        <v>15</v>
      </c>
      <c r="B693" s="174"/>
      <c r="C693" s="127" t="s">
        <v>200</v>
      </c>
      <c r="D693" s="127">
        <f t="shared" si="137"/>
        <v>359.17315200000002</v>
      </c>
      <c r="E693" s="127">
        <v>0</v>
      </c>
      <c r="F693" s="127">
        <f>D693*(($F$422)+1)+(IF(E693&lt;101,E693,IF(E693&lt;201,E693/2,IF(E693&lt;=301,E693/3,E693/4))))</f>
        <v>538.759728</v>
      </c>
      <c r="G693" s="174"/>
      <c r="H693" s="174"/>
      <c r="I693" s="38"/>
      <c r="N693" s="38"/>
    </row>
    <row r="694" spans="1:14" s="107" customFormat="1" ht="15.75" customHeight="1" x14ac:dyDescent="0.35">
      <c r="A694" s="174">
        <f t="shared" si="139"/>
        <v>16</v>
      </c>
      <c r="B694" s="174"/>
      <c r="C694" s="127" t="s">
        <v>200</v>
      </c>
      <c r="D694" s="127">
        <f t="shared" si="137"/>
        <v>359.17315200000002</v>
      </c>
      <c r="E694" s="127">
        <v>0</v>
      </c>
      <c r="F694" s="127">
        <f t="shared" ref="F694:F695" si="143">D694*(($F$422)+1)+(IF(E694&lt;101,E694,IF(E694&lt;201,E694/2,IF(E694&lt;=301,E694/3,E694/4))))</f>
        <v>538.759728</v>
      </c>
      <c r="G694" s="174"/>
      <c r="H694" s="174"/>
      <c r="I694" s="38"/>
      <c r="N694" s="38"/>
    </row>
    <row r="695" spans="1:14" s="107" customFormat="1" ht="15.75" customHeight="1" x14ac:dyDescent="0.35">
      <c r="A695" s="174">
        <f t="shared" si="139"/>
        <v>17</v>
      </c>
      <c r="B695" s="174"/>
      <c r="C695" s="127" t="s">
        <v>200</v>
      </c>
      <c r="D695" s="127">
        <f t="shared" si="137"/>
        <v>359.17315200000002</v>
      </c>
      <c r="E695" s="127">
        <v>0</v>
      </c>
      <c r="F695" s="127">
        <f t="shared" si="143"/>
        <v>538.759728</v>
      </c>
      <c r="G695" s="174"/>
      <c r="H695" s="174"/>
      <c r="I695" s="38"/>
      <c r="N695" s="38"/>
    </row>
    <row r="696" spans="1:14" s="107" customFormat="1" ht="15.75" customHeight="1" x14ac:dyDescent="0.35">
      <c r="A696" s="174">
        <f t="shared" si="139"/>
        <v>18</v>
      </c>
      <c r="B696" s="174"/>
      <c r="C696" s="127" t="s">
        <v>200</v>
      </c>
      <c r="D696" s="127">
        <f t="shared" si="137"/>
        <v>359.17315200000002</v>
      </c>
      <c r="E696" s="127">
        <v>0</v>
      </c>
      <c r="F696" s="127">
        <f>D696*(($F$422)+1)+(IF(E696&lt;101,E696,IF(E696&lt;201,E696/2,IF(E696&lt;=301,E696/3,E696/4))))</f>
        <v>538.759728</v>
      </c>
      <c r="G696" s="174"/>
      <c r="H696" s="174"/>
      <c r="I696" s="38"/>
      <c r="N696" s="38"/>
    </row>
    <row r="697" spans="1:14" s="107" customFormat="1" ht="15.75" customHeight="1" x14ac:dyDescent="0.35">
      <c r="A697" s="174">
        <f t="shared" si="139"/>
        <v>19</v>
      </c>
      <c r="B697" s="174"/>
      <c r="C697" s="127" t="s">
        <v>200</v>
      </c>
      <c r="D697" s="127">
        <f t="shared" si="137"/>
        <v>359.17315200000002</v>
      </c>
      <c r="E697" s="127">
        <v>0</v>
      </c>
      <c r="F697" s="127">
        <f t="shared" ref="F697:F701" si="144">D697*(($F$422)+1)+(IF(E697&lt;101,E697,IF(E697&lt;201,E697/2,IF(E697&lt;=301,E697/3,E697/4))))</f>
        <v>538.759728</v>
      </c>
      <c r="G697" s="174"/>
      <c r="H697" s="174"/>
      <c r="I697" s="38"/>
      <c r="N697" s="38"/>
    </row>
    <row r="698" spans="1:14" s="107" customFormat="1" ht="15.75" customHeight="1" x14ac:dyDescent="0.35">
      <c r="A698" s="174">
        <f t="shared" si="139"/>
        <v>20</v>
      </c>
      <c r="B698" s="174"/>
      <c r="C698" s="127" t="s">
        <v>200</v>
      </c>
      <c r="D698" s="127">
        <f t="shared" si="137"/>
        <v>359.17315200000002</v>
      </c>
      <c r="E698" s="127">
        <v>0</v>
      </c>
      <c r="F698" s="127">
        <f t="shared" si="144"/>
        <v>538.759728</v>
      </c>
      <c r="G698" s="174"/>
      <c r="H698" s="174"/>
      <c r="I698" s="38"/>
      <c r="N698" s="38"/>
    </row>
    <row r="699" spans="1:14" s="107" customFormat="1" ht="15.75" customHeight="1" x14ac:dyDescent="0.35">
      <c r="A699" s="174">
        <f t="shared" si="139"/>
        <v>21</v>
      </c>
      <c r="B699" s="174"/>
      <c r="C699" s="127" t="s">
        <v>200</v>
      </c>
      <c r="D699" s="127">
        <f t="shared" si="137"/>
        <v>359.17315200000002</v>
      </c>
      <c r="E699" s="127">
        <v>0</v>
      </c>
      <c r="F699" s="127">
        <f t="shared" si="144"/>
        <v>538.759728</v>
      </c>
      <c r="G699" s="174"/>
      <c r="H699" s="174"/>
      <c r="I699" s="38"/>
      <c r="N699" s="38"/>
    </row>
    <row r="700" spans="1:14" s="107" customFormat="1" ht="15.75" customHeight="1" x14ac:dyDescent="0.35">
      <c r="A700" s="174">
        <f t="shared" si="139"/>
        <v>22</v>
      </c>
      <c r="B700" s="174"/>
      <c r="C700" s="127" t="s">
        <v>200</v>
      </c>
      <c r="D700" s="127">
        <f t="shared" si="137"/>
        <v>359.17315200000002</v>
      </c>
      <c r="E700" s="127">
        <v>0</v>
      </c>
      <c r="F700" s="127">
        <f t="shared" si="144"/>
        <v>538.759728</v>
      </c>
      <c r="G700" s="174"/>
      <c r="H700" s="174"/>
      <c r="I700" s="38"/>
      <c r="N700" s="38"/>
    </row>
    <row r="701" spans="1:14" s="107" customFormat="1" ht="15.75" customHeight="1" x14ac:dyDescent="0.35">
      <c r="A701" s="174">
        <f t="shared" si="139"/>
        <v>23</v>
      </c>
      <c r="B701" s="174"/>
      <c r="C701" s="127" t="s">
        <v>200</v>
      </c>
      <c r="D701" s="127">
        <f t="shared" si="137"/>
        <v>359.17315200000002</v>
      </c>
      <c r="E701" s="127">
        <v>0</v>
      </c>
      <c r="F701" s="127">
        <f t="shared" si="144"/>
        <v>538.759728</v>
      </c>
      <c r="G701" s="174"/>
      <c r="H701" s="174"/>
      <c r="I701" s="38"/>
      <c r="N701" s="38"/>
    </row>
    <row r="702" spans="1:14" s="107" customFormat="1" ht="15.75" customHeight="1" x14ac:dyDescent="0.35">
      <c r="A702" s="174">
        <f t="shared" si="139"/>
        <v>24</v>
      </c>
      <c r="B702" s="174"/>
      <c r="C702" s="127" t="s">
        <v>200</v>
      </c>
      <c r="D702" s="127">
        <f t="shared" si="137"/>
        <v>359.17315200000002</v>
      </c>
      <c r="E702" s="127">
        <v>0</v>
      </c>
      <c r="F702" s="127">
        <f>D702*(($F$422)+1)+(IF(E702&lt;101,E702,IF(E702&lt;201,E702/2,IF(E702&lt;=301,E702/3,E702/4))))</f>
        <v>538.759728</v>
      </c>
      <c r="G702" s="174"/>
      <c r="H702" s="174"/>
      <c r="I702" s="38"/>
      <c r="N702" s="38"/>
    </row>
    <row r="703" spans="1:14" s="107" customFormat="1" ht="15.75" customHeight="1" x14ac:dyDescent="0.35">
      <c r="A703" s="174">
        <f t="shared" si="139"/>
        <v>25</v>
      </c>
      <c r="B703" s="174"/>
      <c r="C703" s="127" t="s">
        <v>200</v>
      </c>
      <c r="D703" s="127">
        <f t="shared" si="137"/>
        <v>359.17315200000002</v>
      </c>
      <c r="E703" s="127">
        <v>0</v>
      </c>
      <c r="F703" s="127">
        <f t="shared" ref="F703:F707" si="145">D703*(($F$422)+1)+(IF(E703&lt;101,E703,IF(E703&lt;201,E703/2,IF(E703&lt;=301,E703/3,E703/4))))</f>
        <v>538.759728</v>
      </c>
      <c r="G703" s="174"/>
      <c r="H703" s="174"/>
      <c r="I703" s="38"/>
      <c r="N703" s="38"/>
    </row>
    <row r="704" spans="1:14" s="107" customFormat="1" ht="15.75" customHeight="1" x14ac:dyDescent="0.35">
      <c r="A704" s="174">
        <f t="shared" si="139"/>
        <v>26</v>
      </c>
      <c r="B704" s="174"/>
      <c r="C704" s="127" t="s">
        <v>200</v>
      </c>
      <c r="D704" s="127">
        <f t="shared" si="137"/>
        <v>359.17315200000002</v>
      </c>
      <c r="E704" s="127">
        <v>0</v>
      </c>
      <c r="F704" s="127">
        <f t="shared" si="145"/>
        <v>538.759728</v>
      </c>
      <c r="G704" s="174"/>
      <c r="H704" s="174"/>
      <c r="I704" s="38"/>
      <c r="N704" s="38"/>
    </row>
    <row r="705" spans="1:14" s="107" customFormat="1" ht="15.75" customHeight="1" x14ac:dyDescent="0.35">
      <c r="A705" s="174">
        <f t="shared" si="139"/>
        <v>27</v>
      </c>
      <c r="B705" s="174"/>
      <c r="C705" s="127" t="s">
        <v>200</v>
      </c>
      <c r="D705" s="127">
        <f t="shared" si="137"/>
        <v>359.17315200000002</v>
      </c>
      <c r="E705" s="127">
        <v>0</v>
      </c>
      <c r="F705" s="127">
        <f t="shared" si="145"/>
        <v>538.759728</v>
      </c>
      <c r="G705" s="174"/>
      <c r="H705" s="174"/>
      <c r="I705" s="38"/>
      <c r="N705" s="38"/>
    </row>
    <row r="706" spans="1:14" s="107" customFormat="1" ht="15.75" customHeight="1" x14ac:dyDescent="0.35">
      <c r="A706" s="174">
        <f t="shared" si="139"/>
        <v>28</v>
      </c>
      <c r="B706" s="174"/>
      <c r="C706" s="127" t="s">
        <v>200</v>
      </c>
      <c r="D706" s="127">
        <f t="shared" si="137"/>
        <v>359.17315200000002</v>
      </c>
      <c r="E706" s="127">
        <v>0</v>
      </c>
      <c r="F706" s="127">
        <f t="shared" si="145"/>
        <v>538.759728</v>
      </c>
      <c r="G706" s="174"/>
      <c r="H706" s="174"/>
      <c r="I706" s="38"/>
      <c r="N706" s="38"/>
    </row>
    <row r="707" spans="1:14" s="107" customFormat="1" ht="15.75" customHeight="1" x14ac:dyDescent="0.35">
      <c r="A707" s="174">
        <f t="shared" si="139"/>
        <v>29</v>
      </c>
      <c r="B707" s="174"/>
      <c r="C707" s="127" t="s">
        <v>200</v>
      </c>
      <c r="D707" s="127">
        <f t="shared" si="137"/>
        <v>359.17315200000002</v>
      </c>
      <c r="E707" s="127">
        <v>0</v>
      </c>
      <c r="F707" s="127">
        <f t="shared" si="145"/>
        <v>538.759728</v>
      </c>
      <c r="G707" s="174"/>
      <c r="H707" s="174"/>
      <c r="I707" s="38"/>
      <c r="N707" s="38"/>
    </row>
    <row r="708" spans="1:14" s="107" customFormat="1" ht="15.75" customHeight="1" x14ac:dyDescent="0.35">
      <c r="A708" s="174">
        <f t="shared" si="139"/>
        <v>30</v>
      </c>
      <c r="B708" s="174"/>
      <c r="C708" s="127" t="s">
        <v>200</v>
      </c>
      <c r="D708" s="127">
        <f t="shared" si="137"/>
        <v>359.17315200000002</v>
      </c>
      <c r="E708" s="127">
        <v>0</v>
      </c>
      <c r="F708" s="127">
        <f>D708*(($F$422)+1)+(IF(E708&lt;101,E708,IF(E708&lt;201,E708/2,IF(E708&lt;=301,E708/3,E708/4))))</f>
        <v>538.759728</v>
      </c>
      <c r="G708" s="174"/>
      <c r="H708" s="174"/>
      <c r="I708" s="38"/>
      <c r="N708" s="38"/>
    </row>
    <row r="709" spans="1:14" s="107" customFormat="1" ht="15.75" customHeight="1" x14ac:dyDescent="0.35">
      <c r="A709" s="174">
        <f t="shared" si="139"/>
        <v>31</v>
      </c>
      <c r="B709" s="174"/>
      <c r="C709" s="127" t="s">
        <v>200</v>
      </c>
      <c r="D709" s="127">
        <f t="shared" si="137"/>
        <v>359.17315200000002</v>
      </c>
      <c r="E709" s="127">
        <v>0</v>
      </c>
      <c r="F709" s="127">
        <f t="shared" ref="F709:F713" si="146">D709*(($F$422)+1)+(IF(E709&lt;101,E709,IF(E709&lt;201,E709/2,IF(E709&lt;=301,E709/3,E709/4))))</f>
        <v>538.759728</v>
      </c>
      <c r="G709" s="174"/>
      <c r="H709" s="174"/>
      <c r="I709" s="38"/>
      <c r="N709" s="38"/>
    </row>
    <row r="710" spans="1:14" s="107" customFormat="1" ht="15.75" customHeight="1" x14ac:dyDescent="0.35">
      <c r="A710" s="174">
        <f t="shared" si="139"/>
        <v>32</v>
      </c>
      <c r="B710" s="174"/>
      <c r="C710" s="127" t="s">
        <v>200</v>
      </c>
      <c r="D710" s="127">
        <f t="shared" si="137"/>
        <v>359.17315200000002</v>
      </c>
      <c r="E710" s="127">
        <v>0</v>
      </c>
      <c r="F710" s="127">
        <f t="shared" si="146"/>
        <v>538.759728</v>
      </c>
      <c r="G710" s="174"/>
      <c r="H710" s="174"/>
      <c r="I710" s="38"/>
      <c r="N710" s="38"/>
    </row>
    <row r="711" spans="1:14" s="107" customFormat="1" ht="15.75" customHeight="1" x14ac:dyDescent="0.35">
      <c r="A711" s="174">
        <f t="shared" si="139"/>
        <v>33</v>
      </c>
      <c r="B711" s="174"/>
      <c r="C711" s="127" t="s">
        <v>200</v>
      </c>
      <c r="D711" s="127">
        <f t="shared" si="137"/>
        <v>359.17315200000002</v>
      </c>
      <c r="E711" s="127">
        <v>0</v>
      </c>
      <c r="F711" s="127">
        <f t="shared" si="146"/>
        <v>538.759728</v>
      </c>
      <c r="G711" s="174"/>
      <c r="H711" s="174"/>
      <c r="I711" s="38"/>
      <c r="N711" s="38"/>
    </row>
    <row r="712" spans="1:14" s="107" customFormat="1" ht="15.75" customHeight="1" x14ac:dyDescent="0.35">
      <c r="A712" s="174">
        <f t="shared" si="139"/>
        <v>34</v>
      </c>
      <c r="B712" s="174"/>
      <c r="C712" s="127" t="s">
        <v>200</v>
      </c>
      <c r="D712" s="127">
        <f t="shared" si="137"/>
        <v>359.17315200000002</v>
      </c>
      <c r="E712" s="127">
        <v>0</v>
      </c>
      <c r="F712" s="127">
        <f t="shared" si="146"/>
        <v>538.759728</v>
      </c>
      <c r="G712" s="174"/>
      <c r="H712" s="174"/>
      <c r="I712" s="38"/>
      <c r="N712" s="38"/>
    </row>
    <row r="713" spans="1:14" s="107" customFormat="1" ht="15.75" customHeight="1" x14ac:dyDescent="0.35">
      <c r="A713" s="174">
        <f t="shared" si="139"/>
        <v>35</v>
      </c>
      <c r="B713" s="174"/>
      <c r="C713" s="127" t="s">
        <v>200</v>
      </c>
      <c r="D713" s="127">
        <f t="shared" si="137"/>
        <v>359.17315200000002</v>
      </c>
      <c r="E713" s="127">
        <v>0</v>
      </c>
      <c r="F713" s="127">
        <f t="shared" si="146"/>
        <v>538.759728</v>
      </c>
      <c r="G713" s="174"/>
      <c r="H713" s="174"/>
      <c r="I713" s="38"/>
      <c r="N713" s="38"/>
    </row>
    <row r="714" spans="1:14" s="107" customFormat="1" ht="15.75" customHeight="1" x14ac:dyDescent="0.35">
      <c r="A714" s="174">
        <f t="shared" si="139"/>
        <v>36</v>
      </c>
      <c r="B714" s="174"/>
      <c r="C714" s="127" t="s">
        <v>200</v>
      </c>
      <c r="D714" s="127">
        <f t="shared" si="137"/>
        <v>359.17315200000002</v>
      </c>
      <c r="E714" s="127">
        <v>0</v>
      </c>
      <c r="F714" s="127">
        <f>D714*(($F$422)+1)+(IF(E714&lt;101,E714,IF(E714&lt;201,E714/2,IF(E714&lt;=301,E714/3,E714/4))))</f>
        <v>538.759728</v>
      </c>
      <c r="G714" s="174"/>
      <c r="H714" s="174"/>
      <c r="I714" s="38"/>
      <c r="N714" s="38"/>
    </row>
    <row r="715" spans="1:14" s="107" customFormat="1" x14ac:dyDescent="0.35">
      <c r="A715" s="183" t="s">
        <v>173</v>
      </c>
      <c r="B715" s="183"/>
      <c r="C715" s="183"/>
      <c r="D715" s="183"/>
      <c r="E715" s="183"/>
      <c r="F715" s="183"/>
      <c r="G715" s="183"/>
      <c r="H715" s="183"/>
      <c r="I715" s="38"/>
      <c r="L715" s="182"/>
      <c r="M715" s="182"/>
    </row>
    <row r="716" spans="1:14" s="107" customFormat="1" ht="15.75" customHeight="1" x14ac:dyDescent="0.35">
      <c r="A716" s="174">
        <v>1</v>
      </c>
      <c r="B716" s="174"/>
      <c r="C716" s="123" t="s">
        <v>200</v>
      </c>
      <c r="D716" s="123">
        <f t="shared" si="137"/>
        <v>359.17315200000002</v>
      </c>
      <c r="E716" s="123">
        <v>0</v>
      </c>
      <c r="F716" s="123">
        <f t="shared" ref="F716:F717" si="147">D716*(($F$422)+1)+(IF(E716&lt;101,E716,IF(E716&lt;201,E716/2,IF(E716&lt;=301,E716/3,E716/4))))</f>
        <v>538.759728</v>
      </c>
      <c r="G716" s="174" t="str">
        <f>A715</f>
        <v>8th, 12th, 16th &amp; 20th Floor (Part refuge area)</v>
      </c>
      <c r="H716" s="174"/>
      <c r="I716" s="38">
        <f>2.44*2.9+1.68*2.24+2.42*3.13+0.95*1.22+1.14*1.84+0.9*2.1</f>
        <v>23.560399999999998</v>
      </c>
      <c r="N716" s="38"/>
    </row>
    <row r="717" spans="1:14" s="107" customFormat="1" ht="15.75" customHeight="1" x14ac:dyDescent="0.35">
      <c r="A717" s="174">
        <f t="shared" ref="A717:A751" si="148">A716+1</f>
        <v>2</v>
      </c>
      <c r="B717" s="174"/>
      <c r="C717" s="123" t="s">
        <v>200</v>
      </c>
      <c r="D717" s="123">
        <f t="shared" si="137"/>
        <v>359.17315200000002</v>
      </c>
      <c r="E717" s="123">
        <v>0</v>
      </c>
      <c r="F717" s="123">
        <f t="shared" si="147"/>
        <v>538.759728</v>
      </c>
      <c r="G717" s="174"/>
      <c r="H717" s="174"/>
      <c r="I717" s="38"/>
      <c r="N717" s="38"/>
    </row>
    <row r="718" spans="1:14" s="107" customFormat="1" ht="15.75" customHeight="1" x14ac:dyDescent="0.35">
      <c r="A718" s="174">
        <f t="shared" si="148"/>
        <v>3</v>
      </c>
      <c r="B718" s="174"/>
      <c r="C718" s="123" t="s">
        <v>200</v>
      </c>
      <c r="D718" s="123">
        <f t="shared" si="137"/>
        <v>359.17315200000002</v>
      </c>
      <c r="E718" s="123">
        <v>0</v>
      </c>
      <c r="F718" s="123">
        <f>D718*(($F$422)+1)+(IF(E718&lt;101,E718,IF(E718&lt;201,E718/2,IF(E718&lt;=301,E718/3,E718/4))))</f>
        <v>538.759728</v>
      </c>
      <c r="G718" s="174"/>
      <c r="H718" s="174"/>
      <c r="I718" s="38"/>
      <c r="N718" s="38"/>
    </row>
    <row r="719" spans="1:14" s="107" customFormat="1" ht="15.75" customHeight="1" x14ac:dyDescent="0.35">
      <c r="A719" s="174">
        <f t="shared" si="148"/>
        <v>4</v>
      </c>
      <c r="B719" s="174"/>
      <c r="C719" s="123" t="s">
        <v>200</v>
      </c>
      <c r="D719" s="123">
        <f t="shared" si="137"/>
        <v>359.17315200000002</v>
      </c>
      <c r="E719" s="123">
        <v>0</v>
      </c>
      <c r="F719" s="123">
        <f t="shared" ref="F719:F722" si="149">D719*(($F$422)+1)+(IF(E719&lt;101,E719,IF(E719&lt;201,E719/2,IF(E719&lt;=301,E719/3,E719/4))))</f>
        <v>538.759728</v>
      </c>
      <c r="G719" s="174"/>
      <c r="H719" s="174"/>
      <c r="I719" s="38"/>
      <c r="N719" s="38"/>
    </row>
    <row r="720" spans="1:14" s="107" customFormat="1" ht="15.75" customHeight="1" x14ac:dyDescent="0.35">
      <c r="A720" s="174">
        <f t="shared" si="148"/>
        <v>5</v>
      </c>
      <c r="B720" s="174"/>
      <c r="C720" s="174" t="s">
        <v>172</v>
      </c>
      <c r="D720" s="174"/>
      <c r="E720" s="174"/>
      <c r="F720" s="174"/>
      <c r="G720" s="174"/>
      <c r="H720" s="174"/>
      <c r="I720" s="38"/>
      <c r="N720" s="38"/>
    </row>
    <row r="721" spans="1:14" s="107" customFormat="1" ht="15.75" customHeight="1" x14ac:dyDescent="0.35">
      <c r="A721" s="174">
        <f t="shared" si="148"/>
        <v>6</v>
      </c>
      <c r="B721" s="174"/>
      <c r="C721" s="174"/>
      <c r="D721" s="174"/>
      <c r="E721" s="174"/>
      <c r="F721" s="174"/>
      <c r="G721" s="174"/>
      <c r="H721" s="174"/>
      <c r="I721" s="38"/>
      <c r="N721" s="38"/>
    </row>
    <row r="722" spans="1:14" s="107" customFormat="1" ht="15.75" customHeight="1" x14ac:dyDescent="0.35">
      <c r="A722" s="174">
        <f t="shared" si="148"/>
        <v>7</v>
      </c>
      <c r="B722" s="174"/>
      <c r="C722" s="123" t="s">
        <v>200</v>
      </c>
      <c r="D722" s="123">
        <f t="shared" si="137"/>
        <v>359.17315200000002</v>
      </c>
      <c r="E722" s="123">
        <v>0</v>
      </c>
      <c r="F722" s="123">
        <f t="shared" si="149"/>
        <v>538.759728</v>
      </c>
      <c r="G722" s="174"/>
      <c r="H722" s="174"/>
      <c r="I722" s="38"/>
      <c r="N722" s="38"/>
    </row>
    <row r="723" spans="1:14" s="107" customFormat="1" ht="15.75" customHeight="1" x14ac:dyDescent="0.35">
      <c r="A723" s="174">
        <f t="shared" si="148"/>
        <v>8</v>
      </c>
      <c r="B723" s="174"/>
      <c r="C723" s="123" t="s">
        <v>200</v>
      </c>
      <c r="D723" s="123">
        <f t="shared" si="137"/>
        <v>359.17315200000002</v>
      </c>
      <c r="E723" s="123">
        <v>0</v>
      </c>
      <c r="F723" s="123">
        <f>D723*(($F$422)+1)+(IF(E723&lt;101,E723,IF(E723&lt;201,E723/2,IF(E723&lt;=301,E723/3,E723/4))))</f>
        <v>538.759728</v>
      </c>
      <c r="G723" s="174"/>
      <c r="H723" s="174"/>
      <c r="I723" s="38"/>
      <c r="N723" s="38"/>
    </row>
    <row r="724" spans="1:14" s="107" customFormat="1" ht="15.75" customHeight="1" x14ac:dyDescent="0.35">
      <c r="A724" s="174">
        <f t="shared" si="148"/>
        <v>9</v>
      </c>
      <c r="B724" s="174"/>
      <c r="C724" s="123" t="s">
        <v>200</v>
      </c>
      <c r="D724" s="123">
        <f t="shared" si="137"/>
        <v>359.17315200000002</v>
      </c>
      <c r="E724" s="123">
        <v>0</v>
      </c>
      <c r="F724" s="123">
        <f t="shared" ref="F724:F727" si="150">D724*(($F$422)+1)+(IF(E724&lt;101,E724,IF(E724&lt;201,E724/2,IF(E724&lt;=301,E724/3,E724/4))))</f>
        <v>538.759728</v>
      </c>
      <c r="G724" s="174"/>
      <c r="H724" s="174"/>
      <c r="I724" s="38"/>
      <c r="N724" s="38"/>
    </row>
    <row r="725" spans="1:14" s="107" customFormat="1" ht="15.75" customHeight="1" x14ac:dyDescent="0.35">
      <c r="A725" s="174">
        <f t="shared" si="148"/>
        <v>10</v>
      </c>
      <c r="B725" s="174"/>
      <c r="C725" s="123" t="s">
        <v>200</v>
      </c>
      <c r="D725" s="123">
        <f t="shared" si="137"/>
        <v>359.17315200000002</v>
      </c>
      <c r="E725" s="123">
        <v>0</v>
      </c>
      <c r="F725" s="123">
        <f t="shared" si="150"/>
        <v>538.759728</v>
      </c>
      <c r="G725" s="174"/>
      <c r="H725" s="174"/>
      <c r="I725" s="38"/>
      <c r="N725" s="38"/>
    </row>
    <row r="726" spans="1:14" s="107" customFormat="1" ht="15.75" customHeight="1" x14ac:dyDescent="0.35">
      <c r="A726" s="174">
        <f t="shared" si="148"/>
        <v>11</v>
      </c>
      <c r="B726" s="174"/>
      <c r="C726" s="123" t="s">
        <v>200</v>
      </c>
      <c r="D726" s="123">
        <f t="shared" si="137"/>
        <v>359.17315200000002</v>
      </c>
      <c r="E726" s="123">
        <v>0</v>
      </c>
      <c r="F726" s="123">
        <f t="shared" si="150"/>
        <v>538.759728</v>
      </c>
      <c r="G726" s="174"/>
      <c r="H726" s="174"/>
      <c r="I726" s="38"/>
      <c r="N726" s="38"/>
    </row>
    <row r="727" spans="1:14" s="107" customFormat="1" ht="15.75" customHeight="1" x14ac:dyDescent="0.35">
      <c r="A727" s="174">
        <f t="shared" si="148"/>
        <v>12</v>
      </c>
      <c r="B727" s="174"/>
      <c r="C727" s="123" t="s">
        <v>200</v>
      </c>
      <c r="D727" s="123">
        <f t="shared" si="137"/>
        <v>359.17315200000002</v>
      </c>
      <c r="E727" s="123">
        <v>0</v>
      </c>
      <c r="F727" s="123">
        <f t="shared" si="150"/>
        <v>538.759728</v>
      </c>
      <c r="G727" s="174"/>
      <c r="H727" s="174"/>
      <c r="I727" s="38"/>
      <c r="N727" s="38"/>
    </row>
    <row r="728" spans="1:14" s="107" customFormat="1" ht="15.75" customHeight="1" x14ac:dyDescent="0.35">
      <c r="A728" s="174">
        <f t="shared" si="148"/>
        <v>13</v>
      </c>
      <c r="B728" s="174"/>
      <c r="C728" s="123" t="s">
        <v>200</v>
      </c>
      <c r="D728" s="123">
        <f t="shared" si="137"/>
        <v>359.17315200000002</v>
      </c>
      <c r="E728" s="123">
        <v>0</v>
      </c>
      <c r="F728" s="123">
        <f>D728*(($F$422)+1)+(IF(E728&lt;101,E728,IF(E728&lt;201,E728/2,IF(E728&lt;=301,E728/3,E728/4))))</f>
        <v>538.759728</v>
      </c>
      <c r="G728" s="174"/>
      <c r="H728" s="174"/>
      <c r="I728" s="38"/>
      <c r="N728" s="38"/>
    </row>
    <row r="729" spans="1:14" s="107" customFormat="1" ht="15.75" customHeight="1" x14ac:dyDescent="0.35">
      <c r="A729" s="174">
        <f t="shared" si="148"/>
        <v>14</v>
      </c>
      <c r="B729" s="174"/>
      <c r="C729" s="123" t="s">
        <v>200</v>
      </c>
      <c r="D729" s="123">
        <f t="shared" si="137"/>
        <v>359.17315200000002</v>
      </c>
      <c r="E729" s="123">
        <v>0</v>
      </c>
      <c r="F729" s="123">
        <f t="shared" ref="F729" si="151">D729*(($F$422)+1)+(IF(E729&lt;101,E729,IF(E729&lt;201,E729/2,IF(E729&lt;=301,E729/3,E729/4))))</f>
        <v>538.759728</v>
      </c>
      <c r="G729" s="174"/>
      <c r="H729" s="174"/>
      <c r="I729" s="38"/>
      <c r="N729" s="38"/>
    </row>
    <row r="730" spans="1:14" s="107" customFormat="1" ht="15.75" customHeight="1" x14ac:dyDescent="0.35">
      <c r="A730" s="174">
        <f t="shared" si="148"/>
        <v>15</v>
      </c>
      <c r="B730" s="174"/>
      <c r="C730" s="123" t="s">
        <v>200</v>
      </c>
      <c r="D730" s="123">
        <f t="shared" si="137"/>
        <v>359.17315200000002</v>
      </c>
      <c r="E730" s="123">
        <v>0</v>
      </c>
      <c r="F730" s="123">
        <f>D730*(($F$422)+1)+(IF(E730&lt;101,E730,IF(E730&lt;201,E730/2,IF(E730&lt;=301,E730/3,E730/4))))</f>
        <v>538.759728</v>
      </c>
      <c r="G730" s="174"/>
      <c r="H730" s="174"/>
      <c r="I730" s="38"/>
      <c r="N730" s="38"/>
    </row>
    <row r="731" spans="1:14" s="107" customFormat="1" ht="15.75" customHeight="1" x14ac:dyDescent="0.35">
      <c r="A731" s="174">
        <f t="shared" si="148"/>
        <v>16</v>
      </c>
      <c r="B731" s="174"/>
      <c r="C731" s="123" t="s">
        <v>200</v>
      </c>
      <c r="D731" s="123">
        <f t="shared" si="137"/>
        <v>359.17315200000002</v>
      </c>
      <c r="E731" s="123">
        <v>0</v>
      </c>
      <c r="F731" s="123">
        <f t="shared" ref="F731:F732" si="152">D731*(($F$422)+1)+(IF(E731&lt;101,E731,IF(E731&lt;201,E731/2,IF(E731&lt;=301,E731/3,E731/4))))</f>
        <v>538.759728</v>
      </c>
      <c r="G731" s="174"/>
      <c r="H731" s="174"/>
      <c r="I731" s="38"/>
      <c r="N731" s="38"/>
    </row>
    <row r="732" spans="1:14" s="107" customFormat="1" ht="15.75" customHeight="1" x14ac:dyDescent="0.35">
      <c r="A732" s="174">
        <f t="shared" si="148"/>
        <v>17</v>
      </c>
      <c r="B732" s="174"/>
      <c r="C732" s="123" t="s">
        <v>200</v>
      </c>
      <c r="D732" s="123">
        <f t="shared" si="137"/>
        <v>359.17315200000002</v>
      </c>
      <c r="E732" s="123">
        <v>0</v>
      </c>
      <c r="F732" s="123">
        <f t="shared" si="152"/>
        <v>538.759728</v>
      </c>
      <c r="G732" s="174"/>
      <c r="H732" s="174"/>
      <c r="I732" s="38"/>
      <c r="N732" s="38"/>
    </row>
    <row r="733" spans="1:14" s="107" customFormat="1" ht="15.75" customHeight="1" x14ac:dyDescent="0.35">
      <c r="A733" s="174">
        <f t="shared" si="148"/>
        <v>18</v>
      </c>
      <c r="B733" s="174"/>
      <c r="C733" s="123" t="s">
        <v>200</v>
      </c>
      <c r="D733" s="123">
        <f t="shared" si="137"/>
        <v>359.17315200000002</v>
      </c>
      <c r="E733" s="123">
        <v>0</v>
      </c>
      <c r="F733" s="123">
        <f>D733*(($F$422)+1)+(IF(E733&lt;101,E733,IF(E733&lt;201,E733/2,IF(E733&lt;=301,E733/3,E733/4))))</f>
        <v>538.759728</v>
      </c>
      <c r="G733" s="174"/>
      <c r="H733" s="174"/>
      <c r="I733" s="38"/>
      <c r="N733" s="38"/>
    </row>
    <row r="734" spans="1:14" s="107" customFormat="1" ht="15.75" customHeight="1" x14ac:dyDescent="0.35">
      <c r="A734" s="174">
        <f t="shared" si="148"/>
        <v>19</v>
      </c>
      <c r="B734" s="174"/>
      <c r="C734" s="123" t="s">
        <v>200</v>
      </c>
      <c r="D734" s="123">
        <f t="shared" si="137"/>
        <v>359.17315200000002</v>
      </c>
      <c r="E734" s="123">
        <v>0</v>
      </c>
      <c r="F734" s="123">
        <f t="shared" ref="F734:F738" si="153">D734*(($F$422)+1)+(IF(E734&lt;101,E734,IF(E734&lt;201,E734/2,IF(E734&lt;=301,E734/3,E734/4))))</f>
        <v>538.759728</v>
      </c>
      <c r="G734" s="174"/>
      <c r="H734" s="174"/>
      <c r="I734" s="38"/>
      <c r="N734" s="38"/>
    </row>
    <row r="735" spans="1:14" s="107" customFormat="1" ht="15.75" customHeight="1" x14ac:dyDescent="0.35">
      <c r="A735" s="174">
        <f t="shared" si="148"/>
        <v>20</v>
      </c>
      <c r="B735" s="174"/>
      <c r="C735" s="123" t="s">
        <v>200</v>
      </c>
      <c r="D735" s="123">
        <f t="shared" si="137"/>
        <v>359.17315200000002</v>
      </c>
      <c r="E735" s="123">
        <v>0</v>
      </c>
      <c r="F735" s="123">
        <f t="shared" si="153"/>
        <v>538.759728</v>
      </c>
      <c r="G735" s="174"/>
      <c r="H735" s="174"/>
      <c r="I735" s="38"/>
      <c r="N735" s="38"/>
    </row>
    <row r="736" spans="1:14" s="107" customFormat="1" ht="15.75" customHeight="1" x14ac:dyDescent="0.35">
      <c r="A736" s="174">
        <f t="shared" si="148"/>
        <v>21</v>
      </c>
      <c r="B736" s="174"/>
      <c r="C736" s="123" t="s">
        <v>200</v>
      </c>
      <c r="D736" s="123">
        <f t="shared" si="137"/>
        <v>359.17315200000002</v>
      </c>
      <c r="E736" s="123">
        <v>0</v>
      </c>
      <c r="F736" s="123">
        <f t="shared" si="153"/>
        <v>538.759728</v>
      </c>
      <c r="G736" s="174"/>
      <c r="H736" s="174"/>
      <c r="I736" s="38"/>
      <c r="N736" s="38"/>
    </row>
    <row r="737" spans="1:14" s="107" customFormat="1" ht="15.75" customHeight="1" x14ac:dyDescent="0.35">
      <c r="A737" s="174">
        <f t="shared" si="148"/>
        <v>22</v>
      </c>
      <c r="B737" s="174"/>
      <c r="C737" s="174" t="s">
        <v>172</v>
      </c>
      <c r="D737" s="174"/>
      <c r="E737" s="174"/>
      <c r="F737" s="174"/>
      <c r="G737" s="174"/>
      <c r="H737" s="174"/>
      <c r="I737" s="38"/>
      <c r="N737" s="38"/>
    </row>
    <row r="738" spans="1:14" s="107" customFormat="1" ht="15.75" customHeight="1" x14ac:dyDescent="0.35">
      <c r="A738" s="174">
        <f t="shared" si="148"/>
        <v>23</v>
      </c>
      <c r="B738" s="174"/>
      <c r="C738" s="123" t="s">
        <v>200</v>
      </c>
      <c r="D738" s="123">
        <f t="shared" si="137"/>
        <v>359.17315200000002</v>
      </c>
      <c r="E738" s="123">
        <v>0</v>
      </c>
      <c r="F738" s="123">
        <f t="shared" si="153"/>
        <v>538.759728</v>
      </c>
      <c r="G738" s="174"/>
      <c r="H738" s="174"/>
      <c r="I738" s="38"/>
      <c r="N738" s="38"/>
    </row>
    <row r="739" spans="1:14" s="107" customFormat="1" ht="15.75" customHeight="1" x14ac:dyDescent="0.35">
      <c r="A739" s="174">
        <f t="shared" si="148"/>
        <v>24</v>
      </c>
      <c r="B739" s="174"/>
      <c r="C739" s="123" t="s">
        <v>200</v>
      </c>
      <c r="D739" s="123">
        <f t="shared" si="137"/>
        <v>359.17315200000002</v>
      </c>
      <c r="E739" s="123">
        <v>0</v>
      </c>
      <c r="F739" s="123">
        <f>D739*(($F$422)+1)+(IF(E739&lt;101,E739,IF(E739&lt;201,E739/2,IF(E739&lt;=301,E739/3,E739/4))))</f>
        <v>538.759728</v>
      </c>
      <c r="G739" s="174"/>
      <c r="H739" s="174"/>
      <c r="I739" s="38"/>
      <c r="N739" s="38"/>
    </row>
    <row r="740" spans="1:14" s="107" customFormat="1" ht="15.75" customHeight="1" x14ac:dyDescent="0.35">
      <c r="A740" s="174">
        <f t="shared" si="148"/>
        <v>25</v>
      </c>
      <c r="B740" s="174"/>
      <c r="C740" s="123" t="s">
        <v>200</v>
      </c>
      <c r="D740" s="123">
        <f t="shared" si="137"/>
        <v>359.17315200000002</v>
      </c>
      <c r="E740" s="123">
        <v>0</v>
      </c>
      <c r="F740" s="123">
        <f t="shared" ref="F740:F744" si="154">D740*(($F$422)+1)+(IF(E740&lt;101,E740,IF(E740&lt;201,E740/2,IF(E740&lt;=301,E740/3,E740/4))))</f>
        <v>538.759728</v>
      </c>
      <c r="G740" s="174"/>
      <c r="H740" s="174"/>
      <c r="I740" s="38"/>
      <c r="N740" s="38"/>
    </row>
    <row r="741" spans="1:14" s="107" customFormat="1" ht="15.75" customHeight="1" x14ac:dyDescent="0.35">
      <c r="A741" s="174">
        <f t="shared" si="148"/>
        <v>26</v>
      </c>
      <c r="B741" s="174"/>
      <c r="C741" s="123" t="s">
        <v>200</v>
      </c>
      <c r="D741" s="123">
        <f t="shared" si="137"/>
        <v>359.17315200000002</v>
      </c>
      <c r="E741" s="123">
        <v>0</v>
      </c>
      <c r="F741" s="123">
        <f t="shared" si="154"/>
        <v>538.759728</v>
      </c>
      <c r="G741" s="174"/>
      <c r="H741" s="174"/>
      <c r="I741" s="38"/>
      <c r="N741" s="38"/>
    </row>
    <row r="742" spans="1:14" s="107" customFormat="1" ht="15.75" customHeight="1" x14ac:dyDescent="0.35">
      <c r="A742" s="174">
        <f t="shared" si="148"/>
        <v>27</v>
      </c>
      <c r="B742" s="174"/>
      <c r="C742" s="123" t="s">
        <v>200</v>
      </c>
      <c r="D742" s="123">
        <f t="shared" si="137"/>
        <v>359.17315200000002</v>
      </c>
      <c r="E742" s="123">
        <v>0</v>
      </c>
      <c r="F742" s="123">
        <f t="shared" si="154"/>
        <v>538.759728</v>
      </c>
      <c r="G742" s="174"/>
      <c r="H742" s="174"/>
      <c r="I742" s="38"/>
      <c r="N742" s="38"/>
    </row>
    <row r="743" spans="1:14" s="107" customFormat="1" ht="15.75" customHeight="1" x14ac:dyDescent="0.35">
      <c r="A743" s="174">
        <f t="shared" si="148"/>
        <v>28</v>
      </c>
      <c r="B743" s="174"/>
      <c r="C743" s="123" t="s">
        <v>200</v>
      </c>
      <c r="D743" s="123">
        <f t="shared" ref="D743:D751" si="155">(23.69+1.8*(1.5+1.2)+0.6*1.68+3.16*0.75+1.2*1.2)*10.764</f>
        <v>359.17315200000002</v>
      </c>
      <c r="E743" s="123">
        <v>0</v>
      </c>
      <c r="F743" s="123">
        <f t="shared" si="154"/>
        <v>538.759728</v>
      </c>
      <c r="G743" s="174"/>
      <c r="H743" s="174"/>
      <c r="I743" s="38"/>
      <c r="N743" s="38"/>
    </row>
    <row r="744" spans="1:14" s="107" customFormat="1" ht="15.75" customHeight="1" x14ac:dyDescent="0.35">
      <c r="A744" s="174">
        <f t="shared" si="148"/>
        <v>29</v>
      </c>
      <c r="B744" s="174"/>
      <c r="C744" s="123" t="s">
        <v>200</v>
      </c>
      <c r="D744" s="123">
        <f t="shared" si="155"/>
        <v>359.17315200000002</v>
      </c>
      <c r="E744" s="123">
        <v>0</v>
      </c>
      <c r="F744" s="123">
        <f t="shared" si="154"/>
        <v>538.759728</v>
      </c>
      <c r="G744" s="174"/>
      <c r="H744" s="174"/>
      <c r="I744" s="38"/>
      <c r="N744" s="38"/>
    </row>
    <row r="745" spans="1:14" s="107" customFormat="1" ht="15.75" customHeight="1" x14ac:dyDescent="0.35">
      <c r="A745" s="174">
        <f t="shared" si="148"/>
        <v>30</v>
      </c>
      <c r="B745" s="174"/>
      <c r="C745" s="174" t="s">
        <v>172</v>
      </c>
      <c r="D745" s="174"/>
      <c r="E745" s="174"/>
      <c r="F745" s="174"/>
      <c r="G745" s="174"/>
      <c r="H745" s="174"/>
      <c r="I745" s="38"/>
      <c r="N745" s="38"/>
    </row>
    <row r="746" spans="1:14" s="107" customFormat="1" ht="15.75" customHeight="1" x14ac:dyDescent="0.35">
      <c r="A746" s="174">
        <f t="shared" si="148"/>
        <v>31</v>
      </c>
      <c r="B746" s="174"/>
      <c r="C746" s="123" t="s">
        <v>200</v>
      </c>
      <c r="D746" s="123">
        <f t="shared" si="155"/>
        <v>359.17315200000002</v>
      </c>
      <c r="E746" s="123">
        <v>0</v>
      </c>
      <c r="F746" s="123">
        <f t="shared" ref="F746:F750" si="156">D746*(($F$422)+1)+(IF(E746&lt;101,E746,IF(E746&lt;201,E746/2,IF(E746&lt;=301,E746/3,E746/4))))</f>
        <v>538.759728</v>
      </c>
      <c r="G746" s="174"/>
      <c r="H746" s="174"/>
      <c r="I746" s="38"/>
      <c r="N746" s="38"/>
    </row>
    <row r="747" spans="1:14" s="107" customFormat="1" ht="15.75" customHeight="1" x14ac:dyDescent="0.35">
      <c r="A747" s="174">
        <f t="shared" si="148"/>
        <v>32</v>
      </c>
      <c r="B747" s="174"/>
      <c r="C747" s="123" t="s">
        <v>200</v>
      </c>
      <c r="D747" s="123">
        <f t="shared" si="155"/>
        <v>359.17315200000002</v>
      </c>
      <c r="E747" s="123">
        <v>0</v>
      </c>
      <c r="F747" s="123">
        <f t="shared" si="156"/>
        <v>538.759728</v>
      </c>
      <c r="G747" s="174"/>
      <c r="H747" s="174"/>
      <c r="I747" s="38"/>
      <c r="N747" s="38"/>
    </row>
    <row r="748" spans="1:14" s="107" customFormat="1" ht="15.75" customHeight="1" x14ac:dyDescent="0.35">
      <c r="A748" s="174">
        <f t="shared" si="148"/>
        <v>33</v>
      </c>
      <c r="B748" s="174"/>
      <c r="C748" s="123" t="s">
        <v>200</v>
      </c>
      <c r="D748" s="123">
        <f t="shared" si="155"/>
        <v>359.17315200000002</v>
      </c>
      <c r="E748" s="123">
        <v>0</v>
      </c>
      <c r="F748" s="123">
        <f t="shared" si="156"/>
        <v>538.759728</v>
      </c>
      <c r="G748" s="174"/>
      <c r="H748" s="174"/>
      <c r="I748" s="38"/>
      <c r="N748" s="38"/>
    </row>
    <row r="749" spans="1:14" s="107" customFormat="1" ht="15.75" customHeight="1" x14ac:dyDescent="0.35">
      <c r="A749" s="174">
        <f t="shared" si="148"/>
        <v>34</v>
      </c>
      <c r="B749" s="174"/>
      <c r="C749" s="123" t="s">
        <v>200</v>
      </c>
      <c r="D749" s="123">
        <f t="shared" si="155"/>
        <v>359.17315200000002</v>
      </c>
      <c r="E749" s="123">
        <v>0</v>
      </c>
      <c r="F749" s="123">
        <f t="shared" si="156"/>
        <v>538.759728</v>
      </c>
      <c r="G749" s="174"/>
      <c r="H749" s="174"/>
      <c r="I749" s="38"/>
      <c r="N749" s="38"/>
    </row>
    <row r="750" spans="1:14" s="107" customFormat="1" ht="15.75" customHeight="1" x14ac:dyDescent="0.35">
      <c r="A750" s="174">
        <f t="shared" si="148"/>
        <v>35</v>
      </c>
      <c r="B750" s="174"/>
      <c r="C750" s="123" t="s">
        <v>200</v>
      </c>
      <c r="D750" s="123">
        <f t="shared" si="155"/>
        <v>359.17315200000002</v>
      </c>
      <c r="E750" s="123">
        <v>0</v>
      </c>
      <c r="F750" s="123">
        <f t="shared" si="156"/>
        <v>538.759728</v>
      </c>
      <c r="G750" s="174"/>
      <c r="H750" s="174"/>
      <c r="I750" s="38"/>
      <c r="N750" s="38"/>
    </row>
    <row r="751" spans="1:14" s="107" customFormat="1" ht="15.75" customHeight="1" x14ac:dyDescent="0.35">
      <c r="A751" s="174">
        <f t="shared" si="148"/>
        <v>36</v>
      </c>
      <c r="B751" s="174"/>
      <c r="C751" s="123" t="s">
        <v>200</v>
      </c>
      <c r="D751" s="123">
        <f t="shared" si="155"/>
        <v>359.17315200000002</v>
      </c>
      <c r="E751" s="123">
        <v>0</v>
      </c>
      <c r="F751" s="123">
        <f>D751*(($F$422)+1)+(IF(E751&lt;101,E751,IF(E751&lt;201,E751/2,IF(E751&lt;=301,E751/3,E751/4))))</f>
        <v>538.759728</v>
      </c>
      <c r="G751" s="174"/>
      <c r="H751" s="174"/>
      <c r="I751" s="38"/>
      <c r="N751" s="38"/>
    </row>
    <row r="752" spans="1:14" x14ac:dyDescent="0.35">
      <c r="A752" s="177" t="s">
        <v>230</v>
      </c>
      <c r="B752" s="177"/>
      <c r="C752" s="177"/>
      <c r="D752" s="177"/>
      <c r="E752" s="177"/>
      <c r="F752" s="177"/>
      <c r="G752" s="177"/>
      <c r="H752" s="177"/>
    </row>
    <row r="753" spans="1:14" s="107" customFormat="1" x14ac:dyDescent="0.35">
      <c r="A753" s="183" t="s">
        <v>169</v>
      </c>
      <c r="B753" s="183"/>
      <c r="C753" s="183"/>
      <c r="D753" s="183"/>
      <c r="E753" s="183"/>
      <c r="F753" s="183"/>
      <c r="G753" s="183"/>
      <c r="H753" s="183"/>
      <c r="I753" s="38"/>
      <c r="L753" s="182"/>
      <c r="M753" s="182"/>
    </row>
    <row r="754" spans="1:14" s="107" customFormat="1" ht="15.75" customHeight="1" x14ac:dyDescent="0.35">
      <c r="A754" s="174">
        <v>1</v>
      </c>
      <c r="B754" s="174"/>
      <c r="C754" s="127" t="s">
        <v>200</v>
      </c>
      <c r="D754" s="127">
        <f>(23.69+1.8*(1.5+1.2)+0.6*1.68+3.16*0.75)*10.764</f>
        <v>343.67299199999997</v>
      </c>
      <c r="E754" s="127">
        <f>(1.2*5)*10.764</f>
        <v>64.584000000000003</v>
      </c>
      <c r="F754" s="127">
        <f t="shared" ref="F754:F755" si="157">D754*(($F$422)+1)+(IF(E754&lt;101,E754,IF(E754&lt;201,E754/2,IF(E754&lt;=301,E754/3,E754/4))))</f>
        <v>580.09348799999998</v>
      </c>
      <c r="G754" s="174" t="str">
        <f>A753</f>
        <v>1st Floor for Residential</v>
      </c>
      <c r="H754" s="174"/>
      <c r="I754" s="38">
        <f>2.44*2.9+1.68*2.24+2.42*3.13+0.95*1.22+1.14*1.84+0.9*2.1</f>
        <v>23.560399999999998</v>
      </c>
      <c r="N754" s="38"/>
    </row>
    <row r="755" spans="1:14" s="107" customFormat="1" ht="15.75" customHeight="1" x14ac:dyDescent="0.35">
      <c r="A755" s="174">
        <f t="shared" ref="A755:A781" si="158">A754+1</f>
        <v>2</v>
      </c>
      <c r="B755" s="174"/>
      <c r="C755" s="127" t="s">
        <v>200</v>
      </c>
      <c r="D755" s="127">
        <f>(23.69+1.8*(1.5)+1.2*1.38+0.6*1.68+3.16*0.75)*10.764</f>
        <v>338.24793599999998</v>
      </c>
      <c r="E755" s="127">
        <f>(3.5*1.8)*10.764</f>
        <v>67.813199999999995</v>
      </c>
      <c r="F755" s="127">
        <f t="shared" si="157"/>
        <v>575.18510399999991</v>
      </c>
      <c r="G755" s="174" t="str">
        <f t="shared" ref="G755:G781" si="159">G754</f>
        <v>1st Floor for Residential</v>
      </c>
      <c r="H755" s="174"/>
      <c r="I755" s="38"/>
      <c r="N755" s="38"/>
    </row>
    <row r="756" spans="1:14" s="107" customFormat="1" ht="15.75" customHeight="1" x14ac:dyDescent="0.35">
      <c r="A756" s="174">
        <f t="shared" si="158"/>
        <v>3</v>
      </c>
      <c r="B756" s="174"/>
      <c r="C756" s="127" t="s">
        <v>200</v>
      </c>
      <c r="D756" s="127">
        <f>(23.69+1.8*(1.5)+0.6*1.68+3.16*0.75)*10.764</f>
        <v>320.422752</v>
      </c>
      <c r="E756" s="127">
        <f>(3.5*1.8+4.5*1.2+2.5*1.2)*10.764</f>
        <v>158.23079999999999</v>
      </c>
      <c r="F756" s="127">
        <f>D756*(($F$422)+1)+(IF(E756&lt;101,E756,IF(E756&lt;201,E756/2,IF(E756&lt;=301,E756/3,E756/4))))</f>
        <v>559.74952800000005</v>
      </c>
      <c r="G756" s="174" t="str">
        <f t="shared" si="159"/>
        <v>1st Floor for Residential</v>
      </c>
      <c r="H756" s="174"/>
      <c r="I756" s="38"/>
      <c r="N756" s="38"/>
    </row>
    <row r="757" spans="1:14" s="107" customFormat="1" ht="15.75" customHeight="1" x14ac:dyDescent="0.35">
      <c r="A757" s="174">
        <f t="shared" si="158"/>
        <v>4</v>
      </c>
      <c r="B757" s="174"/>
      <c r="C757" s="127" t="s">
        <v>200</v>
      </c>
      <c r="D757" s="127">
        <f>(23.69+1.8*(1.5)+0.6*1.68+3.16*0.75)*10.764</f>
        <v>320.422752</v>
      </c>
      <c r="E757" s="127">
        <f>(1.2*5+3.5*1.8)*10.764</f>
        <v>132.3972</v>
      </c>
      <c r="F757" s="127">
        <f t="shared" ref="F757:F760" si="160">D757*(($F$422)+1)+(IF(E757&lt;101,E757,IF(E757&lt;201,E757/2,IF(E757&lt;=301,E757/3,E757/4))))</f>
        <v>546.83272800000009</v>
      </c>
      <c r="G757" s="174" t="str">
        <f t="shared" si="159"/>
        <v>1st Floor for Residential</v>
      </c>
      <c r="H757" s="174"/>
      <c r="I757" s="38"/>
      <c r="N757" s="38"/>
    </row>
    <row r="758" spans="1:14" s="107" customFormat="1" ht="15.75" customHeight="1" x14ac:dyDescent="0.35">
      <c r="A758" s="174">
        <f t="shared" si="158"/>
        <v>5</v>
      </c>
      <c r="B758" s="174"/>
      <c r="C758" s="127" t="s">
        <v>200</v>
      </c>
      <c r="D758" s="127">
        <f>(23.69+1.8*(1.5)+1.2*1.2+0.6*1.68+3.16*0.75)*10.764</f>
        <v>335.922912</v>
      </c>
      <c r="E758" s="127">
        <f>(3.5*1.8+3.13*1.83)*10.764</f>
        <v>129.46831559999998</v>
      </c>
      <c r="F758" s="127">
        <f t="shared" si="160"/>
        <v>568.61852580000004</v>
      </c>
      <c r="G758" s="174" t="str">
        <f t="shared" si="159"/>
        <v>1st Floor for Residential</v>
      </c>
      <c r="H758" s="174"/>
      <c r="I758" s="38"/>
      <c r="N758" s="38"/>
    </row>
    <row r="759" spans="1:14" s="107" customFormat="1" ht="15.75" customHeight="1" x14ac:dyDescent="0.35">
      <c r="A759" s="174">
        <f t="shared" si="158"/>
        <v>6</v>
      </c>
      <c r="B759" s="174"/>
      <c r="C759" s="127" t="s">
        <v>200</v>
      </c>
      <c r="D759" s="127">
        <f>(23.69+1.8*(1.5)+1.2*1.38+0.6*1.68+3.16*0.75)*10.764</f>
        <v>338.24793599999998</v>
      </c>
      <c r="E759" s="127">
        <f>(3.5*1.8)*10.764</f>
        <v>67.813199999999995</v>
      </c>
      <c r="F759" s="127">
        <f t="shared" si="160"/>
        <v>575.18510399999991</v>
      </c>
      <c r="G759" s="174" t="str">
        <f t="shared" si="159"/>
        <v>1st Floor for Residential</v>
      </c>
      <c r="H759" s="174"/>
      <c r="I759" s="38"/>
      <c r="N759" s="38"/>
    </row>
    <row r="760" spans="1:14" s="107" customFormat="1" ht="15.75" customHeight="1" x14ac:dyDescent="0.35">
      <c r="A760" s="174">
        <f t="shared" si="158"/>
        <v>7</v>
      </c>
      <c r="B760" s="174"/>
      <c r="C760" s="127" t="s">
        <v>200</v>
      </c>
      <c r="D760" s="127">
        <f>(23.69+1.8*(1.5)+0.6*1.68+3.16*0.75)*10.764</f>
        <v>320.422752</v>
      </c>
      <c r="E760" s="127">
        <f>(3.5*1.8+5*1.2)*10.764</f>
        <v>132.3972</v>
      </c>
      <c r="F760" s="127">
        <f t="shared" si="160"/>
        <v>546.83272800000009</v>
      </c>
      <c r="G760" s="174" t="str">
        <f t="shared" si="159"/>
        <v>1st Floor for Residential</v>
      </c>
      <c r="H760" s="174"/>
      <c r="I760" s="38"/>
      <c r="N760" s="38"/>
    </row>
    <row r="761" spans="1:14" s="107" customFormat="1" ht="15.75" customHeight="1" x14ac:dyDescent="0.35">
      <c r="A761" s="174">
        <f t="shared" si="158"/>
        <v>8</v>
      </c>
      <c r="B761" s="174"/>
      <c r="C761" s="127" t="s">
        <v>200</v>
      </c>
      <c r="D761" s="127">
        <f>(23.69+1.8*(1.5)+0.6*1.68+3.16*0.75)*10.764</f>
        <v>320.422752</v>
      </c>
      <c r="E761" s="127">
        <f>(5*1.2+1.41*3+0.75*0.75)*10.764</f>
        <v>116.17046999999999</v>
      </c>
      <c r="F761" s="127">
        <f>D761*(($F$422)+1)+(IF(E761&lt;101,E761,IF(E761&lt;201,E761/2,IF(E761&lt;=301,E761/3,E761/4))))</f>
        <v>538.71936300000004</v>
      </c>
      <c r="G761" s="174" t="str">
        <f t="shared" si="159"/>
        <v>1st Floor for Residential</v>
      </c>
      <c r="H761" s="174"/>
      <c r="I761" s="38"/>
      <c r="N761" s="38"/>
    </row>
    <row r="762" spans="1:14" s="107" customFormat="1" ht="15.75" customHeight="1" x14ac:dyDescent="0.35">
      <c r="A762" s="174">
        <f t="shared" si="158"/>
        <v>9</v>
      </c>
      <c r="B762" s="174"/>
      <c r="C762" s="127" t="s">
        <v>200</v>
      </c>
      <c r="D762" s="127">
        <f>(23.69+1.8*(1.5)+0.6*1.68+3.16*0.75)*10.764</f>
        <v>320.422752</v>
      </c>
      <c r="E762" s="127">
        <f>(3.5*1.8+5*1.2)*10.764</f>
        <v>132.3972</v>
      </c>
      <c r="F762" s="127">
        <f t="shared" ref="F762:F765" si="161">D762*(($F$422)+1)+(IF(E762&lt;101,E762,IF(E762&lt;201,E762/2,IF(E762&lt;=301,E762/3,E762/4))))</f>
        <v>546.83272800000009</v>
      </c>
      <c r="G762" s="174" t="str">
        <f t="shared" si="159"/>
        <v>1st Floor for Residential</v>
      </c>
      <c r="H762" s="174"/>
      <c r="I762" s="38"/>
      <c r="N762" s="38"/>
    </row>
    <row r="763" spans="1:14" s="107" customFormat="1" ht="15.75" customHeight="1" x14ac:dyDescent="0.35">
      <c r="A763" s="174">
        <f t="shared" si="158"/>
        <v>10</v>
      </c>
      <c r="B763" s="174"/>
      <c r="C763" s="127" t="s">
        <v>200</v>
      </c>
      <c r="D763" s="127">
        <f>(23.69+1.8*(1.5)+0.6*1.68+3.16*0.75)*10.764</f>
        <v>320.422752</v>
      </c>
      <c r="E763" s="127">
        <f>(3.5*1.8+5*1.2)*10.764</f>
        <v>132.3972</v>
      </c>
      <c r="F763" s="127">
        <f t="shared" si="161"/>
        <v>546.83272800000009</v>
      </c>
      <c r="G763" s="174" t="str">
        <f t="shared" si="159"/>
        <v>1st Floor for Residential</v>
      </c>
      <c r="H763" s="174"/>
      <c r="I763" s="38"/>
      <c r="N763" s="38"/>
    </row>
    <row r="764" spans="1:14" s="107" customFormat="1" ht="15.75" customHeight="1" x14ac:dyDescent="0.35">
      <c r="A764" s="174">
        <f t="shared" si="158"/>
        <v>11</v>
      </c>
      <c r="B764" s="174"/>
      <c r="C764" s="127" t="s">
        <v>200</v>
      </c>
      <c r="D764" s="127">
        <f>(23.69+1.8*(1.5)+0.6*1.68+3.16*0.75)*10.764</f>
        <v>320.422752</v>
      </c>
      <c r="E764" s="127">
        <f>(3.5*1.8+5*1.2)*10.764</f>
        <v>132.3972</v>
      </c>
      <c r="F764" s="127">
        <f t="shared" si="161"/>
        <v>546.83272800000009</v>
      </c>
      <c r="G764" s="174" t="str">
        <f t="shared" si="159"/>
        <v>1st Floor for Residential</v>
      </c>
      <c r="H764" s="174"/>
      <c r="I764" s="38"/>
      <c r="N764" s="38"/>
    </row>
    <row r="765" spans="1:14" s="107" customFormat="1" ht="15.75" customHeight="1" x14ac:dyDescent="0.35">
      <c r="A765" s="174">
        <f t="shared" si="158"/>
        <v>12</v>
      </c>
      <c r="B765" s="174"/>
      <c r="C765" s="127" t="s">
        <v>200</v>
      </c>
      <c r="D765" s="127">
        <f>(23.69+1.8*(1.5)+(1.2*1.2)+0.6*1.68+3.16*0.75)*10.764</f>
        <v>335.922912</v>
      </c>
      <c r="E765" s="127">
        <f>(3.5*1.8)*10.764</f>
        <v>67.813199999999995</v>
      </c>
      <c r="F765" s="127">
        <f t="shared" si="161"/>
        <v>571.69756800000005</v>
      </c>
      <c r="G765" s="174" t="str">
        <f t="shared" si="159"/>
        <v>1st Floor for Residential</v>
      </c>
      <c r="H765" s="174"/>
      <c r="I765" s="38"/>
      <c r="N765" s="38"/>
    </row>
    <row r="766" spans="1:14" s="107" customFormat="1" ht="15.75" customHeight="1" x14ac:dyDescent="0.35">
      <c r="A766" s="174">
        <f t="shared" si="158"/>
        <v>13</v>
      </c>
      <c r="B766" s="174"/>
      <c r="C766" s="127" t="s">
        <v>200</v>
      </c>
      <c r="D766" s="127">
        <f>(23.69+1.8*(1.5+1.2)+0.6*1.68+3.16*0.75)*10.764</f>
        <v>343.67299199999997</v>
      </c>
      <c r="E766" s="127">
        <f>(5*1.2)*10.764</f>
        <v>64.584000000000003</v>
      </c>
      <c r="F766" s="127">
        <f>D766*(($F$422)+1)+(IF(E766&lt;101,E766,IF(E766&lt;201,E766/2,IF(E766&lt;=301,E766/3,E766/4))))</f>
        <v>580.09348799999998</v>
      </c>
      <c r="G766" s="174" t="str">
        <f t="shared" si="159"/>
        <v>1st Floor for Residential</v>
      </c>
      <c r="H766" s="174"/>
      <c r="I766" s="38"/>
      <c r="N766" s="38"/>
    </row>
    <row r="767" spans="1:14" s="107" customFormat="1" ht="15.75" customHeight="1" x14ac:dyDescent="0.35">
      <c r="A767" s="174">
        <f t="shared" si="158"/>
        <v>14</v>
      </c>
      <c r="B767" s="174"/>
      <c r="C767" s="127" t="s">
        <v>200</v>
      </c>
      <c r="D767" s="127">
        <f>(23.69+1.8*(1.5+1.2)+0.6*1.68+3.16*0.75)*10.764</f>
        <v>343.67299199999997</v>
      </c>
      <c r="E767" s="127">
        <f>(5*1.2)*10.764</f>
        <v>64.584000000000003</v>
      </c>
      <c r="F767" s="127">
        <f t="shared" ref="F767" si="162">D767*(($F$422)+1)+(IF(E767&lt;101,E767,IF(E767&lt;201,E767/2,IF(E767&lt;=301,E767/3,E767/4))))</f>
        <v>580.09348799999998</v>
      </c>
      <c r="G767" s="174" t="str">
        <f t="shared" si="159"/>
        <v>1st Floor for Residential</v>
      </c>
      <c r="H767" s="174"/>
      <c r="I767" s="38"/>
      <c r="N767" s="38"/>
    </row>
    <row r="768" spans="1:14" s="107" customFormat="1" ht="15.75" customHeight="1" x14ac:dyDescent="0.35">
      <c r="A768" s="174">
        <f t="shared" si="158"/>
        <v>15</v>
      </c>
      <c r="B768" s="174"/>
      <c r="C768" s="127" t="s">
        <v>200</v>
      </c>
      <c r="D768" s="127">
        <f>(23.69+1.8*(1.5)+(1.2*1.2)+0.6*1.68+3.16*0.75)*10.764</f>
        <v>335.922912</v>
      </c>
      <c r="E768" s="127">
        <f>(3.5*1.8)*10.764</f>
        <v>67.813199999999995</v>
      </c>
      <c r="F768" s="127">
        <f>D768*(($F$422)+1)+(IF(E768&lt;101,E768,IF(E768&lt;201,E768/2,IF(E768&lt;=301,E768/3,E768/4))))</f>
        <v>571.69756800000005</v>
      </c>
      <c r="G768" s="174" t="str">
        <f t="shared" si="159"/>
        <v>1st Floor for Residential</v>
      </c>
      <c r="H768" s="174"/>
      <c r="I768" s="38"/>
      <c r="N768" s="38"/>
    </row>
    <row r="769" spans="1:14" s="107" customFormat="1" ht="15.75" customHeight="1" x14ac:dyDescent="0.35">
      <c r="A769" s="174">
        <f t="shared" si="158"/>
        <v>16</v>
      </c>
      <c r="B769" s="174"/>
      <c r="C769" s="127" t="s">
        <v>200</v>
      </c>
      <c r="D769" s="127">
        <f>(23.69+1.8*(1.5)+0.6*1.68+3.16*0.75)*10.764</f>
        <v>320.422752</v>
      </c>
      <c r="E769" s="127">
        <f t="shared" ref="E769:E773" si="163">(3.5*1.8+5*1.2)*10.764</f>
        <v>132.3972</v>
      </c>
      <c r="F769" s="127">
        <f t="shared" ref="F769:F770" si="164">D769*(($F$422)+1)+(IF(E769&lt;101,E769,IF(E769&lt;201,E769/2,IF(E769&lt;=301,E769/3,E769/4))))</f>
        <v>546.83272800000009</v>
      </c>
      <c r="G769" s="174" t="str">
        <f t="shared" si="159"/>
        <v>1st Floor for Residential</v>
      </c>
      <c r="H769" s="174"/>
      <c r="I769" s="38"/>
      <c r="N769" s="38"/>
    </row>
    <row r="770" spans="1:14" s="107" customFormat="1" ht="15.75" customHeight="1" x14ac:dyDescent="0.35">
      <c r="A770" s="174">
        <f t="shared" si="158"/>
        <v>17</v>
      </c>
      <c r="B770" s="174"/>
      <c r="C770" s="127" t="s">
        <v>200</v>
      </c>
      <c r="D770" s="127">
        <f>(23.69+1.8*(1.5)+0.6*1.68+3.16*0.75)*10.764</f>
        <v>320.422752</v>
      </c>
      <c r="E770" s="127">
        <f t="shared" si="163"/>
        <v>132.3972</v>
      </c>
      <c r="F770" s="127">
        <f t="shared" si="164"/>
        <v>546.83272800000009</v>
      </c>
      <c r="G770" s="174" t="str">
        <f t="shared" si="159"/>
        <v>1st Floor for Residential</v>
      </c>
      <c r="H770" s="174"/>
      <c r="I770" s="38"/>
      <c r="N770" s="38"/>
    </row>
    <row r="771" spans="1:14" s="107" customFormat="1" ht="15.75" customHeight="1" x14ac:dyDescent="0.35">
      <c r="A771" s="174">
        <f t="shared" si="158"/>
        <v>18</v>
      </c>
      <c r="B771" s="174"/>
      <c r="C771" s="127" t="s">
        <v>200</v>
      </c>
      <c r="D771" s="127">
        <f>(23.69+1.8*(1.5)+0.6*1.68+3.16*0.75)*10.764</f>
        <v>320.422752</v>
      </c>
      <c r="E771" s="127">
        <f t="shared" si="163"/>
        <v>132.3972</v>
      </c>
      <c r="F771" s="127">
        <f>D771*(($F$422)+1)+(IF(E771&lt;101,E771,IF(E771&lt;201,E771/2,IF(E771&lt;=301,E771/3,E771/4))))</f>
        <v>546.83272800000009</v>
      </c>
      <c r="G771" s="174" t="str">
        <f t="shared" si="159"/>
        <v>1st Floor for Residential</v>
      </c>
      <c r="H771" s="174"/>
      <c r="I771" s="38"/>
      <c r="N771" s="38"/>
    </row>
    <row r="772" spans="1:14" s="107" customFormat="1" ht="15.75" customHeight="1" x14ac:dyDescent="0.35">
      <c r="A772" s="174">
        <f t="shared" si="158"/>
        <v>19</v>
      </c>
      <c r="B772" s="174"/>
      <c r="C772" s="127" t="s">
        <v>200</v>
      </c>
      <c r="D772" s="127">
        <f>(23.69+1.8*(1.5)+0.6*1.68+3.16*0.75)*10.764</f>
        <v>320.422752</v>
      </c>
      <c r="E772" s="127">
        <f>(3.5*1.8+5*1.2+0.75*0.75)*10.764</f>
        <v>138.45195000000001</v>
      </c>
      <c r="F772" s="127">
        <f t="shared" ref="F772:F776" si="165">D772*(($F$422)+1)+(IF(E772&lt;101,E772,IF(E772&lt;201,E772/2,IF(E772&lt;=301,E772/3,E772/4))))</f>
        <v>549.86010299999998</v>
      </c>
      <c r="G772" s="174" t="str">
        <f t="shared" si="159"/>
        <v>1st Floor for Residential</v>
      </c>
      <c r="H772" s="174"/>
      <c r="I772" s="38"/>
      <c r="N772" s="38"/>
    </row>
    <row r="773" spans="1:14" s="107" customFormat="1" ht="15.75" customHeight="1" x14ac:dyDescent="0.35">
      <c r="A773" s="174">
        <f t="shared" si="158"/>
        <v>20</v>
      </c>
      <c r="B773" s="174"/>
      <c r="C773" s="127" t="s">
        <v>200</v>
      </c>
      <c r="D773" s="127">
        <f>(23.69+1.8*(1.5)+0.6*1.68+3.16*0.75)*10.764</f>
        <v>320.422752</v>
      </c>
      <c r="E773" s="127">
        <f t="shared" si="163"/>
        <v>132.3972</v>
      </c>
      <c r="F773" s="127">
        <f t="shared" si="165"/>
        <v>546.83272800000009</v>
      </c>
      <c r="G773" s="174" t="str">
        <f t="shared" si="159"/>
        <v>1st Floor for Residential</v>
      </c>
      <c r="H773" s="174"/>
      <c r="I773" s="38"/>
      <c r="N773" s="38"/>
    </row>
    <row r="774" spans="1:14" s="107" customFormat="1" ht="15.75" customHeight="1" x14ac:dyDescent="0.35">
      <c r="A774" s="174">
        <f t="shared" si="158"/>
        <v>21</v>
      </c>
      <c r="B774" s="174"/>
      <c r="C774" s="127" t="s">
        <v>200</v>
      </c>
      <c r="D774" s="127">
        <f>(23.69+1.8*(1.5)+(1.2*1.2)+0.6*1.68+3.16*0.75)*10.764</f>
        <v>335.922912</v>
      </c>
      <c r="E774" s="127">
        <f>(3.5*1.8)*10.764</f>
        <v>67.813199999999995</v>
      </c>
      <c r="F774" s="127">
        <f t="shared" si="165"/>
        <v>571.69756800000005</v>
      </c>
      <c r="G774" s="174" t="str">
        <f t="shared" si="159"/>
        <v>1st Floor for Residential</v>
      </c>
      <c r="H774" s="174"/>
      <c r="I774" s="38"/>
      <c r="N774" s="38"/>
    </row>
    <row r="775" spans="1:14" s="107" customFormat="1" ht="15.75" customHeight="1" x14ac:dyDescent="0.35">
      <c r="A775" s="174">
        <f t="shared" si="158"/>
        <v>22</v>
      </c>
      <c r="B775" s="174"/>
      <c r="C775" s="127" t="s">
        <v>200</v>
      </c>
      <c r="D775" s="127">
        <f>(23.69+1.8*(1.5)+(1.2*1.2)+0.6*1.68+3.16*0.75)*10.764</f>
        <v>335.922912</v>
      </c>
      <c r="E775" s="127">
        <f>(3.5*1.8)*10.764</f>
        <v>67.813199999999995</v>
      </c>
      <c r="F775" s="127">
        <f t="shared" si="165"/>
        <v>571.69756800000005</v>
      </c>
      <c r="G775" s="174" t="str">
        <f t="shared" si="159"/>
        <v>1st Floor for Residential</v>
      </c>
      <c r="H775" s="174"/>
      <c r="I775" s="38"/>
      <c r="N775" s="38"/>
    </row>
    <row r="776" spans="1:14" s="107" customFormat="1" ht="15.75" customHeight="1" x14ac:dyDescent="0.35">
      <c r="A776" s="174">
        <f t="shared" si="158"/>
        <v>23</v>
      </c>
      <c r="B776" s="174"/>
      <c r="C776" s="127" t="s">
        <v>200</v>
      </c>
      <c r="D776" s="127">
        <f>(23.69+1.8*(1.5)+0.6*1.68+3.16*0.75)*10.764</f>
        <v>320.422752</v>
      </c>
      <c r="E776" s="127">
        <f>(3.5*1.8+5*1.2)*10.764</f>
        <v>132.3972</v>
      </c>
      <c r="F776" s="127">
        <f t="shared" si="165"/>
        <v>546.83272800000009</v>
      </c>
      <c r="G776" s="174" t="str">
        <f t="shared" si="159"/>
        <v>1st Floor for Residential</v>
      </c>
      <c r="H776" s="174"/>
      <c r="I776" s="38"/>
      <c r="N776" s="38"/>
    </row>
    <row r="777" spans="1:14" s="107" customFormat="1" ht="15.75" customHeight="1" x14ac:dyDescent="0.35">
      <c r="A777" s="174">
        <f t="shared" si="158"/>
        <v>24</v>
      </c>
      <c r="B777" s="174"/>
      <c r="C777" s="127" t="s">
        <v>200</v>
      </c>
      <c r="D777" s="127">
        <f>(23.69+1.8*(1.5)+0.6*1.68+3.16*0.75)*10.764</f>
        <v>320.422752</v>
      </c>
      <c r="E777" s="127">
        <f>(3.5*1.8+5*1.2+2.7*1.2)*10.764</f>
        <v>167.27256</v>
      </c>
      <c r="F777" s="127">
        <f>D777*(($F$422)+1)+(IF(E777&lt;101,E777,IF(E777&lt;201,E777/2,IF(E777&lt;=301,E777/3,E777/4))))</f>
        <v>564.27040800000009</v>
      </c>
      <c r="G777" s="174" t="str">
        <f t="shared" si="159"/>
        <v>1st Floor for Residential</v>
      </c>
      <c r="H777" s="174"/>
      <c r="I777" s="38"/>
      <c r="N777" s="38"/>
    </row>
    <row r="778" spans="1:14" s="107" customFormat="1" ht="15.75" customHeight="1" x14ac:dyDescent="0.35">
      <c r="A778" s="174">
        <f t="shared" si="158"/>
        <v>25</v>
      </c>
      <c r="B778" s="174"/>
      <c r="C778" s="127" t="s">
        <v>200</v>
      </c>
      <c r="D778" s="127">
        <f>(23.69+1.8*(1.5)+0.6*1.68+3.16*0.75)*10.764</f>
        <v>320.422752</v>
      </c>
      <c r="E778" s="127">
        <f>(3.5*1.8+5*1.2)*10.764</f>
        <v>132.3972</v>
      </c>
      <c r="F778" s="127">
        <f t="shared" ref="F778:F781" si="166">D778*(($F$422)+1)+(IF(E778&lt;101,E778,IF(E778&lt;201,E778/2,IF(E778&lt;=301,E778/3,E778/4))))</f>
        <v>546.83272800000009</v>
      </c>
      <c r="G778" s="174" t="str">
        <f t="shared" si="159"/>
        <v>1st Floor for Residential</v>
      </c>
      <c r="H778" s="174"/>
      <c r="I778" s="38"/>
      <c r="N778" s="38"/>
    </row>
    <row r="779" spans="1:14" s="107" customFormat="1" ht="15.75" customHeight="1" x14ac:dyDescent="0.35">
      <c r="A779" s="174">
        <f t="shared" si="158"/>
        <v>26</v>
      </c>
      <c r="B779" s="174"/>
      <c r="C779" s="127" t="s">
        <v>200</v>
      </c>
      <c r="D779" s="127">
        <f>(23.69+1.8*(1.5)+0.6*1.68+3.16*0.75)*10.764</f>
        <v>320.422752</v>
      </c>
      <c r="E779" s="127">
        <f t="shared" ref="E779" si="167">(3.5*1.8+5*1.2)*10.764</f>
        <v>132.3972</v>
      </c>
      <c r="F779" s="127">
        <f t="shared" si="166"/>
        <v>546.83272800000009</v>
      </c>
      <c r="G779" s="174" t="str">
        <f t="shared" si="159"/>
        <v>1st Floor for Residential</v>
      </c>
      <c r="H779" s="174"/>
      <c r="I779" s="38"/>
      <c r="N779" s="38"/>
    </row>
    <row r="780" spans="1:14" s="107" customFormat="1" ht="15.75" customHeight="1" x14ac:dyDescent="0.35">
      <c r="A780" s="174">
        <f t="shared" si="158"/>
        <v>27</v>
      </c>
      <c r="B780" s="174"/>
      <c r="C780" s="127" t="s">
        <v>200</v>
      </c>
      <c r="D780" s="127">
        <f>(23.69+1.8*(1.5)+(1.2*1.2)+0.6*1.68+3.16*0.75)*10.764</f>
        <v>335.922912</v>
      </c>
      <c r="E780" s="127">
        <f>(3.5*1.8)*10.764</f>
        <v>67.813199999999995</v>
      </c>
      <c r="F780" s="127">
        <f t="shared" si="166"/>
        <v>571.69756800000005</v>
      </c>
      <c r="G780" s="174" t="str">
        <f t="shared" si="159"/>
        <v>1st Floor for Residential</v>
      </c>
      <c r="H780" s="174"/>
      <c r="I780" s="38"/>
      <c r="N780" s="38"/>
    </row>
    <row r="781" spans="1:14" s="107" customFormat="1" ht="15.75" customHeight="1" x14ac:dyDescent="0.35">
      <c r="A781" s="174">
        <f t="shared" si="158"/>
        <v>28</v>
      </c>
      <c r="B781" s="174"/>
      <c r="C781" s="127" t="s">
        <v>200</v>
      </c>
      <c r="D781" s="127">
        <f>(23.69+1.8*(1.5)+(1.2*1.2)+0.6*1.68+3.16*0.75)*10.764</f>
        <v>335.922912</v>
      </c>
      <c r="E781" s="127">
        <f t="shared" ref="E781" si="168">(5*1.2)*10.764</f>
        <v>64.584000000000003</v>
      </c>
      <c r="F781" s="127">
        <f t="shared" si="166"/>
        <v>568.46836800000005</v>
      </c>
      <c r="G781" s="174" t="str">
        <f t="shared" si="159"/>
        <v>1st Floor for Residential</v>
      </c>
      <c r="H781" s="174"/>
      <c r="I781" s="38"/>
      <c r="N781" s="38"/>
    </row>
    <row r="782" spans="1:14" s="107" customFormat="1" x14ac:dyDescent="0.35">
      <c r="A782" s="183" t="s">
        <v>171</v>
      </c>
      <c r="B782" s="183"/>
      <c r="C782" s="183"/>
      <c r="D782" s="183"/>
      <c r="E782" s="183"/>
      <c r="F782" s="183"/>
      <c r="G782" s="183"/>
      <c r="H782" s="183"/>
      <c r="I782" s="38"/>
      <c r="L782" s="182"/>
      <c r="M782" s="182"/>
    </row>
    <row r="783" spans="1:14" s="107" customFormat="1" ht="15.75" customHeight="1" x14ac:dyDescent="0.35">
      <c r="A783" s="174">
        <v>1</v>
      </c>
      <c r="B783" s="174"/>
      <c r="C783" s="127" t="s">
        <v>200</v>
      </c>
      <c r="D783" s="127">
        <f t="shared" ref="D783:D839" si="169">(23.69+1.8*(1.5+1.2)+0.6*1.68+3.16*0.75+1.2*1.2)*10.764</f>
        <v>359.17315200000002</v>
      </c>
      <c r="E783" s="127">
        <v>0</v>
      </c>
      <c r="F783" s="127">
        <f t="shared" ref="F783:F784" si="170">D783*(($F$422)+1)+(IF(E783&lt;101,E783,IF(E783&lt;201,E783/2,IF(E783&lt;=301,E783/3,E783/4))))</f>
        <v>538.759728</v>
      </c>
      <c r="G783" s="174" t="str">
        <f>A782</f>
        <v xml:space="preserve">2nd to 7th, 9th to 11th, 13rd to 15th, 17th to 19th, 21st to 23rd Floor </v>
      </c>
      <c r="H783" s="174"/>
      <c r="I783" s="38">
        <f>2.44*2.9+1.68*2.24+2.42*3.13+0.95*1.22+1.14*1.84+0.9*2.1</f>
        <v>23.560399999999998</v>
      </c>
      <c r="N783" s="38"/>
    </row>
    <row r="784" spans="1:14" s="107" customFormat="1" ht="15.75" customHeight="1" x14ac:dyDescent="0.35">
      <c r="A784" s="174">
        <f t="shared" ref="A784:A810" si="171">A783+1</f>
        <v>2</v>
      </c>
      <c r="B784" s="174"/>
      <c r="C784" s="127" t="s">
        <v>200</v>
      </c>
      <c r="D784" s="127">
        <f t="shared" si="169"/>
        <v>359.17315200000002</v>
      </c>
      <c r="E784" s="127">
        <v>0</v>
      </c>
      <c r="F784" s="127">
        <f t="shared" si="170"/>
        <v>538.759728</v>
      </c>
      <c r="G784" s="174"/>
      <c r="H784" s="174"/>
      <c r="I784" s="38"/>
      <c r="N784" s="38"/>
    </row>
    <row r="785" spans="1:14" s="107" customFormat="1" ht="15.75" customHeight="1" x14ac:dyDescent="0.35">
      <c r="A785" s="174">
        <f t="shared" si="171"/>
        <v>3</v>
      </c>
      <c r="B785" s="174"/>
      <c r="C785" s="127" t="s">
        <v>200</v>
      </c>
      <c r="D785" s="127">
        <f t="shared" si="169"/>
        <v>359.17315200000002</v>
      </c>
      <c r="E785" s="127">
        <v>0</v>
      </c>
      <c r="F785" s="127">
        <f>D785*(($F$422)+1)+(IF(E785&lt;101,E785,IF(E785&lt;201,E785/2,IF(E785&lt;=301,E785/3,E785/4))))</f>
        <v>538.759728</v>
      </c>
      <c r="G785" s="174"/>
      <c r="H785" s="174"/>
      <c r="I785" s="38"/>
      <c r="N785" s="38"/>
    </row>
    <row r="786" spans="1:14" s="107" customFormat="1" ht="15.75" customHeight="1" x14ac:dyDescent="0.35">
      <c r="A786" s="174">
        <f t="shared" si="171"/>
        <v>4</v>
      </c>
      <c r="B786" s="174"/>
      <c r="C786" s="127" t="s">
        <v>200</v>
      </c>
      <c r="D786" s="127">
        <f t="shared" si="169"/>
        <v>359.17315200000002</v>
      </c>
      <c r="E786" s="127">
        <v>0</v>
      </c>
      <c r="F786" s="127">
        <f t="shared" ref="F786:F789" si="172">D786*(($F$422)+1)+(IF(E786&lt;101,E786,IF(E786&lt;201,E786/2,IF(E786&lt;=301,E786/3,E786/4))))</f>
        <v>538.759728</v>
      </c>
      <c r="G786" s="174"/>
      <c r="H786" s="174"/>
      <c r="I786" s="38"/>
      <c r="N786" s="38"/>
    </row>
    <row r="787" spans="1:14" s="107" customFormat="1" ht="15.75" customHeight="1" x14ac:dyDescent="0.35">
      <c r="A787" s="174">
        <f t="shared" si="171"/>
        <v>5</v>
      </c>
      <c r="B787" s="174"/>
      <c r="C787" s="127" t="s">
        <v>200</v>
      </c>
      <c r="D787" s="127">
        <f t="shared" si="169"/>
        <v>359.17315200000002</v>
      </c>
      <c r="E787" s="127">
        <v>0</v>
      </c>
      <c r="F787" s="127">
        <f t="shared" si="172"/>
        <v>538.759728</v>
      </c>
      <c r="G787" s="174"/>
      <c r="H787" s="174"/>
      <c r="I787" s="38"/>
      <c r="N787" s="38"/>
    </row>
    <row r="788" spans="1:14" s="107" customFormat="1" ht="15.75" customHeight="1" x14ac:dyDescent="0.35">
      <c r="A788" s="174">
        <f t="shared" si="171"/>
        <v>6</v>
      </c>
      <c r="B788" s="174"/>
      <c r="C788" s="127" t="s">
        <v>200</v>
      </c>
      <c r="D788" s="127">
        <f t="shared" si="169"/>
        <v>359.17315200000002</v>
      </c>
      <c r="E788" s="127">
        <v>0</v>
      </c>
      <c r="F788" s="127">
        <f t="shared" si="172"/>
        <v>538.759728</v>
      </c>
      <c r="G788" s="174"/>
      <c r="H788" s="174"/>
      <c r="I788" s="38"/>
      <c r="N788" s="38"/>
    </row>
    <row r="789" spans="1:14" s="107" customFormat="1" ht="15.75" customHeight="1" x14ac:dyDescent="0.35">
      <c r="A789" s="174">
        <f t="shared" si="171"/>
        <v>7</v>
      </c>
      <c r="B789" s="174"/>
      <c r="C789" s="127" t="s">
        <v>200</v>
      </c>
      <c r="D789" s="127">
        <f t="shared" si="169"/>
        <v>359.17315200000002</v>
      </c>
      <c r="E789" s="127">
        <v>0</v>
      </c>
      <c r="F789" s="127">
        <f t="shared" si="172"/>
        <v>538.759728</v>
      </c>
      <c r="G789" s="174"/>
      <c r="H789" s="174"/>
      <c r="I789" s="38"/>
      <c r="N789" s="38"/>
    </row>
    <row r="790" spans="1:14" s="107" customFormat="1" ht="15.75" customHeight="1" x14ac:dyDescent="0.35">
      <c r="A790" s="174">
        <f t="shared" si="171"/>
        <v>8</v>
      </c>
      <c r="B790" s="174"/>
      <c r="C790" s="127" t="s">
        <v>200</v>
      </c>
      <c r="D790" s="127">
        <f t="shared" si="169"/>
        <v>359.17315200000002</v>
      </c>
      <c r="E790" s="127">
        <v>0</v>
      </c>
      <c r="F790" s="127">
        <f>D790*(($F$422)+1)+(IF(E790&lt;101,E790,IF(E790&lt;201,E790/2,IF(E790&lt;=301,E790/3,E790/4))))</f>
        <v>538.759728</v>
      </c>
      <c r="G790" s="174"/>
      <c r="H790" s="174"/>
      <c r="I790" s="38"/>
      <c r="N790" s="38"/>
    </row>
    <row r="791" spans="1:14" s="107" customFormat="1" ht="15.75" customHeight="1" x14ac:dyDescent="0.35">
      <c r="A791" s="174">
        <f t="shared" si="171"/>
        <v>9</v>
      </c>
      <c r="B791" s="174"/>
      <c r="C791" s="127" t="s">
        <v>200</v>
      </c>
      <c r="D791" s="127">
        <f t="shared" si="169"/>
        <v>359.17315200000002</v>
      </c>
      <c r="E791" s="127">
        <v>0</v>
      </c>
      <c r="F791" s="127">
        <f t="shared" ref="F791:F794" si="173">D791*(($F$422)+1)+(IF(E791&lt;101,E791,IF(E791&lt;201,E791/2,IF(E791&lt;=301,E791/3,E791/4))))</f>
        <v>538.759728</v>
      </c>
      <c r="G791" s="174"/>
      <c r="H791" s="174"/>
      <c r="I791" s="38"/>
      <c r="N791" s="38"/>
    </row>
    <row r="792" spans="1:14" s="107" customFormat="1" ht="15.75" customHeight="1" x14ac:dyDescent="0.35">
      <c r="A792" s="174">
        <f t="shared" si="171"/>
        <v>10</v>
      </c>
      <c r="B792" s="174"/>
      <c r="C792" s="127" t="s">
        <v>200</v>
      </c>
      <c r="D792" s="127">
        <f t="shared" si="169"/>
        <v>359.17315200000002</v>
      </c>
      <c r="E792" s="127">
        <v>0</v>
      </c>
      <c r="F792" s="127">
        <f t="shared" si="173"/>
        <v>538.759728</v>
      </c>
      <c r="G792" s="174"/>
      <c r="H792" s="174"/>
      <c r="I792" s="38"/>
      <c r="N792" s="38"/>
    </row>
    <row r="793" spans="1:14" s="107" customFormat="1" ht="15.75" customHeight="1" x14ac:dyDescent="0.35">
      <c r="A793" s="174">
        <f t="shared" si="171"/>
        <v>11</v>
      </c>
      <c r="B793" s="174"/>
      <c r="C793" s="127" t="s">
        <v>200</v>
      </c>
      <c r="D793" s="127">
        <f t="shared" si="169"/>
        <v>359.17315200000002</v>
      </c>
      <c r="E793" s="127">
        <v>0</v>
      </c>
      <c r="F793" s="127">
        <f t="shared" si="173"/>
        <v>538.759728</v>
      </c>
      <c r="G793" s="174"/>
      <c r="H793" s="174"/>
      <c r="I793" s="38"/>
      <c r="N793" s="38"/>
    </row>
    <row r="794" spans="1:14" s="107" customFormat="1" ht="15.75" customHeight="1" x14ac:dyDescent="0.35">
      <c r="A794" s="174">
        <f t="shared" si="171"/>
        <v>12</v>
      </c>
      <c r="B794" s="174"/>
      <c r="C794" s="127" t="s">
        <v>200</v>
      </c>
      <c r="D794" s="127">
        <f t="shared" si="169"/>
        <v>359.17315200000002</v>
      </c>
      <c r="E794" s="127">
        <v>0</v>
      </c>
      <c r="F794" s="127">
        <f t="shared" si="173"/>
        <v>538.759728</v>
      </c>
      <c r="G794" s="174"/>
      <c r="H794" s="174"/>
      <c r="I794" s="38"/>
      <c r="N794" s="38"/>
    </row>
    <row r="795" spans="1:14" s="107" customFormat="1" ht="15.75" customHeight="1" x14ac:dyDescent="0.35">
      <c r="A795" s="174">
        <f t="shared" si="171"/>
        <v>13</v>
      </c>
      <c r="B795" s="174"/>
      <c r="C795" s="127" t="s">
        <v>200</v>
      </c>
      <c r="D795" s="127">
        <f t="shared" si="169"/>
        <v>359.17315200000002</v>
      </c>
      <c r="E795" s="127">
        <v>0</v>
      </c>
      <c r="F795" s="127">
        <f>D795*(($F$422)+1)+(IF(E795&lt;101,E795,IF(E795&lt;201,E795/2,IF(E795&lt;=301,E795/3,E795/4))))</f>
        <v>538.759728</v>
      </c>
      <c r="G795" s="174"/>
      <c r="H795" s="174"/>
      <c r="I795" s="38"/>
      <c r="N795" s="38"/>
    </row>
    <row r="796" spans="1:14" s="107" customFormat="1" ht="15.75" customHeight="1" x14ac:dyDescent="0.35">
      <c r="A796" s="174">
        <f t="shared" si="171"/>
        <v>14</v>
      </c>
      <c r="B796" s="174"/>
      <c r="C796" s="127" t="s">
        <v>200</v>
      </c>
      <c r="D796" s="127">
        <f t="shared" si="169"/>
        <v>359.17315200000002</v>
      </c>
      <c r="E796" s="127">
        <v>0</v>
      </c>
      <c r="F796" s="127">
        <f t="shared" ref="F796" si="174">D796*(($F$422)+1)+(IF(E796&lt;101,E796,IF(E796&lt;201,E796/2,IF(E796&lt;=301,E796/3,E796/4))))</f>
        <v>538.759728</v>
      </c>
      <c r="G796" s="174"/>
      <c r="H796" s="174"/>
      <c r="I796" s="38"/>
      <c r="N796" s="38"/>
    </row>
    <row r="797" spans="1:14" s="107" customFormat="1" ht="15.75" customHeight="1" x14ac:dyDescent="0.35">
      <c r="A797" s="174">
        <f t="shared" si="171"/>
        <v>15</v>
      </c>
      <c r="B797" s="174"/>
      <c r="C797" s="127" t="s">
        <v>200</v>
      </c>
      <c r="D797" s="127">
        <f t="shared" si="169"/>
        <v>359.17315200000002</v>
      </c>
      <c r="E797" s="127">
        <v>0</v>
      </c>
      <c r="F797" s="127">
        <f>D797*(($F$422)+1)+(IF(E797&lt;101,E797,IF(E797&lt;201,E797/2,IF(E797&lt;=301,E797/3,E797/4))))</f>
        <v>538.759728</v>
      </c>
      <c r="G797" s="174"/>
      <c r="H797" s="174"/>
      <c r="I797" s="38"/>
      <c r="N797" s="38"/>
    </row>
    <row r="798" spans="1:14" s="107" customFormat="1" ht="15.75" customHeight="1" x14ac:dyDescent="0.35">
      <c r="A798" s="174">
        <f t="shared" si="171"/>
        <v>16</v>
      </c>
      <c r="B798" s="174"/>
      <c r="C798" s="127" t="s">
        <v>200</v>
      </c>
      <c r="D798" s="127">
        <f t="shared" si="169"/>
        <v>359.17315200000002</v>
      </c>
      <c r="E798" s="127">
        <v>0</v>
      </c>
      <c r="F798" s="127">
        <f t="shared" ref="F798:F799" si="175">D798*(($F$422)+1)+(IF(E798&lt;101,E798,IF(E798&lt;201,E798/2,IF(E798&lt;=301,E798/3,E798/4))))</f>
        <v>538.759728</v>
      </c>
      <c r="G798" s="174"/>
      <c r="H798" s="174"/>
      <c r="I798" s="38"/>
      <c r="N798" s="38"/>
    </row>
    <row r="799" spans="1:14" s="107" customFormat="1" ht="15.75" customHeight="1" x14ac:dyDescent="0.35">
      <c r="A799" s="174">
        <f t="shared" si="171"/>
        <v>17</v>
      </c>
      <c r="B799" s="174"/>
      <c r="C799" s="127" t="s">
        <v>200</v>
      </c>
      <c r="D799" s="127">
        <f t="shared" si="169"/>
        <v>359.17315200000002</v>
      </c>
      <c r="E799" s="127">
        <v>0</v>
      </c>
      <c r="F799" s="127">
        <f t="shared" si="175"/>
        <v>538.759728</v>
      </c>
      <c r="G799" s="174"/>
      <c r="H799" s="174"/>
      <c r="I799" s="38"/>
      <c r="N799" s="38"/>
    </row>
    <row r="800" spans="1:14" s="107" customFormat="1" ht="15.75" customHeight="1" x14ac:dyDescent="0.35">
      <c r="A800" s="174">
        <f t="shared" si="171"/>
        <v>18</v>
      </c>
      <c r="B800" s="174"/>
      <c r="C800" s="127" t="s">
        <v>200</v>
      </c>
      <c r="D800" s="127">
        <f t="shared" si="169"/>
        <v>359.17315200000002</v>
      </c>
      <c r="E800" s="127">
        <v>0</v>
      </c>
      <c r="F800" s="127">
        <f>D800*(($F$422)+1)+(IF(E800&lt;101,E800,IF(E800&lt;201,E800/2,IF(E800&lt;=301,E800/3,E800/4))))</f>
        <v>538.759728</v>
      </c>
      <c r="G800" s="174"/>
      <c r="H800" s="174"/>
      <c r="I800" s="38"/>
      <c r="N800" s="38"/>
    </row>
    <row r="801" spans="1:14" s="107" customFormat="1" ht="15.75" customHeight="1" x14ac:dyDescent="0.35">
      <c r="A801" s="174">
        <f t="shared" si="171"/>
        <v>19</v>
      </c>
      <c r="B801" s="174"/>
      <c r="C801" s="127" t="s">
        <v>200</v>
      </c>
      <c r="D801" s="127">
        <f t="shared" si="169"/>
        <v>359.17315200000002</v>
      </c>
      <c r="E801" s="127">
        <v>0</v>
      </c>
      <c r="F801" s="127">
        <f t="shared" ref="F801:F805" si="176">D801*(($F$422)+1)+(IF(E801&lt;101,E801,IF(E801&lt;201,E801/2,IF(E801&lt;=301,E801/3,E801/4))))</f>
        <v>538.759728</v>
      </c>
      <c r="G801" s="174"/>
      <c r="H801" s="174"/>
      <c r="I801" s="38"/>
      <c r="N801" s="38"/>
    </row>
    <row r="802" spans="1:14" s="107" customFormat="1" ht="15.75" customHeight="1" x14ac:dyDescent="0.35">
      <c r="A802" s="174">
        <f t="shared" si="171"/>
        <v>20</v>
      </c>
      <c r="B802" s="174"/>
      <c r="C802" s="127" t="s">
        <v>200</v>
      </c>
      <c r="D802" s="127">
        <f t="shared" si="169"/>
        <v>359.17315200000002</v>
      </c>
      <c r="E802" s="127">
        <v>0</v>
      </c>
      <c r="F802" s="127">
        <f t="shared" si="176"/>
        <v>538.759728</v>
      </c>
      <c r="G802" s="174"/>
      <c r="H802" s="174"/>
      <c r="I802" s="38"/>
      <c r="N802" s="38"/>
    </row>
    <row r="803" spans="1:14" s="107" customFormat="1" ht="15.75" customHeight="1" x14ac:dyDescent="0.35">
      <c r="A803" s="174">
        <f t="shared" si="171"/>
        <v>21</v>
      </c>
      <c r="B803" s="174"/>
      <c r="C803" s="127" t="s">
        <v>200</v>
      </c>
      <c r="D803" s="127">
        <f t="shared" si="169"/>
        <v>359.17315200000002</v>
      </c>
      <c r="E803" s="127">
        <v>0</v>
      </c>
      <c r="F803" s="127">
        <f t="shared" si="176"/>
        <v>538.759728</v>
      </c>
      <c r="G803" s="174"/>
      <c r="H803" s="174"/>
      <c r="I803" s="38"/>
      <c r="N803" s="38"/>
    </row>
    <row r="804" spans="1:14" s="107" customFormat="1" ht="15.75" customHeight="1" x14ac:dyDescent="0.35">
      <c r="A804" s="174">
        <f t="shared" si="171"/>
        <v>22</v>
      </c>
      <c r="B804" s="174"/>
      <c r="C804" s="127" t="s">
        <v>200</v>
      </c>
      <c r="D804" s="127">
        <f t="shared" si="169"/>
        <v>359.17315200000002</v>
      </c>
      <c r="E804" s="127">
        <v>0</v>
      </c>
      <c r="F804" s="127">
        <f t="shared" si="176"/>
        <v>538.759728</v>
      </c>
      <c r="G804" s="174"/>
      <c r="H804" s="174"/>
      <c r="I804" s="38"/>
      <c r="N804" s="38"/>
    </row>
    <row r="805" spans="1:14" s="107" customFormat="1" ht="15.75" customHeight="1" x14ac:dyDescent="0.35">
      <c r="A805" s="174">
        <f t="shared" si="171"/>
        <v>23</v>
      </c>
      <c r="B805" s="174"/>
      <c r="C805" s="127" t="s">
        <v>200</v>
      </c>
      <c r="D805" s="127">
        <f t="shared" si="169"/>
        <v>359.17315200000002</v>
      </c>
      <c r="E805" s="127">
        <v>0</v>
      </c>
      <c r="F805" s="127">
        <f t="shared" si="176"/>
        <v>538.759728</v>
      </c>
      <c r="G805" s="174"/>
      <c r="H805" s="174"/>
      <c r="I805" s="38"/>
      <c r="N805" s="38"/>
    </row>
    <row r="806" spans="1:14" s="107" customFormat="1" ht="15.75" customHeight="1" x14ac:dyDescent="0.35">
      <c r="A806" s="174">
        <f t="shared" si="171"/>
        <v>24</v>
      </c>
      <c r="B806" s="174"/>
      <c r="C806" s="127" t="s">
        <v>200</v>
      </c>
      <c r="D806" s="127">
        <f t="shared" si="169"/>
        <v>359.17315200000002</v>
      </c>
      <c r="E806" s="127">
        <v>0</v>
      </c>
      <c r="F806" s="127">
        <f>D806*(($F$422)+1)+(IF(E806&lt;101,E806,IF(E806&lt;201,E806/2,IF(E806&lt;=301,E806/3,E806/4))))</f>
        <v>538.759728</v>
      </c>
      <c r="G806" s="174"/>
      <c r="H806" s="174"/>
      <c r="I806" s="38"/>
      <c r="N806" s="38"/>
    </row>
    <row r="807" spans="1:14" s="107" customFormat="1" ht="15.75" customHeight="1" x14ac:dyDescent="0.35">
      <c r="A807" s="174">
        <f t="shared" si="171"/>
        <v>25</v>
      </c>
      <c r="B807" s="174"/>
      <c r="C807" s="127" t="s">
        <v>200</v>
      </c>
      <c r="D807" s="127">
        <f t="shared" si="169"/>
        <v>359.17315200000002</v>
      </c>
      <c r="E807" s="127">
        <v>0</v>
      </c>
      <c r="F807" s="127">
        <f t="shared" ref="F807:F810" si="177">D807*(($F$422)+1)+(IF(E807&lt;101,E807,IF(E807&lt;201,E807/2,IF(E807&lt;=301,E807/3,E807/4))))</f>
        <v>538.759728</v>
      </c>
      <c r="G807" s="174"/>
      <c r="H807" s="174"/>
      <c r="I807" s="38"/>
      <c r="N807" s="38"/>
    </row>
    <row r="808" spans="1:14" s="107" customFormat="1" ht="15.75" customHeight="1" x14ac:dyDescent="0.35">
      <c r="A808" s="174">
        <f t="shared" si="171"/>
        <v>26</v>
      </c>
      <c r="B808" s="174"/>
      <c r="C808" s="127" t="s">
        <v>200</v>
      </c>
      <c r="D808" s="127">
        <f t="shared" si="169"/>
        <v>359.17315200000002</v>
      </c>
      <c r="E808" s="127">
        <v>0</v>
      </c>
      <c r="F808" s="127">
        <f t="shared" si="177"/>
        <v>538.759728</v>
      </c>
      <c r="G808" s="174"/>
      <c r="H808" s="174"/>
      <c r="I808" s="38"/>
      <c r="N808" s="38"/>
    </row>
    <row r="809" spans="1:14" s="107" customFormat="1" ht="15.75" customHeight="1" x14ac:dyDescent="0.35">
      <c r="A809" s="174">
        <f t="shared" si="171"/>
        <v>27</v>
      </c>
      <c r="B809" s="174"/>
      <c r="C809" s="127" t="s">
        <v>200</v>
      </c>
      <c r="D809" s="127">
        <f t="shared" si="169"/>
        <v>359.17315200000002</v>
      </c>
      <c r="E809" s="127">
        <v>0</v>
      </c>
      <c r="F809" s="127">
        <f t="shared" si="177"/>
        <v>538.759728</v>
      </c>
      <c r="G809" s="174"/>
      <c r="H809" s="174"/>
      <c r="I809" s="38"/>
      <c r="N809" s="38"/>
    </row>
    <row r="810" spans="1:14" s="107" customFormat="1" ht="15.75" customHeight="1" x14ac:dyDescent="0.35">
      <c r="A810" s="174">
        <f t="shared" si="171"/>
        <v>28</v>
      </c>
      <c r="B810" s="174"/>
      <c r="C810" s="127" t="s">
        <v>200</v>
      </c>
      <c r="D810" s="127">
        <f t="shared" si="169"/>
        <v>359.17315200000002</v>
      </c>
      <c r="E810" s="127">
        <v>0</v>
      </c>
      <c r="F810" s="127">
        <f t="shared" si="177"/>
        <v>538.759728</v>
      </c>
      <c r="G810" s="174"/>
      <c r="H810" s="174"/>
      <c r="I810" s="38"/>
      <c r="N810" s="38"/>
    </row>
    <row r="811" spans="1:14" s="107" customFormat="1" x14ac:dyDescent="0.35">
      <c r="A811" s="183" t="s">
        <v>227</v>
      </c>
      <c r="B811" s="183"/>
      <c r="C811" s="183"/>
      <c r="D811" s="183"/>
      <c r="E811" s="183"/>
      <c r="F811" s="183"/>
      <c r="G811" s="183"/>
      <c r="H811" s="183"/>
      <c r="I811" s="38"/>
      <c r="L811" s="182"/>
      <c r="M811" s="182"/>
    </row>
    <row r="812" spans="1:14" s="107" customFormat="1" ht="15.75" customHeight="1" x14ac:dyDescent="0.35">
      <c r="A812" s="174">
        <v>1</v>
      </c>
      <c r="B812" s="174"/>
      <c r="C812" s="123" t="s">
        <v>200</v>
      </c>
      <c r="D812" s="123">
        <f t="shared" si="169"/>
        <v>359.17315200000002</v>
      </c>
      <c r="E812" s="123">
        <v>0</v>
      </c>
      <c r="F812" s="123">
        <f t="shared" ref="F812:F813" si="178">D812*(($F$422)+1)+(IF(E812&lt;101,E812,IF(E812&lt;201,E812/2,IF(E812&lt;=301,E812/3,E812/4))))</f>
        <v>538.759728</v>
      </c>
      <c r="G812" s="174" t="str">
        <f>A811</f>
        <v>8th, 12th, 16th &amp; 20th Floor (Part Refuge Area)</v>
      </c>
      <c r="H812" s="174"/>
      <c r="I812" s="38">
        <f>2.44*2.9+1.68*2.24+2.42*3.13+0.95*1.22+1.14*1.84+0.9*2.1</f>
        <v>23.560399999999998</v>
      </c>
      <c r="N812" s="38"/>
    </row>
    <row r="813" spans="1:14" s="107" customFormat="1" ht="15.75" customHeight="1" x14ac:dyDescent="0.35">
      <c r="A813" s="174">
        <f t="shared" ref="A813:A839" si="179">A812+1</f>
        <v>2</v>
      </c>
      <c r="B813" s="174"/>
      <c r="C813" s="123" t="s">
        <v>200</v>
      </c>
      <c r="D813" s="123">
        <f t="shared" si="169"/>
        <v>359.17315200000002</v>
      </c>
      <c r="E813" s="123">
        <v>0</v>
      </c>
      <c r="F813" s="123">
        <f t="shared" si="178"/>
        <v>538.759728</v>
      </c>
      <c r="G813" s="174"/>
      <c r="H813" s="174"/>
      <c r="I813" s="38"/>
      <c r="N813" s="38"/>
    </row>
    <row r="814" spans="1:14" s="107" customFormat="1" ht="15.75" customHeight="1" x14ac:dyDescent="0.35">
      <c r="A814" s="174">
        <f t="shared" si="179"/>
        <v>3</v>
      </c>
      <c r="B814" s="174"/>
      <c r="C814" s="123" t="s">
        <v>200</v>
      </c>
      <c r="D814" s="123">
        <f t="shared" si="169"/>
        <v>359.17315200000002</v>
      </c>
      <c r="E814" s="123">
        <v>0</v>
      </c>
      <c r="F814" s="123">
        <f>D814*(($F$422)+1)+(IF(E814&lt;101,E814,IF(E814&lt;201,E814/2,IF(E814&lt;=301,E814/3,E814/4))))</f>
        <v>538.759728</v>
      </c>
      <c r="G814" s="174"/>
      <c r="H814" s="174"/>
      <c r="I814" s="38"/>
      <c r="N814" s="38"/>
    </row>
    <row r="815" spans="1:14" s="107" customFormat="1" ht="15.75" customHeight="1" x14ac:dyDescent="0.35">
      <c r="A815" s="174">
        <f t="shared" si="179"/>
        <v>4</v>
      </c>
      <c r="B815" s="174"/>
      <c r="C815" s="123" t="s">
        <v>200</v>
      </c>
      <c r="D815" s="123">
        <f t="shared" si="169"/>
        <v>359.17315200000002</v>
      </c>
      <c r="E815" s="123">
        <v>0</v>
      </c>
      <c r="F815" s="123">
        <f t="shared" ref="F815:F818" si="180">D815*(($F$422)+1)+(IF(E815&lt;101,E815,IF(E815&lt;201,E815/2,IF(E815&lt;=301,E815/3,E815/4))))</f>
        <v>538.759728</v>
      </c>
      <c r="G815" s="174"/>
      <c r="H815" s="174"/>
      <c r="I815" s="38"/>
      <c r="N815" s="38"/>
    </row>
    <row r="816" spans="1:14" s="107" customFormat="1" ht="15.75" customHeight="1" x14ac:dyDescent="0.35">
      <c r="A816" s="174">
        <f t="shared" si="179"/>
        <v>5</v>
      </c>
      <c r="B816" s="174"/>
      <c r="C816" s="123" t="s">
        <v>200</v>
      </c>
      <c r="D816" s="123">
        <f t="shared" si="169"/>
        <v>359.17315200000002</v>
      </c>
      <c r="E816" s="123">
        <v>0</v>
      </c>
      <c r="F816" s="123">
        <f t="shared" si="180"/>
        <v>538.759728</v>
      </c>
      <c r="G816" s="174"/>
      <c r="H816" s="174"/>
      <c r="I816" s="38"/>
      <c r="N816" s="38"/>
    </row>
    <row r="817" spans="1:14" s="107" customFormat="1" ht="15.75" customHeight="1" x14ac:dyDescent="0.35">
      <c r="A817" s="174">
        <f t="shared" si="179"/>
        <v>6</v>
      </c>
      <c r="B817" s="174"/>
      <c r="C817" s="123" t="s">
        <v>200</v>
      </c>
      <c r="D817" s="123">
        <f t="shared" si="169"/>
        <v>359.17315200000002</v>
      </c>
      <c r="E817" s="123">
        <v>0</v>
      </c>
      <c r="F817" s="123">
        <f t="shared" si="180"/>
        <v>538.759728</v>
      </c>
      <c r="G817" s="174"/>
      <c r="H817" s="174"/>
      <c r="I817" s="38"/>
      <c r="N817" s="38"/>
    </row>
    <row r="818" spans="1:14" s="107" customFormat="1" ht="15.75" customHeight="1" x14ac:dyDescent="0.35">
      <c r="A818" s="174">
        <f t="shared" si="179"/>
        <v>7</v>
      </c>
      <c r="B818" s="174"/>
      <c r="C818" s="123" t="s">
        <v>200</v>
      </c>
      <c r="D818" s="123">
        <f t="shared" si="169"/>
        <v>359.17315200000002</v>
      </c>
      <c r="E818" s="123">
        <v>0</v>
      </c>
      <c r="F818" s="123">
        <f t="shared" si="180"/>
        <v>538.759728</v>
      </c>
      <c r="G818" s="174"/>
      <c r="H818" s="174"/>
      <c r="I818" s="38"/>
      <c r="N818" s="38"/>
    </row>
    <row r="819" spans="1:14" s="107" customFormat="1" ht="15.75" customHeight="1" x14ac:dyDescent="0.35">
      <c r="A819" s="174">
        <f t="shared" si="179"/>
        <v>8</v>
      </c>
      <c r="B819" s="174"/>
      <c r="C819" s="123" t="s">
        <v>200</v>
      </c>
      <c r="D819" s="123">
        <f t="shared" si="169"/>
        <v>359.17315200000002</v>
      </c>
      <c r="E819" s="123">
        <v>0</v>
      </c>
      <c r="F819" s="123">
        <f>D819*(($F$422)+1)+(IF(E819&lt;101,E819,IF(E819&lt;201,E819/2,IF(E819&lt;=301,E819/3,E819/4))))</f>
        <v>538.759728</v>
      </c>
      <c r="G819" s="174"/>
      <c r="H819" s="174"/>
      <c r="I819" s="38"/>
      <c r="N819" s="38"/>
    </row>
    <row r="820" spans="1:14" s="107" customFormat="1" ht="15.75" customHeight="1" x14ac:dyDescent="0.35">
      <c r="A820" s="174">
        <f t="shared" si="179"/>
        <v>9</v>
      </c>
      <c r="B820" s="174"/>
      <c r="C820" s="123" t="s">
        <v>200</v>
      </c>
      <c r="D820" s="123">
        <f t="shared" si="169"/>
        <v>359.17315200000002</v>
      </c>
      <c r="E820" s="123">
        <v>0</v>
      </c>
      <c r="F820" s="123">
        <f t="shared" ref="F820:F823" si="181">D820*(($F$422)+1)+(IF(E820&lt;101,E820,IF(E820&lt;201,E820/2,IF(E820&lt;=301,E820/3,E820/4))))</f>
        <v>538.759728</v>
      </c>
      <c r="G820" s="174"/>
      <c r="H820" s="174"/>
      <c r="I820" s="38"/>
      <c r="N820" s="38"/>
    </row>
    <row r="821" spans="1:14" s="107" customFormat="1" ht="15.75" customHeight="1" x14ac:dyDescent="0.35">
      <c r="A821" s="174">
        <f t="shared" si="179"/>
        <v>10</v>
      </c>
      <c r="B821" s="174"/>
      <c r="C821" s="123" t="s">
        <v>200</v>
      </c>
      <c r="D821" s="123">
        <f t="shared" si="169"/>
        <v>359.17315200000002</v>
      </c>
      <c r="E821" s="123">
        <v>0</v>
      </c>
      <c r="F821" s="123">
        <f t="shared" si="181"/>
        <v>538.759728</v>
      </c>
      <c r="G821" s="174"/>
      <c r="H821" s="174"/>
      <c r="I821" s="38"/>
      <c r="N821" s="38"/>
    </row>
    <row r="822" spans="1:14" s="107" customFormat="1" ht="15.75" customHeight="1" x14ac:dyDescent="0.35">
      <c r="A822" s="174">
        <f t="shared" si="179"/>
        <v>11</v>
      </c>
      <c r="B822" s="174"/>
      <c r="C822" s="123" t="s">
        <v>200</v>
      </c>
      <c r="D822" s="123">
        <f t="shared" si="169"/>
        <v>359.17315200000002</v>
      </c>
      <c r="E822" s="123">
        <v>0</v>
      </c>
      <c r="F822" s="123">
        <f t="shared" si="181"/>
        <v>538.759728</v>
      </c>
      <c r="G822" s="174"/>
      <c r="H822" s="174"/>
      <c r="I822" s="38"/>
      <c r="N822" s="38"/>
    </row>
    <row r="823" spans="1:14" s="107" customFormat="1" ht="15.75" customHeight="1" x14ac:dyDescent="0.35">
      <c r="A823" s="174">
        <f t="shared" si="179"/>
        <v>12</v>
      </c>
      <c r="B823" s="174"/>
      <c r="C823" s="123" t="s">
        <v>200</v>
      </c>
      <c r="D823" s="123">
        <f t="shared" si="169"/>
        <v>359.17315200000002</v>
      </c>
      <c r="E823" s="123">
        <v>0</v>
      </c>
      <c r="F823" s="123">
        <f t="shared" si="181"/>
        <v>538.759728</v>
      </c>
      <c r="G823" s="174"/>
      <c r="H823" s="174"/>
      <c r="I823" s="38"/>
      <c r="N823" s="38"/>
    </row>
    <row r="824" spans="1:14" s="107" customFormat="1" ht="15.75" customHeight="1" x14ac:dyDescent="0.35">
      <c r="A824" s="174">
        <f t="shared" si="179"/>
        <v>13</v>
      </c>
      <c r="B824" s="174"/>
      <c r="C824" s="174" t="s">
        <v>172</v>
      </c>
      <c r="D824" s="174"/>
      <c r="E824" s="174"/>
      <c r="F824" s="174"/>
      <c r="G824" s="174"/>
      <c r="H824" s="174"/>
      <c r="I824" s="38"/>
      <c r="N824" s="38"/>
    </row>
    <row r="825" spans="1:14" s="107" customFormat="1" ht="15.75" customHeight="1" x14ac:dyDescent="0.35">
      <c r="A825" s="174">
        <f t="shared" si="179"/>
        <v>14</v>
      </c>
      <c r="B825" s="174"/>
      <c r="C825" s="174"/>
      <c r="D825" s="174"/>
      <c r="E825" s="174"/>
      <c r="F825" s="174"/>
      <c r="G825" s="174"/>
      <c r="H825" s="174"/>
      <c r="I825" s="38"/>
      <c r="N825" s="38"/>
    </row>
    <row r="826" spans="1:14" s="107" customFormat="1" ht="15.75" customHeight="1" x14ac:dyDescent="0.35">
      <c r="A826" s="174">
        <f t="shared" si="179"/>
        <v>15</v>
      </c>
      <c r="B826" s="174"/>
      <c r="C826" s="174"/>
      <c r="D826" s="174"/>
      <c r="E826" s="174"/>
      <c r="F826" s="174"/>
      <c r="G826" s="174"/>
      <c r="H826" s="174"/>
      <c r="I826" s="38"/>
      <c r="N826" s="38"/>
    </row>
    <row r="827" spans="1:14" s="107" customFormat="1" ht="15.75" customHeight="1" x14ac:dyDescent="0.35">
      <c r="A827" s="174">
        <f t="shared" si="179"/>
        <v>16</v>
      </c>
      <c r="B827" s="174"/>
      <c r="C827" s="123" t="s">
        <v>200</v>
      </c>
      <c r="D827" s="123">
        <f t="shared" si="169"/>
        <v>359.17315200000002</v>
      </c>
      <c r="E827" s="123">
        <v>0</v>
      </c>
      <c r="F827" s="123">
        <f t="shared" ref="F827:F828" si="182">D827*(($F$422)+1)+(IF(E827&lt;101,E827,IF(E827&lt;201,E827/2,IF(E827&lt;=301,E827/3,E827/4))))</f>
        <v>538.759728</v>
      </c>
      <c r="G827" s="174"/>
      <c r="H827" s="174"/>
      <c r="I827" s="38"/>
      <c r="N827" s="38"/>
    </row>
    <row r="828" spans="1:14" s="107" customFormat="1" ht="15.75" customHeight="1" x14ac:dyDescent="0.35">
      <c r="A828" s="174">
        <f t="shared" si="179"/>
        <v>17</v>
      </c>
      <c r="B828" s="174"/>
      <c r="C828" s="123" t="s">
        <v>200</v>
      </c>
      <c r="D828" s="123">
        <f t="shared" si="169"/>
        <v>359.17315200000002</v>
      </c>
      <c r="E828" s="123">
        <v>0</v>
      </c>
      <c r="F828" s="123">
        <f t="shared" si="182"/>
        <v>538.759728</v>
      </c>
      <c r="G828" s="174"/>
      <c r="H828" s="174"/>
      <c r="I828" s="38"/>
      <c r="N828" s="38"/>
    </row>
    <row r="829" spans="1:14" s="107" customFormat="1" ht="15.75" customHeight="1" x14ac:dyDescent="0.35">
      <c r="A829" s="174">
        <f t="shared" si="179"/>
        <v>18</v>
      </c>
      <c r="B829" s="174"/>
      <c r="C829" s="123" t="s">
        <v>200</v>
      </c>
      <c r="D829" s="123">
        <f t="shared" si="169"/>
        <v>359.17315200000002</v>
      </c>
      <c r="E829" s="123">
        <v>0</v>
      </c>
      <c r="F829" s="123">
        <f>D829*(($F$422)+1)+(IF(E829&lt;101,E829,IF(E829&lt;201,E829/2,IF(E829&lt;=301,E829/3,E829/4))))</f>
        <v>538.759728</v>
      </c>
      <c r="G829" s="174"/>
      <c r="H829" s="174"/>
      <c r="I829" s="38"/>
      <c r="N829" s="38"/>
    </row>
    <row r="830" spans="1:14" s="107" customFormat="1" ht="15.75" customHeight="1" x14ac:dyDescent="0.35">
      <c r="A830" s="174">
        <f t="shared" si="179"/>
        <v>19</v>
      </c>
      <c r="B830" s="174"/>
      <c r="C830" s="123" t="s">
        <v>200</v>
      </c>
      <c r="D830" s="123">
        <f t="shared" si="169"/>
        <v>359.17315200000002</v>
      </c>
      <c r="E830" s="123">
        <v>0</v>
      </c>
      <c r="F830" s="123">
        <f t="shared" ref="F830:F834" si="183">D830*(($F$422)+1)+(IF(E830&lt;101,E830,IF(E830&lt;201,E830/2,IF(E830&lt;=301,E830/3,E830/4))))</f>
        <v>538.759728</v>
      </c>
      <c r="G830" s="174"/>
      <c r="H830" s="174"/>
      <c r="I830" s="38"/>
      <c r="N830" s="38"/>
    </row>
    <row r="831" spans="1:14" s="107" customFormat="1" ht="15.75" customHeight="1" x14ac:dyDescent="0.35">
      <c r="A831" s="174">
        <f t="shared" si="179"/>
        <v>20</v>
      </c>
      <c r="B831" s="174"/>
      <c r="C831" s="123" t="s">
        <v>200</v>
      </c>
      <c r="D831" s="123">
        <f t="shared" si="169"/>
        <v>359.17315200000002</v>
      </c>
      <c r="E831" s="123">
        <v>0</v>
      </c>
      <c r="F831" s="123">
        <f t="shared" si="183"/>
        <v>538.759728</v>
      </c>
      <c r="G831" s="174"/>
      <c r="H831" s="174"/>
      <c r="I831" s="38"/>
      <c r="N831" s="38"/>
    </row>
    <row r="832" spans="1:14" s="107" customFormat="1" ht="15.75" customHeight="1" x14ac:dyDescent="0.35">
      <c r="A832" s="174">
        <f t="shared" si="179"/>
        <v>21</v>
      </c>
      <c r="B832" s="174"/>
      <c r="C832" s="123" t="s">
        <v>200</v>
      </c>
      <c r="D832" s="123">
        <f t="shared" si="169"/>
        <v>359.17315200000002</v>
      </c>
      <c r="E832" s="123">
        <v>0</v>
      </c>
      <c r="F832" s="123">
        <f t="shared" si="183"/>
        <v>538.759728</v>
      </c>
      <c r="G832" s="174"/>
      <c r="H832" s="174"/>
      <c r="I832" s="38"/>
      <c r="N832" s="38"/>
    </row>
    <row r="833" spans="1:14" s="107" customFormat="1" ht="15.75" customHeight="1" x14ac:dyDescent="0.35">
      <c r="A833" s="174">
        <f t="shared" si="179"/>
        <v>22</v>
      </c>
      <c r="B833" s="174"/>
      <c r="C833" s="123" t="s">
        <v>200</v>
      </c>
      <c r="D833" s="123">
        <f t="shared" si="169"/>
        <v>359.17315200000002</v>
      </c>
      <c r="E833" s="123">
        <v>0</v>
      </c>
      <c r="F833" s="123">
        <f t="shared" si="183"/>
        <v>538.759728</v>
      </c>
      <c r="G833" s="174"/>
      <c r="H833" s="174"/>
      <c r="I833" s="38"/>
      <c r="N833" s="38"/>
    </row>
    <row r="834" spans="1:14" s="107" customFormat="1" ht="15.75" customHeight="1" x14ac:dyDescent="0.35">
      <c r="A834" s="174">
        <f t="shared" si="179"/>
        <v>23</v>
      </c>
      <c r="B834" s="174"/>
      <c r="C834" s="123" t="s">
        <v>200</v>
      </c>
      <c r="D834" s="123">
        <f t="shared" si="169"/>
        <v>359.17315200000002</v>
      </c>
      <c r="E834" s="123">
        <v>0</v>
      </c>
      <c r="F834" s="123">
        <f t="shared" si="183"/>
        <v>538.759728</v>
      </c>
      <c r="G834" s="174"/>
      <c r="H834" s="174"/>
      <c r="I834" s="38"/>
      <c r="N834" s="38"/>
    </row>
    <row r="835" spans="1:14" s="107" customFormat="1" ht="15.75" customHeight="1" x14ac:dyDescent="0.35">
      <c r="A835" s="174">
        <f t="shared" si="179"/>
        <v>24</v>
      </c>
      <c r="B835" s="174"/>
      <c r="C835" s="123" t="s">
        <v>200</v>
      </c>
      <c r="D835" s="123">
        <f t="shared" si="169"/>
        <v>359.17315200000002</v>
      </c>
      <c r="E835" s="123">
        <v>0</v>
      </c>
      <c r="F835" s="123">
        <f>D835*(($F$422)+1)+(IF(E835&lt;101,E835,IF(E835&lt;201,E835/2,IF(E835&lt;=301,E835/3,E835/4))))</f>
        <v>538.759728</v>
      </c>
      <c r="G835" s="174"/>
      <c r="H835" s="174"/>
      <c r="I835" s="38"/>
      <c r="N835" s="38"/>
    </row>
    <row r="836" spans="1:14" s="107" customFormat="1" ht="15.75" customHeight="1" x14ac:dyDescent="0.35">
      <c r="A836" s="174">
        <f t="shared" si="179"/>
        <v>25</v>
      </c>
      <c r="B836" s="174"/>
      <c r="C836" s="123" t="s">
        <v>200</v>
      </c>
      <c r="D836" s="123">
        <f t="shared" si="169"/>
        <v>359.17315200000002</v>
      </c>
      <c r="E836" s="123">
        <v>0</v>
      </c>
      <c r="F836" s="123">
        <f t="shared" ref="F836:F839" si="184">D836*(($F$422)+1)+(IF(E836&lt;101,E836,IF(E836&lt;201,E836/2,IF(E836&lt;=301,E836/3,E836/4))))</f>
        <v>538.759728</v>
      </c>
      <c r="G836" s="174"/>
      <c r="H836" s="174"/>
      <c r="I836" s="38"/>
      <c r="N836" s="38"/>
    </row>
    <row r="837" spans="1:14" s="107" customFormat="1" ht="15.75" customHeight="1" x14ac:dyDescent="0.35">
      <c r="A837" s="174">
        <f t="shared" si="179"/>
        <v>26</v>
      </c>
      <c r="B837" s="174"/>
      <c r="C837" s="123" t="s">
        <v>200</v>
      </c>
      <c r="D837" s="123">
        <f t="shared" si="169"/>
        <v>359.17315200000002</v>
      </c>
      <c r="E837" s="123">
        <v>0</v>
      </c>
      <c r="F837" s="123">
        <f t="shared" si="184"/>
        <v>538.759728</v>
      </c>
      <c r="G837" s="174"/>
      <c r="H837" s="174"/>
      <c r="I837" s="38"/>
      <c r="N837" s="38"/>
    </row>
    <row r="838" spans="1:14" s="107" customFormat="1" ht="15.75" customHeight="1" x14ac:dyDescent="0.35">
      <c r="A838" s="174">
        <f t="shared" si="179"/>
        <v>27</v>
      </c>
      <c r="B838" s="174"/>
      <c r="C838" s="123" t="s">
        <v>200</v>
      </c>
      <c r="D838" s="123">
        <f t="shared" si="169"/>
        <v>359.17315200000002</v>
      </c>
      <c r="E838" s="123">
        <v>0</v>
      </c>
      <c r="F838" s="123">
        <f t="shared" si="184"/>
        <v>538.759728</v>
      </c>
      <c r="G838" s="174"/>
      <c r="H838" s="174"/>
      <c r="I838" s="38"/>
      <c r="N838" s="38"/>
    </row>
    <row r="839" spans="1:14" s="107" customFormat="1" ht="15.75" customHeight="1" x14ac:dyDescent="0.35">
      <c r="A839" s="174">
        <f t="shared" si="179"/>
        <v>28</v>
      </c>
      <c r="B839" s="174"/>
      <c r="C839" s="123" t="s">
        <v>200</v>
      </c>
      <c r="D839" s="123">
        <f t="shared" si="169"/>
        <v>359.17315200000002</v>
      </c>
      <c r="E839" s="123">
        <v>0</v>
      </c>
      <c r="F839" s="123">
        <f t="shared" si="184"/>
        <v>538.759728</v>
      </c>
      <c r="G839" s="174"/>
      <c r="H839" s="174"/>
      <c r="I839" s="38"/>
      <c r="N839" s="38"/>
    </row>
    <row r="840" spans="1:14" x14ac:dyDescent="0.35">
      <c r="A840" s="177" t="s">
        <v>206</v>
      </c>
      <c r="B840" s="177"/>
      <c r="C840" s="177"/>
      <c r="D840" s="177"/>
      <c r="E840" s="177"/>
      <c r="F840" s="177"/>
      <c r="G840" s="177"/>
      <c r="H840" s="177"/>
    </row>
    <row r="841" spans="1:14" s="103" customFormat="1" x14ac:dyDescent="0.35">
      <c r="A841" s="183" t="s">
        <v>169</v>
      </c>
      <c r="B841" s="183"/>
      <c r="C841" s="183"/>
      <c r="D841" s="183"/>
      <c r="E841" s="183"/>
      <c r="F841" s="183"/>
      <c r="G841" s="183"/>
      <c r="H841" s="183"/>
      <c r="I841" s="38"/>
      <c r="L841" s="182"/>
      <c r="M841" s="182"/>
    </row>
    <row r="842" spans="1:14" s="103" customFormat="1" ht="15.75" customHeight="1" x14ac:dyDescent="0.35">
      <c r="A842" s="174">
        <v>1</v>
      </c>
      <c r="B842" s="174"/>
      <c r="C842" s="127" t="s">
        <v>200</v>
      </c>
      <c r="D842" s="127">
        <f>(23.69+1.5*1.8+1.2*1.8+3.18*0.75+0.45*1.67)*10.764</f>
        <v>341.073486</v>
      </c>
      <c r="E842" s="127">
        <f>(5*1.2)*10.764</f>
        <v>64.584000000000003</v>
      </c>
      <c r="F842" s="127">
        <f t="shared" ref="F842:F843" si="185">D842*(($F$422)+1)+(IF(E842&lt;101,E842,IF(E842&lt;201,E842/2,IF(E842&lt;=301,E842/3,E842/4))))</f>
        <v>576.19422899999995</v>
      </c>
      <c r="G842" s="174" t="str">
        <f>A841</f>
        <v>1st Floor for Residential</v>
      </c>
      <c r="H842" s="174"/>
      <c r="I842" s="38">
        <f>2.44*2.9+1.68*2.24+2.42*3.13+0.95*1.22+1.14*1.84+0.9*2.1</f>
        <v>23.560399999999998</v>
      </c>
      <c r="N842" s="38"/>
    </row>
    <row r="843" spans="1:14" s="103" customFormat="1" ht="15.75" customHeight="1" x14ac:dyDescent="0.35">
      <c r="A843" s="174">
        <f t="shared" ref="A843:A869" si="186">A842+1</f>
        <v>2</v>
      </c>
      <c r="B843" s="174"/>
      <c r="C843" s="127" t="s">
        <v>200</v>
      </c>
      <c r="D843" s="127">
        <f>(23.69+1.5*1.8+1.2*1.2+0.45*1.67+0.75*3.16)*10.764</f>
        <v>333.161946</v>
      </c>
      <c r="E843" s="127">
        <f>(3.5*1.8)*10.764</f>
        <v>67.813199999999995</v>
      </c>
      <c r="F843" s="127">
        <f t="shared" si="185"/>
        <v>567.55611900000008</v>
      </c>
      <c r="G843" s="174" t="str">
        <f t="shared" ref="G843:G869" si="187">G842</f>
        <v>1st Floor for Residential</v>
      </c>
      <c r="H843" s="174"/>
      <c r="I843" s="38"/>
      <c r="N843" s="38"/>
    </row>
    <row r="844" spans="1:14" s="103" customFormat="1" ht="15.75" customHeight="1" x14ac:dyDescent="0.35">
      <c r="A844" s="174">
        <f t="shared" si="186"/>
        <v>3</v>
      </c>
      <c r="B844" s="174"/>
      <c r="C844" s="127" t="s">
        <v>200</v>
      </c>
      <c r="D844" s="127">
        <f>(23.69+1.5*1.8+1.2*1.2+0.45*1.67+0.75*3.16)*10.764</f>
        <v>333.161946</v>
      </c>
      <c r="E844" s="127">
        <f>(3.5*1.8+5*1.2+1.4*2.7)*10.764</f>
        <v>173.08512000000002</v>
      </c>
      <c r="F844" s="127">
        <f>D844*(($F$422)+1)+(IF(E844&lt;101,E844,IF(E844&lt;201,E844/2,IF(E844&lt;=301,E844/3,E844/4))))</f>
        <v>586.28547900000001</v>
      </c>
      <c r="G844" s="174" t="str">
        <f t="shared" si="187"/>
        <v>1st Floor for Residential</v>
      </c>
      <c r="H844" s="174"/>
      <c r="I844" s="38"/>
      <c r="N844" s="38"/>
    </row>
    <row r="845" spans="1:14" s="103" customFormat="1" ht="15.75" customHeight="1" x14ac:dyDescent="0.35">
      <c r="A845" s="174">
        <f t="shared" si="186"/>
        <v>4</v>
      </c>
      <c r="B845" s="174"/>
      <c r="C845" s="127" t="s">
        <v>200</v>
      </c>
      <c r="D845" s="127">
        <f>(23.69+1.5*1.8+1.2*1.8+3.18*0.75+0.45*1.67)*10.764</f>
        <v>341.073486</v>
      </c>
      <c r="E845" s="127">
        <f>(5*1.2)*10.764</f>
        <v>64.584000000000003</v>
      </c>
      <c r="F845" s="127">
        <f t="shared" ref="F845:F848" si="188">D845*(($F$422)+1)+(IF(E845&lt;101,E845,IF(E845&lt;201,E845/2,IF(E845&lt;=301,E845/3,E845/4))))</f>
        <v>576.19422899999995</v>
      </c>
      <c r="G845" s="174" t="str">
        <f t="shared" si="187"/>
        <v>1st Floor for Residential</v>
      </c>
      <c r="H845" s="174"/>
      <c r="I845" s="38"/>
      <c r="N845" s="38"/>
    </row>
    <row r="846" spans="1:14" s="103" customFormat="1" ht="15.75" customHeight="1" x14ac:dyDescent="0.35">
      <c r="A846" s="174">
        <f t="shared" si="186"/>
        <v>5</v>
      </c>
      <c r="B846" s="174"/>
      <c r="C846" s="127" t="s">
        <v>200</v>
      </c>
      <c r="D846" s="127">
        <f>(23.69+1.5*1.8+1.2*1.8+3.18*0.75+0.45*1.67)*10.764</f>
        <v>341.073486</v>
      </c>
      <c r="E846" s="127">
        <f>(5*1.2)*10.764</f>
        <v>64.584000000000003</v>
      </c>
      <c r="F846" s="127">
        <f t="shared" si="188"/>
        <v>576.19422899999995</v>
      </c>
      <c r="G846" s="174" t="str">
        <f t="shared" si="187"/>
        <v>1st Floor for Residential</v>
      </c>
      <c r="H846" s="174"/>
      <c r="I846" s="38"/>
      <c r="N846" s="38"/>
    </row>
    <row r="847" spans="1:14" s="103" customFormat="1" ht="15.75" customHeight="1" x14ac:dyDescent="0.35">
      <c r="A847" s="174">
        <f t="shared" si="186"/>
        <v>6</v>
      </c>
      <c r="B847" s="174"/>
      <c r="C847" s="127" t="s">
        <v>200</v>
      </c>
      <c r="D847" s="127">
        <f>(23.69+1.5*1.8+0.45*1.67+1.2*1.2)*10.764</f>
        <v>307.65126600000002</v>
      </c>
      <c r="E847" s="127">
        <f>(1.2*5+1.8*2.7)*10.764</f>
        <v>116.89703999999999</v>
      </c>
      <c r="F847" s="127">
        <f t="shared" si="188"/>
        <v>519.92541900000003</v>
      </c>
      <c r="G847" s="174" t="str">
        <f t="shared" si="187"/>
        <v>1st Floor for Residential</v>
      </c>
      <c r="H847" s="174"/>
      <c r="I847" s="38"/>
      <c r="N847" s="38"/>
    </row>
    <row r="848" spans="1:14" s="103" customFormat="1" ht="15.75" customHeight="1" x14ac:dyDescent="0.35">
      <c r="A848" s="174">
        <f t="shared" si="186"/>
        <v>7</v>
      </c>
      <c r="B848" s="174"/>
      <c r="C848" s="127" t="s">
        <v>200</v>
      </c>
      <c r="D848" s="127">
        <f>(23.69+1.5*1.8+0.45*1.67)*10.764</f>
        <v>292.15110599999997</v>
      </c>
      <c r="E848" s="127">
        <f>(6.4*1.2+2.7*1.8+4.5*1.2)*10.764</f>
        <v>193.10615999999996</v>
      </c>
      <c r="F848" s="127">
        <f t="shared" si="188"/>
        <v>534.77973899999995</v>
      </c>
      <c r="G848" s="174" t="str">
        <f t="shared" si="187"/>
        <v>1st Floor for Residential</v>
      </c>
      <c r="H848" s="174"/>
      <c r="I848" s="38"/>
      <c r="N848" s="38"/>
    </row>
    <row r="849" spans="1:14" s="103" customFormat="1" ht="15.75" customHeight="1" x14ac:dyDescent="0.35">
      <c r="A849" s="174">
        <f t="shared" si="186"/>
        <v>8</v>
      </c>
      <c r="B849" s="174"/>
      <c r="C849" s="127" t="s">
        <v>200</v>
      </c>
      <c r="D849" s="127">
        <f>(23.69+1.5*1.8+0.45*1.67+3.16*0.75)*10.764</f>
        <v>317.66178600000001</v>
      </c>
      <c r="E849" s="127">
        <f>(1.2*5+1.8*3.5+0.6*1)*10.764</f>
        <v>138.85559999999998</v>
      </c>
      <c r="F849" s="127">
        <f>D849*(($F$422)+1)+(IF(E849&lt;101,E849,IF(E849&lt;201,E849/2,IF(E849&lt;=301,E849/3,E849/4))))</f>
        <v>545.920479</v>
      </c>
      <c r="G849" s="174" t="str">
        <f t="shared" si="187"/>
        <v>1st Floor for Residential</v>
      </c>
      <c r="H849" s="174"/>
      <c r="I849" s="38"/>
      <c r="N849" s="38"/>
    </row>
    <row r="850" spans="1:14" s="103" customFormat="1" ht="15.75" customHeight="1" x14ac:dyDescent="0.35">
      <c r="A850" s="174">
        <f t="shared" si="186"/>
        <v>9</v>
      </c>
      <c r="B850" s="174"/>
      <c r="C850" s="127" t="s">
        <v>200</v>
      </c>
      <c r="D850" s="127">
        <f>(23.69+1.5*1.8+0.45*1.67)*10.764</f>
        <v>292.15110599999997</v>
      </c>
      <c r="E850" s="127">
        <f>(6.4*1.2+2.7*1.8+4.5*1.2)*10.764</f>
        <v>193.10615999999996</v>
      </c>
      <c r="F850" s="127">
        <f t="shared" ref="F850:F853" si="189">D850*(($F$422)+1)+(IF(E850&lt;101,E850,IF(E850&lt;201,E850/2,IF(E850&lt;=301,E850/3,E850/4))))</f>
        <v>534.77973899999995</v>
      </c>
      <c r="G850" s="174" t="str">
        <f t="shared" si="187"/>
        <v>1st Floor for Residential</v>
      </c>
      <c r="H850" s="174"/>
      <c r="I850" s="38"/>
      <c r="N850" s="38"/>
    </row>
    <row r="851" spans="1:14" s="103" customFormat="1" ht="15.75" customHeight="1" x14ac:dyDescent="0.35">
      <c r="A851" s="174">
        <f t="shared" si="186"/>
        <v>10</v>
      </c>
      <c r="B851" s="174"/>
      <c r="C851" s="127" t="s">
        <v>200</v>
      </c>
      <c r="D851" s="127">
        <f>(23.69+1.5*1.8+0.45*1.67)*10.764</f>
        <v>292.15110599999997</v>
      </c>
      <c r="E851" s="127">
        <f>(6.4*1.2+2.7*1.8+4.5*1.2)*10.764</f>
        <v>193.10615999999996</v>
      </c>
      <c r="F851" s="127">
        <f t="shared" si="189"/>
        <v>534.77973899999995</v>
      </c>
      <c r="G851" s="174" t="str">
        <f t="shared" si="187"/>
        <v>1st Floor for Residential</v>
      </c>
      <c r="H851" s="174"/>
      <c r="I851" s="38"/>
      <c r="N851" s="38"/>
    </row>
    <row r="852" spans="1:14" s="103" customFormat="1" ht="15.75" customHeight="1" x14ac:dyDescent="0.35">
      <c r="A852" s="174">
        <f t="shared" si="186"/>
        <v>11</v>
      </c>
      <c r="B852" s="174"/>
      <c r="C852" s="127" t="s">
        <v>200</v>
      </c>
      <c r="D852" s="127">
        <f>(23.69+1.5*1.8+0.45*1.67+0.6*2.24)*10.764</f>
        <v>306.61792200000002</v>
      </c>
      <c r="E852" s="127">
        <f>(6.4*1.2+4.5*1.5)*10.764</f>
        <v>155.32451999999998</v>
      </c>
      <c r="F852" s="127">
        <f t="shared" si="189"/>
        <v>537.58914300000004</v>
      </c>
      <c r="G852" s="174" t="str">
        <f t="shared" si="187"/>
        <v>1st Floor for Residential</v>
      </c>
      <c r="H852" s="174"/>
      <c r="I852" s="38"/>
      <c r="N852" s="38"/>
    </row>
    <row r="853" spans="1:14" s="103" customFormat="1" ht="15.75" customHeight="1" x14ac:dyDescent="0.35">
      <c r="A853" s="174">
        <f t="shared" si="186"/>
        <v>12</v>
      </c>
      <c r="B853" s="174"/>
      <c r="C853" s="127" t="s">
        <v>200</v>
      </c>
      <c r="D853" s="127">
        <f>(23.69+1.5*1.8+3.16*0.75+1.2*1.2+0.45*1.67)*10.764</f>
        <v>333.161946</v>
      </c>
      <c r="E853" s="127">
        <f>(3.5*1.8)*10.764</f>
        <v>67.813199999999995</v>
      </c>
      <c r="F853" s="127">
        <f t="shared" si="189"/>
        <v>567.55611900000008</v>
      </c>
      <c r="G853" s="174" t="str">
        <f t="shared" si="187"/>
        <v>1st Floor for Residential</v>
      </c>
      <c r="H853" s="174"/>
      <c r="I853" s="38"/>
      <c r="N853" s="38"/>
    </row>
    <row r="854" spans="1:14" s="103" customFormat="1" ht="15.75" customHeight="1" x14ac:dyDescent="0.35">
      <c r="A854" s="174">
        <f t="shared" si="186"/>
        <v>13</v>
      </c>
      <c r="B854" s="174"/>
      <c r="C854" s="127" t="s">
        <v>200</v>
      </c>
      <c r="D854" s="127">
        <f>(23.69+1.5*1.8+0.45*1.67)*10.764</f>
        <v>292.15110599999997</v>
      </c>
      <c r="E854" s="127">
        <f>(1.8*2.5+4.5*1.2+4.2*1.2)*10.764</f>
        <v>160.81415999999996</v>
      </c>
      <c r="F854" s="127">
        <f>D854*(($F$422)+1)+(IF(E854&lt;101,E854,IF(E854&lt;201,E854/2,IF(E854&lt;=301,E854/3,E854/4))))</f>
        <v>518.63373899999988</v>
      </c>
      <c r="G854" s="174" t="str">
        <f t="shared" si="187"/>
        <v>1st Floor for Residential</v>
      </c>
      <c r="H854" s="174"/>
      <c r="I854" s="38"/>
      <c r="N854" s="38"/>
    </row>
    <row r="855" spans="1:14" s="103" customFormat="1" ht="15.75" customHeight="1" x14ac:dyDescent="0.35">
      <c r="A855" s="174">
        <f t="shared" si="186"/>
        <v>14</v>
      </c>
      <c r="B855" s="174"/>
      <c r="C855" s="127" t="s">
        <v>200</v>
      </c>
      <c r="D855" s="127">
        <f>(23.69+1.5*1.8+0.45*1.67)*10.764</f>
        <v>292.15110599999997</v>
      </c>
      <c r="E855" s="127">
        <f>(1.8*2.5+4.5*1.2+4.2*1.2)*10.764</f>
        <v>160.81415999999996</v>
      </c>
      <c r="F855" s="127">
        <f t="shared" ref="F855" si="190">D855*(($F$422)+1)+(IF(E855&lt;101,E855,IF(E855&lt;201,E855/2,IF(E855&lt;=301,E855/3,E855/4))))</f>
        <v>518.63373899999988</v>
      </c>
      <c r="G855" s="174" t="str">
        <f t="shared" si="187"/>
        <v>1st Floor for Residential</v>
      </c>
      <c r="H855" s="174"/>
      <c r="I855" s="38"/>
      <c r="N855" s="38"/>
    </row>
    <row r="856" spans="1:14" s="103" customFormat="1" ht="15.75" customHeight="1" x14ac:dyDescent="0.35">
      <c r="A856" s="174">
        <f t="shared" si="186"/>
        <v>15</v>
      </c>
      <c r="B856" s="174"/>
      <c r="C856" s="127" t="s">
        <v>200</v>
      </c>
      <c r="D856" s="127">
        <f>(23.69+1.5*1.8+3.16*0.75+1.2*1.2+0.45*1.67)*10.764</f>
        <v>333.161946</v>
      </c>
      <c r="E856" s="127">
        <f>(3.5*1.8)*10.764</f>
        <v>67.813199999999995</v>
      </c>
      <c r="F856" s="127">
        <f>D856*(($F$422)+1)+(IF(E856&lt;101,E856,IF(E856&lt;201,E856/2,IF(E856&lt;=301,E856/3,E856/4))))</f>
        <v>567.55611900000008</v>
      </c>
      <c r="G856" s="174" t="str">
        <f t="shared" si="187"/>
        <v>1st Floor for Residential</v>
      </c>
      <c r="H856" s="174"/>
      <c r="I856" s="38"/>
      <c r="N856" s="38"/>
    </row>
    <row r="857" spans="1:14" s="103" customFormat="1" ht="15.75" customHeight="1" x14ac:dyDescent="0.35">
      <c r="A857" s="174">
        <f t="shared" si="186"/>
        <v>16</v>
      </c>
      <c r="B857" s="174"/>
      <c r="C857" s="127" t="s">
        <v>200</v>
      </c>
      <c r="D857" s="127">
        <f>(23.69+1.5*1.8+0.45*1.67+0.6*2.24)*10.764</f>
        <v>306.61792200000002</v>
      </c>
      <c r="E857" s="127">
        <f>(6.4*1.2+4.5*1.5)*10.764</f>
        <v>155.32451999999998</v>
      </c>
      <c r="F857" s="127">
        <f t="shared" ref="F857:F858" si="191">D857*(($F$422)+1)+(IF(E857&lt;101,E857,IF(E857&lt;201,E857/2,IF(E857&lt;=301,E857/3,E857/4))))</f>
        <v>537.58914300000004</v>
      </c>
      <c r="G857" s="174" t="str">
        <f t="shared" si="187"/>
        <v>1st Floor for Residential</v>
      </c>
      <c r="H857" s="174"/>
      <c r="I857" s="38"/>
      <c r="N857" s="38"/>
    </row>
    <row r="858" spans="1:14" s="103" customFormat="1" ht="15.75" customHeight="1" x14ac:dyDescent="0.35">
      <c r="A858" s="174">
        <f t="shared" si="186"/>
        <v>17</v>
      </c>
      <c r="B858" s="174"/>
      <c r="C858" s="127" t="s">
        <v>200</v>
      </c>
      <c r="D858" s="127">
        <f>(23.69+1.5*1.8+0.45*1.67)*10.764</f>
        <v>292.15110599999997</v>
      </c>
      <c r="E858" s="127">
        <f>(6.4*1.2+2.7*1.8+4.5*1.2)*10.764</f>
        <v>193.10615999999996</v>
      </c>
      <c r="F858" s="127">
        <f t="shared" si="191"/>
        <v>534.77973899999995</v>
      </c>
      <c r="G858" s="174" t="str">
        <f t="shared" si="187"/>
        <v>1st Floor for Residential</v>
      </c>
      <c r="H858" s="174"/>
      <c r="I858" s="38"/>
      <c r="N858" s="38"/>
    </row>
    <row r="859" spans="1:14" s="103" customFormat="1" ht="15.75" customHeight="1" x14ac:dyDescent="0.35">
      <c r="A859" s="174">
        <f t="shared" si="186"/>
        <v>18</v>
      </c>
      <c r="B859" s="174"/>
      <c r="C859" s="127" t="s">
        <v>200</v>
      </c>
      <c r="D859" s="127">
        <f>(23.69+1.5*1.8+0.45*1.67)*10.764</f>
        <v>292.15110599999997</v>
      </c>
      <c r="E859" s="127">
        <f>(6.4*1.2+2.7*1.8+4.5*1.2)*10.764</f>
        <v>193.10615999999996</v>
      </c>
      <c r="F859" s="127">
        <f>D859*(($F$422)+1)+(IF(E859&lt;101,E859,IF(E859&lt;201,E859/2,IF(E859&lt;=301,E859/3,E859/4))))</f>
        <v>534.77973899999995</v>
      </c>
      <c r="G859" s="174" t="str">
        <f t="shared" si="187"/>
        <v>1st Floor for Residential</v>
      </c>
      <c r="H859" s="174"/>
      <c r="I859" s="38"/>
      <c r="N859" s="38"/>
    </row>
    <row r="860" spans="1:14" s="103" customFormat="1" ht="15.75" customHeight="1" x14ac:dyDescent="0.35">
      <c r="A860" s="174">
        <f t="shared" si="186"/>
        <v>19</v>
      </c>
      <c r="B860" s="174"/>
      <c r="C860" s="127" t="s">
        <v>200</v>
      </c>
      <c r="D860" s="127">
        <f>(23.69+1.5*1.8+0.45*1.67+3.16*0.75)*10.764</f>
        <v>317.66178600000001</v>
      </c>
      <c r="E860" s="127">
        <f>(1.2*5+1.8*3.5+0.6*1)*10.764</f>
        <v>138.85559999999998</v>
      </c>
      <c r="F860" s="127">
        <f t="shared" ref="F860:F864" si="192">D860*(($F$422)+1)+(IF(E860&lt;101,E860,IF(E860&lt;201,E860/2,IF(E860&lt;=301,E860/3,E860/4))))</f>
        <v>545.920479</v>
      </c>
      <c r="G860" s="174" t="str">
        <f t="shared" si="187"/>
        <v>1st Floor for Residential</v>
      </c>
      <c r="H860" s="174"/>
      <c r="I860" s="38"/>
      <c r="N860" s="38"/>
    </row>
    <row r="861" spans="1:14" s="103" customFormat="1" ht="15.75" customHeight="1" x14ac:dyDescent="0.35">
      <c r="A861" s="174">
        <f t="shared" si="186"/>
        <v>20</v>
      </c>
      <c r="B861" s="174"/>
      <c r="C861" s="127" t="s">
        <v>200</v>
      </c>
      <c r="D861" s="127">
        <f>(23.69+1.5*1.8+0.45*1.67)*10.764</f>
        <v>292.15110599999997</v>
      </c>
      <c r="E861" s="127">
        <f>(6.4*1.2+2.7*1.8+4.5*1.2)*10.764</f>
        <v>193.10615999999996</v>
      </c>
      <c r="F861" s="127">
        <f t="shared" si="192"/>
        <v>534.77973899999995</v>
      </c>
      <c r="G861" s="174" t="str">
        <f t="shared" si="187"/>
        <v>1st Floor for Residential</v>
      </c>
      <c r="H861" s="174"/>
      <c r="I861" s="38"/>
      <c r="N861" s="38"/>
    </row>
    <row r="862" spans="1:14" s="103" customFormat="1" ht="15.75" customHeight="1" x14ac:dyDescent="0.35">
      <c r="A862" s="174">
        <f t="shared" si="186"/>
        <v>21</v>
      </c>
      <c r="B862" s="174"/>
      <c r="C862" s="127" t="s">
        <v>200</v>
      </c>
      <c r="D862" s="127">
        <f>(23.69+1.5*1.8+0.45*1.67+1.2*1.2)*10.764</f>
        <v>307.65126600000002</v>
      </c>
      <c r="E862" s="127">
        <f>(1.2*5+1.8*2.7)*10.764</f>
        <v>116.89703999999999</v>
      </c>
      <c r="F862" s="127">
        <f t="shared" si="192"/>
        <v>519.92541900000003</v>
      </c>
      <c r="G862" s="174" t="str">
        <f t="shared" si="187"/>
        <v>1st Floor for Residential</v>
      </c>
      <c r="H862" s="174"/>
      <c r="I862" s="38"/>
      <c r="N862" s="38"/>
    </row>
    <row r="863" spans="1:14" s="103" customFormat="1" ht="15.75" customHeight="1" x14ac:dyDescent="0.35">
      <c r="A863" s="174">
        <f t="shared" si="186"/>
        <v>22</v>
      </c>
      <c r="B863" s="174"/>
      <c r="C863" s="127" t="s">
        <v>200</v>
      </c>
      <c r="D863" s="127">
        <f>(23.69+1.5*1.8+0.45*1.67+1.2*1.2)*10.764</f>
        <v>307.65126600000002</v>
      </c>
      <c r="E863" s="127">
        <f>(1.2*5+1.8*2.7)*10.764</f>
        <v>116.89703999999999</v>
      </c>
      <c r="F863" s="127">
        <f t="shared" si="192"/>
        <v>519.92541900000003</v>
      </c>
      <c r="G863" s="174" t="str">
        <f t="shared" si="187"/>
        <v>1st Floor for Residential</v>
      </c>
      <c r="H863" s="174"/>
      <c r="I863" s="38"/>
      <c r="N863" s="38"/>
    </row>
    <row r="864" spans="1:14" s="103" customFormat="1" ht="15.75" customHeight="1" x14ac:dyDescent="0.35">
      <c r="A864" s="174">
        <f t="shared" si="186"/>
        <v>23</v>
      </c>
      <c r="B864" s="174"/>
      <c r="C864" s="127" t="s">
        <v>200</v>
      </c>
      <c r="D864" s="127">
        <f>(23.69+1.5*1.8+0.45*1.67)*10.764</f>
        <v>292.15110599999997</v>
      </c>
      <c r="E864" s="127">
        <f>(6.4*1.2+2.7*1.8+4.5*1.2)*10.764</f>
        <v>193.10615999999996</v>
      </c>
      <c r="F864" s="127">
        <f t="shared" si="192"/>
        <v>534.77973899999995</v>
      </c>
      <c r="G864" s="174" t="str">
        <f t="shared" si="187"/>
        <v>1st Floor for Residential</v>
      </c>
      <c r="H864" s="174"/>
      <c r="I864" s="38"/>
      <c r="N864" s="38"/>
    </row>
    <row r="865" spans="1:14" s="103" customFormat="1" ht="15.75" customHeight="1" x14ac:dyDescent="0.35">
      <c r="A865" s="174">
        <f t="shared" si="186"/>
        <v>24</v>
      </c>
      <c r="B865" s="174"/>
      <c r="C865" s="127" t="s">
        <v>200</v>
      </c>
      <c r="D865" s="127">
        <f>(23.69+1.5*1.8+0.45*1.68+3.16*0.75)*10.764</f>
        <v>317.71022399999998</v>
      </c>
      <c r="E865" s="127">
        <f>(3.5*1.8+1.5*3.5+1.5*1.2+2.8*1.2)*10.764</f>
        <v>179.86644000000001</v>
      </c>
      <c r="F865" s="127">
        <f>D865*(($F$422)+1)+(IF(E865&lt;101,E865,IF(E865&lt;201,E865/2,IF(E865&lt;=301,E865/3,E865/4))))</f>
        <v>566.49855600000001</v>
      </c>
      <c r="G865" s="174" t="str">
        <f t="shared" si="187"/>
        <v>1st Floor for Residential</v>
      </c>
      <c r="H865" s="174"/>
      <c r="I865" s="38"/>
      <c r="N865" s="38"/>
    </row>
    <row r="866" spans="1:14" s="103" customFormat="1" ht="15.75" customHeight="1" x14ac:dyDescent="0.35">
      <c r="A866" s="174">
        <f t="shared" si="186"/>
        <v>25</v>
      </c>
      <c r="B866" s="174"/>
      <c r="C866" s="127" t="s">
        <v>200</v>
      </c>
      <c r="D866" s="127">
        <f>(23.69+1.5*1.8+0.45*1.68+3.16*0.75)*10.764</f>
        <v>317.71022399999998</v>
      </c>
      <c r="E866" s="127">
        <f>(3.5*1.8+5*1.2)*10.764</f>
        <v>132.3972</v>
      </c>
      <c r="F866" s="127">
        <f t="shared" ref="F866:F869" si="193">D866*(($F$422)+1)+(IF(E866&lt;101,E866,IF(E866&lt;201,E866/2,IF(E866&lt;=301,E866/3,E866/4))))</f>
        <v>542.76393600000006</v>
      </c>
      <c r="G866" s="174" t="str">
        <f t="shared" si="187"/>
        <v>1st Floor for Residential</v>
      </c>
      <c r="H866" s="174"/>
      <c r="I866" s="38"/>
      <c r="N866" s="38"/>
    </row>
    <row r="867" spans="1:14" s="103" customFormat="1" ht="15.75" customHeight="1" x14ac:dyDescent="0.35">
      <c r="A867" s="174">
        <f t="shared" si="186"/>
        <v>26</v>
      </c>
      <c r="B867" s="174"/>
      <c r="C867" s="127" t="s">
        <v>200</v>
      </c>
      <c r="D867" s="127">
        <f>(23.69+1.5*1.8+0.45*1.67)*10.764</f>
        <v>292.15110599999997</v>
      </c>
      <c r="E867" s="127">
        <f>(6.4*1.2+2.7*1.8+4.5*1.2)*10.764</f>
        <v>193.10615999999996</v>
      </c>
      <c r="F867" s="127">
        <f t="shared" si="193"/>
        <v>534.77973899999995</v>
      </c>
      <c r="G867" s="174" t="str">
        <f t="shared" si="187"/>
        <v>1st Floor for Residential</v>
      </c>
      <c r="H867" s="174"/>
      <c r="I867" s="38"/>
      <c r="N867" s="38"/>
    </row>
    <row r="868" spans="1:14" s="103" customFormat="1" ht="15.75" customHeight="1" x14ac:dyDescent="0.35">
      <c r="A868" s="174">
        <f t="shared" si="186"/>
        <v>27</v>
      </c>
      <c r="B868" s="174"/>
      <c r="C868" s="127" t="s">
        <v>200</v>
      </c>
      <c r="D868" s="127">
        <f>(23.69+1.5*1.8+0.45*1.67+1.2*1.2)*10.764</f>
        <v>307.65126600000002</v>
      </c>
      <c r="E868" s="127">
        <f>(1.2*5+1.8*2.7)*10.764</f>
        <v>116.89703999999999</v>
      </c>
      <c r="F868" s="127">
        <f t="shared" si="193"/>
        <v>519.92541900000003</v>
      </c>
      <c r="G868" s="174" t="str">
        <f t="shared" si="187"/>
        <v>1st Floor for Residential</v>
      </c>
      <c r="H868" s="174"/>
      <c r="I868" s="38"/>
      <c r="N868" s="38"/>
    </row>
    <row r="869" spans="1:14" s="103" customFormat="1" ht="15.75" customHeight="1" x14ac:dyDescent="0.35">
      <c r="A869" s="174">
        <f t="shared" si="186"/>
        <v>28</v>
      </c>
      <c r="B869" s="174"/>
      <c r="C869" s="127" t="s">
        <v>200</v>
      </c>
      <c r="D869" s="127">
        <f>(23.69+1.8*(1.5+1.2)+0.45*1.68+3.16*0.75)*10.764</f>
        <v>340.960464</v>
      </c>
      <c r="E869" s="127">
        <f>(5*1.2)*10.764</f>
        <v>64.584000000000003</v>
      </c>
      <c r="F869" s="127">
        <f t="shared" si="193"/>
        <v>576.02469599999995</v>
      </c>
      <c r="G869" s="174" t="str">
        <f t="shared" si="187"/>
        <v>1st Floor for Residential</v>
      </c>
      <c r="H869" s="174"/>
      <c r="I869" s="38"/>
      <c r="N869" s="38"/>
    </row>
    <row r="870" spans="1:14" s="103" customFormat="1" x14ac:dyDescent="0.35">
      <c r="A870" s="183" t="s">
        <v>171</v>
      </c>
      <c r="B870" s="183"/>
      <c r="C870" s="183"/>
      <c r="D870" s="183"/>
      <c r="E870" s="183"/>
      <c r="F870" s="183"/>
      <c r="G870" s="183"/>
      <c r="H870" s="183"/>
      <c r="I870" s="38"/>
      <c r="L870" s="182"/>
      <c r="M870" s="182"/>
    </row>
    <row r="871" spans="1:14" s="103" customFormat="1" ht="15.75" customHeight="1" x14ac:dyDescent="0.35">
      <c r="A871" s="174">
        <v>1</v>
      </c>
      <c r="B871" s="174"/>
      <c r="C871" s="123" t="s">
        <v>200</v>
      </c>
      <c r="D871" s="123">
        <f t="shared" ref="D871:D898" si="194">(23.69+1.8*(1.5+1.2)+0.45*1.68+3.16*0.75+1.2*1.2)*10.764</f>
        <v>356.460624</v>
      </c>
      <c r="E871" s="123">
        <v>0</v>
      </c>
      <c r="F871" s="123">
        <f t="shared" ref="F871:F872" si="195">D871*(($F$422)+1)+(IF(E871&lt;101,E871,IF(E871&lt;201,E871/2,IF(E871&lt;=301,E871/3,E871/4))))</f>
        <v>534.69093599999997</v>
      </c>
      <c r="G871" s="174" t="str">
        <f>A870</f>
        <v xml:space="preserve">2nd to 7th, 9th to 11th, 13rd to 15th, 17th to 19th, 21st to 23rd Floor </v>
      </c>
      <c r="H871" s="174"/>
      <c r="I871" s="38"/>
      <c r="N871" s="38"/>
    </row>
    <row r="872" spans="1:14" s="103" customFormat="1" ht="15.75" customHeight="1" x14ac:dyDescent="0.35">
      <c r="A872" s="174">
        <f t="shared" ref="A872:A898" si="196">A871+1</f>
        <v>2</v>
      </c>
      <c r="B872" s="174"/>
      <c r="C872" s="123" t="s">
        <v>200</v>
      </c>
      <c r="D872" s="123">
        <f t="shared" si="194"/>
        <v>356.460624</v>
      </c>
      <c r="E872" s="123">
        <v>0</v>
      </c>
      <c r="F872" s="123">
        <f t="shared" si="195"/>
        <v>534.69093599999997</v>
      </c>
      <c r="G872" s="174" t="str">
        <f t="shared" ref="G872:G898" si="197">G871</f>
        <v xml:space="preserve">2nd to 7th, 9th to 11th, 13rd to 15th, 17th to 19th, 21st to 23rd Floor </v>
      </c>
      <c r="H872" s="174"/>
      <c r="I872" s="38"/>
      <c r="N872" s="38"/>
    </row>
    <row r="873" spans="1:14" s="103" customFormat="1" ht="15.75" customHeight="1" x14ac:dyDescent="0.35">
      <c r="A873" s="174">
        <f t="shared" si="196"/>
        <v>3</v>
      </c>
      <c r="B873" s="174"/>
      <c r="C873" s="123" t="s">
        <v>200</v>
      </c>
      <c r="D873" s="123">
        <f t="shared" si="194"/>
        <v>356.460624</v>
      </c>
      <c r="E873" s="123">
        <v>0</v>
      </c>
      <c r="F873" s="123">
        <f>D873*(($F$422)+1)+(IF(E873&lt;101,E873,IF(E873&lt;201,E873/2,IF(E873&lt;=301,E873/3,E873/4))))</f>
        <v>534.69093599999997</v>
      </c>
      <c r="G873" s="174" t="str">
        <f t="shared" si="197"/>
        <v xml:space="preserve">2nd to 7th, 9th to 11th, 13rd to 15th, 17th to 19th, 21st to 23rd Floor </v>
      </c>
      <c r="H873" s="174"/>
      <c r="I873" s="38"/>
      <c r="N873" s="38"/>
    </row>
    <row r="874" spans="1:14" s="103" customFormat="1" ht="15.75" customHeight="1" x14ac:dyDescent="0.35">
      <c r="A874" s="174">
        <f t="shared" si="196"/>
        <v>4</v>
      </c>
      <c r="B874" s="174"/>
      <c r="C874" s="123" t="s">
        <v>200</v>
      </c>
      <c r="D874" s="123">
        <f t="shared" si="194"/>
        <v>356.460624</v>
      </c>
      <c r="E874" s="123">
        <v>0</v>
      </c>
      <c r="F874" s="123">
        <f t="shared" ref="F874:F877" si="198">D874*(($F$422)+1)+(IF(E874&lt;101,E874,IF(E874&lt;201,E874/2,IF(E874&lt;=301,E874/3,E874/4))))</f>
        <v>534.69093599999997</v>
      </c>
      <c r="G874" s="174" t="str">
        <f t="shared" si="197"/>
        <v xml:space="preserve">2nd to 7th, 9th to 11th, 13rd to 15th, 17th to 19th, 21st to 23rd Floor </v>
      </c>
      <c r="H874" s="174"/>
      <c r="I874" s="38"/>
      <c r="N874" s="38"/>
    </row>
    <row r="875" spans="1:14" s="103" customFormat="1" ht="15.75" customHeight="1" x14ac:dyDescent="0.35">
      <c r="A875" s="174">
        <f t="shared" si="196"/>
        <v>5</v>
      </c>
      <c r="B875" s="174"/>
      <c r="C875" s="123" t="s">
        <v>200</v>
      </c>
      <c r="D875" s="123">
        <f t="shared" si="194"/>
        <v>356.460624</v>
      </c>
      <c r="E875" s="123">
        <v>0</v>
      </c>
      <c r="F875" s="123">
        <f t="shared" si="198"/>
        <v>534.69093599999997</v>
      </c>
      <c r="G875" s="174" t="str">
        <f t="shared" si="197"/>
        <v xml:space="preserve">2nd to 7th, 9th to 11th, 13rd to 15th, 17th to 19th, 21st to 23rd Floor </v>
      </c>
      <c r="H875" s="174"/>
      <c r="I875" s="38"/>
      <c r="N875" s="38"/>
    </row>
    <row r="876" spans="1:14" s="103" customFormat="1" ht="15.75" customHeight="1" x14ac:dyDescent="0.35">
      <c r="A876" s="174">
        <f t="shared" si="196"/>
        <v>6</v>
      </c>
      <c r="B876" s="174"/>
      <c r="C876" s="123" t="s">
        <v>200</v>
      </c>
      <c r="D876" s="123">
        <f t="shared" si="194"/>
        <v>356.460624</v>
      </c>
      <c r="E876" s="123">
        <v>0</v>
      </c>
      <c r="F876" s="123">
        <f t="shared" si="198"/>
        <v>534.69093599999997</v>
      </c>
      <c r="G876" s="174" t="str">
        <f t="shared" si="197"/>
        <v xml:space="preserve">2nd to 7th, 9th to 11th, 13rd to 15th, 17th to 19th, 21st to 23rd Floor </v>
      </c>
      <c r="H876" s="174"/>
      <c r="I876" s="38"/>
      <c r="N876" s="38"/>
    </row>
    <row r="877" spans="1:14" s="103" customFormat="1" ht="15.75" customHeight="1" x14ac:dyDescent="0.35">
      <c r="A877" s="174">
        <f t="shared" si="196"/>
        <v>7</v>
      </c>
      <c r="B877" s="174"/>
      <c r="C877" s="123" t="s">
        <v>200</v>
      </c>
      <c r="D877" s="123">
        <f t="shared" si="194"/>
        <v>356.460624</v>
      </c>
      <c r="E877" s="123">
        <v>0</v>
      </c>
      <c r="F877" s="123">
        <f t="shared" si="198"/>
        <v>534.69093599999997</v>
      </c>
      <c r="G877" s="174" t="str">
        <f t="shared" si="197"/>
        <v xml:space="preserve">2nd to 7th, 9th to 11th, 13rd to 15th, 17th to 19th, 21st to 23rd Floor </v>
      </c>
      <c r="H877" s="174"/>
      <c r="I877" s="38"/>
      <c r="N877" s="38"/>
    </row>
    <row r="878" spans="1:14" s="103" customFormat="1" ht="15.75" customHeight="1" x14ac:dyDescent="0.35">
      <c r="A878" s="174">
        <f t="shared" si="196"/>
        <v>8</v>
      </c>
      <c r="B878" s="174"/>
      <c r="C878" s="123" t="s">
        <v>200</v>
      </c>
      <c r="D878" s="123">
        <f t="shared" si="194"/>
        <v>356.460624</v>
      </c>
      <c r="E878" s="123">
        <v>0</v>
      </c>
      <c r="F878" s="123">
        <f>D878*(($F$422)+1)+(IF(E878&lt;101,E878,IF(E878&lt;201,E878/2,IF(E878&lt;=301,E878/3,E878/4))))</f>
        <v>534.69093599999997</v>
      </c>
      <c r="G878" s="174" t="str">
        <f t="shared" si="197"/>
        <v xml:space="preserve">2nd to 7th, 9th to 11th, 13rd to 15th, 17th to 19th, 21st to 23rd Floor </v>
      </c>
      <c r="H878" s="174"/>
      <c r="I878" s="38"/>
      <c r="N878" s="38"/>
    </row>
    <row r="879" spans="1:14" s="103" customFormat="1" ht="15.75" customHeight="1" x14ac:dyDescent="0.35">
      <c r="A879" s="174">
        <f t="shared" si="196"/>
        <v>9</v>
      </c>
      <c r="B879" s="174"/>
      <c r="C879" s="123" t="s">
        <v>200</v>
      </c>
      <c r="D879" s="123">
        <f t="shared" si="194"/>
        <v>356.460624</v>
      </c>
      <c r="E879" s="123">
        <v>0</v>
      </c>
      <c r="F879" s="123">
        <f t="shared" ref="F879:F882" si="199">D879*(($F$422)+1)+(IF(E879&lt;101,E879,IF(E879&lt;201,E879/2,IF(E879&lt;=301,E879/3,E879/4))))</f>
        <v>534.69093599999997</v>
      </c>
      <c r="G879" s="174" t="str">
        <f t="shared" si="197"/>
        <v xml:space="preserve">2nd to 7th, 9th to 11th, 13rd to 15th, 17th to 19th, 21st to 23rd Floor </v>
      </c>
      <c r="H879" s="174"/>
      <c r="I879" s="38"/>
      <c r="N879" s="38"/>
    </row>
    <row r="880" spans="1:14" s="103" customFormat="1" ht="15.75" customHeight="1" x14ac:dyDescent="0.35">
      <c r="A880" s="174">
        <f t="shared" si="196"/>
        <v>10</v>
      </c>
      <c r="B880" s="174"/>
      <c r="C880" s="123" t="s">
        <v>200</v>
      </c>
      <c r="D880" s="123">
        <f t="shared" si="194"/>
        <v>356.460624</v>
      </c>
      <c r="E880" s="123">
        <v>0</v>
      </c>
      <c r="F880" s="123">
        <f t="shared" si="199"/>
        <v>534.69093599999997</v>
      </c>
      <c r="G880" s="174" t="str">
        <f t="shared" si="197"/>
        <v xml:space="preserve">2nd to 7th, 9th to 11th, 13rd to 15th, 17th to 19th, 21st to 23rd Floor </v>
      </c>
      <c r="H880" s="174"/>
      <c r="I880" s="38"/>
      <c r="N880" s="38"/>
    </row>
    <row r="881" spans="1:14" s="103" customFormat="1" ht="15.75" customHeight="1" x14ac:dyDescent="0.35">
      <c r="A881" s="174">
        <f t="shared" si="196"/>
        <v>11</v>
      </c>
      <c r="B881" s="174"/>
      <c r="C881" s="123" t="s">
        <v>200</v>
      </c>
      <c r="D881" s="123">
        <f t="shared" si="194"/>
        <v>356.460624</v>
      </c>
      <c r="E881" s="123">
        <v>0</v>
      </c>
      <c r="F881" s="123">
        <f t="shared" si="199"/>
        <v>534.69093599999997</v>
      </c>
      <c r="G881" s="174" t="str">
        <f t="shared" si="197"/>
        <v xml:space="preserve">2nd to 7th, 9th to 11th, 13rd to 15th, 17th to 19th, 21st to 23rd Floor </v>
      </c>
      <c r="H881" s="174"/>
      <c r="I881" s="38"/>
      <c r="N881" s="38"/>
    </row>
    <row r="882" spans="1:14" s="103" customFormat="1" ht="15.75" customHeight="1" x14ac:dyDescent="0.35">
      <c r="A882" s="174">
        <f t="shared" si="196"/>
        <v>12</v>
      </c>
      <c r="B882" s="174"/>
      <c r="C882" s="123" t="s">
        <v>200</v>
      </c>
      <c r="D882" s="123">
        <f t="shared" si="194"/>
        <v>356.460624</v>
      </c>
      <c r="E882" s="123">
        <v>0</v>
      </c>
      <c r="F882" s="123">
        <f t="shared" si="199"/>
        <v>534.69093599999997</v>
      </c>
      <c r="G882" s="174" t="str">
        <f t="shared" si="197"/>
        <v xml:space="preserve">2nd to 7th, 9th to 11th, 13rd to 15th, 17th to 19th, 21st to 23rd Floor </v>
      </c>
      <c r="H882" s="174"/>
      <c r="I882" s="38"/>
      <c r="N882" s="38"/>
    </row>
    <row r="883" spans="1:14" s="103" customFormat="1" ht="15.75" customHeight="1" x14ac:dyDescent="0.35">
      <c r="A883" s="174">
        <f t="shared" si="196"/>
        <v>13</v>
      </c>
      <c r="B883" s="174"/>
      <c r="C883" s="123" t="s">
        <v>200</v>
      </c>
      <c r="D883" s="123">
        <f t="shared" si="194"/>
        <v>356.460624</v>
      </c>
      <c r="E883" s="123">
        <v>0</v>
      </c>
      <c r="F883" s="123">
        <f>D883*(($F$422)+1)+(IF(E883&lt;101,E883,IF(E883&lt;201,E883/2,IF(E883&lt;=301,E883/3,E883/4))))</f>
        <v>534.69093599999997</v>
      </c>
      <c r="G883" s="174" t="str">
        <f t="shared" si="197"/>
        <v xml:space="preserve">2nd to 7th, 9th to 11th, 13rd to 15th, 17th to 19th, 21st to 23rd Floor </v>
      </c>
      <c r="H883" s="174"/>
      <c r="I883" s="38"/>
      <c r="N883" s="38"/>
    </row>
    <row r="884" spans="1:14" s="103" customFormat="1" ht="15.75" customHeight="1" x14ac:dyDescent="0.35">
      <c r="A884" s="174">
        <f t="shared" si="196"/>
        <v>14</v>
      </c>
      <c r="B884" s="174"/>
      <c r="C884" s="123" t="s">
        <v>200</v>
      </c>
      <c r="D884" s="123">
        <f t="shared" si="194"/>
        <v>356.460624</v>
      </c>
      <c r="E884" s="123">
        <v>0</v>
      </c>
      <c r="F884" s="123">
        <f t="shared" ref="F884" si="200">D884*(($F$422)+1)+(IF(E884&lt;101,E884,IF(E884&lt;201,E884/2,IF(E884&lt;=301,E884/3,E884/4))))</f>
        <v>534.69093599999997</v>
      </c>
      <c r="G884" s="174" t="str">
        <f t="shared" si="197"/>
        <v xml:space="preserve">2nd to 7th, 9th to 11th, 13rd to 15th, 17th to 19th, 21st to 23rd Floor </v>
      </c>
      <c r="H884" s="174"/>
      <c r="I884" s="38"/>
      <c r="N884" s="38"/>
    </row>
    <row r="885" spans="1:14" s="103" customFormat="1" ht="15.75" customHeight="1" x14ac:dyDescent="0.35">
      <c r="A885" s="174">
        <f t="shared" si="196"/>
        <v>15</v>
      </c>
      <c r="B885" s="174"/>
      <c r="C885" s="123" t="s">
        <v>200</v>
      </c>
      <c r="D885" s="123">
        <f t="shared" si="194"/>
        <v>356.460624</v>
      </c>
      <c r="E885" s="123">
        <v>0</v>
      </c>
      <c r="F885" s="123">
        <f>D885*(($F$422)+1)+(IF(E885&lt;101,E885,IF(E885&lt;201,E885/2,IF(E885&lt;=301,E885/3,E885/4))))</f>
        <v>534.69093599999997</v>
      </c>
      <c r="G885" s="174" t="str">
        <f t="shared" si="197"/>
        <v xml:space="preserve">2nd to 7th, 9th to 11th, 13rd to 15th, 17th to 19th, 21st to 23rd Floor </v>
      </c>
      <c r="H885" s="174"/>
      <c r="I885" s="38"/>
      <c r="N885" s="38"/>
    </row>
    <row r="886" spans="1:14" s="103" customFormat="1" ht="15.75" customHeight="1" x14ac:dyDescent="0.35">
      <c r="A886" s="174">
        <f t="shared" si="196"/>
        <v>16</v>
      </c>
      <c r="B886" s="174"/>
      <c r="C886" s="123" t="s">
        <v>200</v>
      </c>
      <c r="D886" s="123">
        <f t="shared" si="194"/>
        <v>356.460624</v>
      </c>
      <c r="E886" s="123">
        <v>0</v>
      </c>
      <c r="F886" s="123">
        <f t="shared" ref="F886:F887" si="201">D886*(($F$422)+1)+(IF(E886&lt;101,E886,IF(E886&lt;201,E886/2,IF(E886&lt;=301,E886/3,E886/4))))</f>
        <v>534.69093599999997</v>
      </c>
      <c r="G886" s="174" t="str">
        <f t="shared" si="197"/>
        <v xml:space="preserve">2nd to 7th, 9th to 11th, 13rd to 15th, 17th to 19th, 21st to 23rd Floor </v>
      </c>
      <c r="H886" s="174"/>
      <c r="I886" s="38"/>
      <c r="N886" s="38"/>
    </row>
    <row r="887" spans="1:14" s="103" customFormat="1" ht="15.75" customHeight="1" x14ac:dyDescent="0.35">
      <c r="A887" s="174">
        <f t="shared" si="196"/>
        <v>17</v>
      </c>
      <c r="B887" s="174"/>
      <c r="C887" s="123" t="s">
        <v>200</v>
      </c>
      <c r="D887" s="123">
        <f t="shared" si="194"/>
        <v>356.460624</v>
      </c>
      <c r="E887" s="123">
        <v>0</v>
      </c>
      <c r="F887" s="123">
        <f t="shared" si="201"/>
        <v>534.69093599999997</v>
      </c>
      <c r="G887" s="174" t="str">
        <f t="shared" si="197"/>
        <v xml:space="preserve">2nd to 7th, 9th to 11th, 13rd to 15th, 17th to 19th, 21st to 23rd Floor </v>
      </c>
      <c r="H887" s="174"/>
      <c r="I887" s="38"/>
      <c r="N887" s="38"/>
    </row>
    <row r="888" spans="1:14" s="103" customFormat="1" ht="15.75" customHeight="1" x14ac:dyDescent="0.35">
      <c r="A888" s="174">
        <f t="shared" si="196"/>
        <v>18</v>
      </c>
      <c r="B888" s="174"/>
      <c r="C888" s="123" t="s">
        <v>200</v>
      </c>
      <c r="D888" s="123">
        <f t="shared" si="194"/>
        <v>356.460624</v>
      </c>
      <c r="E888" s="123">
        <v>0</v>
      </c>
      <c r="F888" s="123">
        <f>D888*(($F$422)+1)+(IF(E888&lt;101,E888,IF(E888&lt;201,E888/2,IF(E888&lt;=301,E888/3,E888/4))))</f>
        <v>534.69093599999997</v>
      </c>
      <c r="G888" s="174" t="str">
        <f t="shared" si="197"/>
        <v xml:space="preserve">2nd to 7th, 9th to 11th, 13rd to 15th, 17th to 19th, 21st to 23rd Floor </v>
      </c>
      <c r="H888" s="174"/>
      <c r="I888" s="38"/>
      <c r="N888" s="38"/>
    </row>
    <row r="889" spans="1:14" s="103" customFormat="1" ht="15.75" customHeight="1" x14ac:dyDescent="0.35">
      <c r="A889" s="174">
        <f t="shared" si="196"/>
        <v>19</v>
      </c>
      <c r="B889" s="174"/>
      <c r="C889" s="123" t="s">
        <v>200</v>
      </c>
      <c r="D889" s="123">
        <f t="shared" si="194"/>
        <v>356.460624</v>
      </c>
      <c r="E889" s="123">
        <v>0</v>
      </c>
      <c r="F889" s="123">
        <f t="shared" ref="F889:F893" si="202">D889*(($F$422)+1)+(IF(E889&lt;101,E889,IF(E889&lt;201,E889/2,IF(E889&lt;=301,E889/3,E889/4))))</f>
        <v>534.69093599999997</v>
      </c>
      <c r="G889" s="174" t="str">
        <f t="shared" si="197"/>
        <v xml:space="preserve">2nd to 7th, 9th to 11th, 13rd to 15th, 17th to 19th, 21st to 23rd Floor </v>
      </c>
      <c r="H889" s="174"/>
      <c r="I889" s="38"/>
      <c r="N889" s="38"/>
    </row>
    <row r="890" spans="1:14" s="103" customFormat="1" ht="15.75" customHeight="1" x14ac:dyDescent="0.35">
      <c r="A890" s="174">
        <f t="shared" si="196"/>
        <v>20</v>
      </c>
      <c r="B890" s="174"/>
      <c r="C890" s="123" t="s">
        <v>200</v>
      </c>
      <c r="D890" s="123">
        <f t="shared" si="194"/>
        <v>356.460624</v>
      </c>
      <c r="E890" s="123">
        <v>0</v>
      </c>
      <c r="F890" s="123">
        <f t="shared" si="202"/>
        <v>534.69093599999997</v>
      </c>
      <c r="G890" s="174" t="str">
        <f t="shared" si="197"/>
        <v xml:space="preserve">2nd to 7th, 9th to 11th, 13rd to 15th, 17th to 19th, 21st to 23rd Floor </v>
      </c>
      <c r="H890" s="174"/>
      <c r="I890" s="38"/>
      <c r="N890" s="38"/>
    </row>
    <row r="891" spans="1:14" s="103" customFormat="1" ht="15.75" customHeight="1" x14ac:dyDescent="0.35">
      <c r="A891" s="174">
        <f t="shared" si="196"/>
        <v>21</v>
      </c>
      <c r="B891" s="174"/>
      <c r="C891" s="123" t="s">
        <v>200</v>
      </c>
      <c r="D891" s="123">
        <f t="shared" si="194"/>
        <v>356.460624</v>
      </c>
      <c r="E891" s="123">
        <v>0</v>
      </c>
      <c r="F891" s="123">
        <f t="shared" si="202"/>
        <v>534.69093599999997</v>
      </c>
      <c r="G891" s="174" t="str">
        <f t="shared" si="197"/>
        <v xml:space="preserve">2nd to 7th, 9th to 11th, 13rd to 15th, 17th to 19th, 21st to 23rd Floor </v>
      </c>
      <c r="H891" s="174"/>
      <c r="I891" s="38"/>
      <c r="N891" s="38"/>
    </row>
    <row r="892" spans="1:14" s="103" customFormat="1" ht="15.75" customHeight="1" x14ac:dyDescent="0.35">
      <c r="A892" s="174">
        <f t="shared" si="196"/>
        <v>22</v>
      </c>
      <c r="B892" s="174"/>
      <c r="C892" s="123" t="s">
        <v>200</v>
      </c>
      <c r="D892" s="123">
        <f t="shared" si="194"/>
        <v>356.460624</v>
      </c>
      <c r="E892" s="123">
        <v>0</v>
      </c>
      <c r="F892" s="123">
        <f t="shared" si="202"/>
        <v>534.69093599999997</v>
      </c>
      <c r="G892" s="174" t="str">
        <f t="shared" si="197"/>
        <v xml:space="preserve">2nd to 7th, 9th to 11th, 13rd to 15th, 17th to 19th, 21st to 23rd Floor </v>
      </c>
      <c r="H892" s="174"/>
      <c r="I892" s="38"/>
      <c r="N892" s="38"/>
    </row>
    <row r="893" spans="1:14" s="103" customFormat="1" ht="15.75" customHeight="1" x14ac:dyDescent="0.35">
      <c r="A893" s="174">
        <f t="shared" si="196"/>
        <v>23</v>
      </c>
      <c r="B893" s="174"/>
      <c r="C893" s="123" t="s">
        <v>200</v>
      </c>
      <c r="D893" s="123">
        <f t="shared" si="194"/>
        <v>356.460624</v>
      </c>
      <c r="E893" s="123">
        <v>0</v>
      </c>
      <c r="F893" s="123">
        <f t="shared" si="202"/>
        <v>534.69093599999997</v>
      </c>
      <c r="G893" s="174" t="str">
        <f t="shared" si="197"/>
        <v xml:space="preserve">2nd to 7th, 9th to 11th, 13rd to 15th, 17th to 19th, 21st to 23rd Floor </v>
      </c>
      <c r="H893" s="174"/>
      <c r="I893" s="38"/>
      <c r="N893" s="38"/>
    </row>
    <row r="894" spans="1:14" s="103" customFormat="1" ht="15.75" customHeight="1" x14ac:dyDescent="0.35">
      <c r="A894" s="174">
        <f t="shared" si="196"/>
        <v>24</v>
      </c>
      <c r="B894" s="174"/>
      <c r="C894" s="123" t="s">
        <v>200</v>
      </c>
      <c r="D894" s="123">
        <f t="shared" si="194"/>
        <v>356.460624</v>
      </c>
      <c r="E894" s="123">
        <v>0</v>
      </c>
      <c r="F894" s="123">
        <f>D894*(($F$422)+1)+(IF(E894&lt;101,E894,IF(E894&lt;201,E894/2,IF(E894&lt;=301,E894/3,E894/4))))</f>
        <v>534.69093599999997</v>
      </c>
      <c r="G894" s="174" t="str">
        <f t="shared" si="197"/>
        <v xml:space="preserve">2nd to 7th, 9th to 11th, 13rd to 15th, 17th to 19th, 21st to 23rd Floor </v>
      </c>
      <c r="H894" s="174"/>
      <c r="I894" s="38"/>
      <c r="N894" s="38"/>
    </row>
    <row r="895" spans="1:14" s="103" customFormat="1" ht="15.75" customHeight="1" x14ac:dyDescent="0.35">
      <c r="A895" s="174">
        <f t="shared" si="196"/>
        <v>25</v>
      </c>
      <c r="B895" s="174"/>
      <c r="C895" s="123" t="s">
        <v>200</v>
      </c>
      <c r="D895" s="123">
        <f t="shared" si="194"/>
        <v>356.460624</v>
      </c>
      <c r="E895" s="123">
        <v>0</v>
      </c>
      <c r="F895" s="123">
        <f t="shared" ref="F895:F898" si="203">D895*(($F$422)+1)+(IF(E895&lt;101,E895,IF(E895&lt;201,E895/2,IF(E895&lt;=301,E895/3,E895/4))))</f>
        <v>534.69093599999997</v>
      </c>
      <c r="G895" s="174" t="str">
        <f t="shared" si="197"/>
        <v xml:space="preserve">2nd to 7th, 9th to 11th, 13rd to 15th, 17th to 19th, 21st to 23rd Floor </v>
      </c>
      <c r="H895" s="174"/>
      <c r="I895" s="38"/>
      <c r="N895" s="38"/>
    </row>
    <row r="896" spans="1:14" s="103" customFormat="1" ht="15.75" customHeight="1" x14ac:dyDescent="0.35">
      <c r="A896" s="174">
        <f t="shared" si="196"/>
        <v>26</v>
      </c>
      <c r="B896" s="174"/>
      <c r="C896" s="123" t="s">
        <v>200</v>
      </c>
      <c r="D896" s="123">
        <f t="shared" si="194"/>
        <v>356.460624</v>
      </c>
      <c r="E896" s="123">
        <v>0</v>
      </c>
      <c r="F896" s="123">
        <f t="shared" si="203"/>
        <v>534.69093599999997</v>
      </c>
      <c r="G896" s="174" t="str">
        <f t="shared" si="197"/>
        <v xml:space="preserve">2nd to 7th, 9th to 11th, 13rd to 15th, 17th to 19th, 21st to 23rd Floor </v>
      </c>
      <c r="H896" s="174"/>
      <c r="I896" s="38"/>
      <c r="N896" s="38"/>
    </row>
    <row r="897" spans="1:14" s="103" customFormat="1" ht="15.75" customHeight="1" x14ac:dyDescent="0.35">
      <c r="A897" s="174">
        <f t="shared" si="196"/>
        <v>27</v>
      </c>
      <c r="B897" s="174"/>
      <c r="C897" s="123" t="s">
        <v>200</v>
      </c>
      <c r="D897" s="123">
        <f t="shared" si="194"/>
        <v>356.460624</v>
      </c>
      <c r="E897" s="123">
        <v>0</v>
      </c>
      <c r="F897" s="123">
        <f t="shared" si="203"/>
        <v>534.69093599999997</v>
      </c>
      <c r="G897" s="174" t="str">
        <f t="shared" si="197"/>
        <v xml:space="preserve">2nd to 7th, 9th to 11th, 13rd to 15th, 17th to 19th, 21st to 23rd Floor </v>
      </c>
      <c r="H897" s="174"/>
      <c r="I897" s="38"/>
      <c r="N897" s="38"/>
    </row>
    <row r="898" spans="1:14" s="103" customFormat="1" ht="15.75" customHeight="1" x14ac:dyDescent="0.35">
      <c r="A898" s="174">
        <f t="shared" si="196"/>
        <v>28</v>
      </c>
      <c r="B898" s="174"/>
      <c r="C898" s="123" t="s">
        <v>200</v>
      </c>
      <c r="D898" s="123">
        <f t="shared" si="194"/>
        <v>356.460624</v>
      </c>
      <c r="E898" s="123">
        <v>0</v>
      </c>
      <c r="F898" s="123">
        <f t="shared" si="203"/>
        <v>534.69093599999997</v>
      </c>
      <c r="G898" s="174" t="str">
        <f t="shared" si="197"/>
        <v xml:space="preserve">2nd to 7th, 9th to 11th, 13rd to 15th, 17th to 19th, 21st to 23rd Floor </v>
      </c>
      <c r="H898" s="174"/>
      <c r="I898" s="38"/>
      <c r="N898" s="38"/>
    </row>
    <row r="899" spans="1:14" s="103" customFormat="1" x14ac:dyDescent="0.35">
      <c r="A899" s="183" t="s">
        <v>173</v>
      </c>
      <c r="B899" s="183"/>
      <c r="C899" s="183"/>
      <c r="D899" s="183"/>
      <c r="E899" s="183"/>
      <c r="F899" s="183"/>
      <c r="G899" s="183"/>
      <c r="H899" s="183"/>
      <c r="I899" s="38"/>
      <c r="L899" s="182"/>
      <c r="M899" s="182"/>
    </row>
    <row r="900" spans="1:14" s="103" customFormat="1" ht="15.75" customHeight="1" x14ac:dyDescent="0.35">
      <c r="A900" s="174">
        <v>1</v>
      </c>
      <c r="B900" s="174"/>
      <c r="C900" s="123" t="s">
        <v>200</v>
      </c>
      <c r="D900" s="123">
        <f t="shared" ref="D900:D927" si="204">(23.69+1.8*(1.5+1.2)+0.45*1.68+3.16*0.75+1.2*1.2)*10.764</f>
        <v>356.460624</v>
      </c>
      <c r="E900" s="123">
        <v>0</v>
      </c>
      <c r="F900" s="123">
        <f t="shared" ref="F900:F901" si="205">D900*(($F$422)+1)+(IF(E900&lt;101,E900,IF(E900&lt;201,E900/2,IF(E900&lt;=301,E900/3,E900/4))))</f>
        <v>534.69093599999997</v>
      </c>
      <c r="G900" s="174" t="str">
        <f>A899</f>
        <v>8th, 12th, 16th &amp; 20th Floor (Part refuge area)</v>
      </c>
      <c r="H900" s="174"/>
      <c r="I900" s="38"/>
      <c r="N900" s="38"/>
    </row>
    <row r="901" spans="1:14" s="103" customFormat="1" ht="15.75" customHeight="1" x14ac:dyDescent="0.35">
      <c r="A901" s="174">
        <f t="shared" ref="A901:A927" si="206">A900+1</f>
        <v>2</v>
      </c>
      <c r="B901" s="174"/>
      <c r="C901" s="123" t="s">
        <v>200</v>
      </c>
      <c r="D901" s="123">
        <f t="shared" si="204"/>
        <v>356.460624</v>
      </c>
      <c r="E901" s="123">
        <v>0</v>
      </c>
      <c r="F901" s="123">
        <f t="shared" si="205"/>
        <v>534.69093599999997</v>
      </c>
      <c r="G901" s="174" t="str">
        <f t="shared" ref="G901:G927" si="207">G900</f>
        <v>8th, 12th, 16th &amp; 20th Floor (Part refuge area)</v>
      </c>
      <c r="H901" s="174"/>
      <c r="I901" s="38"/>
      <c r="N901" s="38"/>
    </row>
    <row r="902" spans="1:14" s="103" customFormat="1" ht="15.75" customHeight="1" x14ac:dyDescent="0.35">
      <c r="A902" s="174">
        <f t="shared" si="206"/>
        <v>3</v>
      </c>
      <c r="B902" s="174"/>
      <c r="C902" s="123" t="s">
        <v>200</v>
      </c>
      <c r="D902" s="123">
        <f t="shared" si="204"/>
        <v>356.460624</v>
      </c>
      <c r="E902" s="123">
        <v>0</v>
      </c>
      <c r="F902" s="123">
        <f>D902*(($F$422)+1)+(IF(E902&lt;101,E902,IF(E902&lt;201,E902/2,IF(E902&lt;=301,E902/3,E902/4))))</f>
        <v>534.69093599999997</v>
      </c>
      <c r="G902" s="174" t="str">
        <f t="shared" si="207"/>
        <v>8th, 12th, 16th &amp; 20th Floor (Part refuge area)</v>
      </c>
      <c r="H902" s="174"/>
      <c r="I902" s="38"/>
      <c r="N902" s="38"/>
    </row>
    <row r="903" spans="1:14" s="103" customFormat="1" ht="15.75" customHeight="1" x14ac:dyDescent="0.35">
      <c r="A903" s="174">
        <f t="shared" si="206"/>
        <v>4</v>
      </c>
      <c r="B903" s="174"/>
      <c r="C903" s="123" t="s">
        <v>200</v>
      </c>
      <c r="D903" s="123">
        <f t="shared" si="204"/>
        <v>356.460624</v>
      </c>
      <c r="E903" s="123">
        <v>0</v>
      </c>
      <c r="F903" s="123">
        <f t="shared" ref="F903:F906" si="208">D903*(($F$422)+1)+(IF(E903&lt;101,E903,IF(E903&lt;201,E903/2,IF(E903&lt;=301,E903/3,E903/4))))</f>
        <v>534.69093599999997</v>
      </c>
      <c r="G903" s="174" t="str">
        <f t="shared" si="207"/>
        <v>8th, 12th, 16th &amp; 20th Floor (Part refuge area)</v>
      </c>
      <c r="H903" s="174"/>
      <c r="I903" s="38"/>
      <c r="N903" s="38"/>
    </row>
    <row r="904" spans="1:14" s="103" customFormat="1" ht="15.75" customHeight="1" x14ac:dyDescent="0.35">
      <c r="A904" s="174">
        <f t="shared" si="206"/>
        <v>5</v>
      </c>
      <c r="B904" s="174"/>
      <c r="C904" s="123" t="s">
        <v>200</v>
      </c>
      <c r="D904" s="123">
        <f t="shared" si="204"/>
        <v>356.460624</v>
      </c>
      <c r="E904" s="123">
        <v>0</v>
      </c>
      <c r="F904" s="123">
        <f t="shared" si="208"/>
        <v>534.69093599999997</v>
      </c>
      <c r="G904" s="174" t="str">
        <f t="shared" si="207"/>
        <v>8th, 12th, 16th &amp; 20th Floor (Part refuge area)</v>
      </c>
      <c r="H904" s="174"/>
      <c r="I904" s="38"/>
      <c r="N904" s="38"/>
    </row>
    <row r="905" spans="1:14" s="103" customFormat="1" ht="15.75" customHeight="1" x14ac:dyDescent="0.35">
      <c r="A905" s="174">
        <f t="shared" si="206"/>
        <v>6</v>
      </c>
      <c r="B905" s="174"/>
      <c r="C905" s="123" t="s">
        <v>200</v>
      </c>
      <c r="D905" s="123">
        <f t="shared" si="204"/>
        <v>356.460624</v>
      </c>
      <c r="E905" s="123">
        <v>0</v>
      </c>
      <c r="F905" s="123">
        <f t="shared" si="208"/>
        <v>534.69093599999997</v>
      </c>
      <c r="G905" s="174" t="str">
        <f t="shared" si="207"/>
        <v>8th, 12th, 16th &amp; 20th Floor (Part refuge area)</v>
      </c>
      <c r="H905" s="174"/>
      <c r="I905" s="38"/>
      <c r="N905" s="38"/>
    </row>
    <row r="906" spans="1:14" s="103" customFormat="1" ht="15.75" customHeight="1" x14ac:dyDescent="0.35">
      <c r="A906" s="174">
        <f t="shared" si="206"/>
        <v>7</v>
      </c>
      <c r="B906" s="174"/>
      <c r="C906" s="123" t="s">
        <v>200</v>
      </c>
      <c r="D906" s="123">
        <f t="shared" si="204"/>
        <v>356.460624</v>
      </c>
      <c r="E906" s="123">
        <v>0</v>
      </c>
      <c r="F906" s="123">
        <f t="shared" si="208"/>
        <v>534.69093599999997</v>
      </c>
      <c r="G906" s="174" t="str">
        <f t="shared" si="207"/>
        <v>8th, 12th, 16th &amp; 20th Floor (Part refuge area)</v>
      </c>
      <c r="H906" s="174"/>
      <c r="I906" s="38"/>
      <c r="N906" s="38"/>
    </row>
    <row r="907" spans="1:14" s="103" customFormat="1" ht="15.75" customHeight="1" x14ac:dyDescent="0.35">
      <c r="A907" s="174">
        <f t="shared" si="206"/>
        <v>8</v>
      </c>
      <c r="B907" s="174"/>
      <c r="C907" s="123" t="s">
        <v>200</v>
      </c>
      <c r="D907" s="123">
        <f t="shared" si="204"/>
        <v>356.460624</v>
      </c>
      <c r="E907" s="123">
        <v>0</v>
      </c>
      <c r="F907" s="123">
        <f>D907*(($F$422)+1)+(IF(E907&lt;101,E907,IF(E907&lt;201,E907/2,IF(E907&lt;=301,E907/3,E907/4))))</f>
        <v>534.69093599999997</v>
      </c>
      <c r="G907" s="174" t="str">
        <f t="shared" si="207"/>
        <v>8th, 12th, 16th &amp; 20th Floor (Part refuge area)</v>
      </c>
      <c r="H907" s="174"/>
      <c r="I907" s="38"/>
      <c r="N907" s="38"/>
    </row>
    <row r="908" spans="1:14" s="103" customFormat="1" ht="15.75" customHeight="1" x14ac:dyDescent="0.35">
      <c r="A908" s="174">
        <f t="shared" si="206"/>
        <v>9</v>
      </c>
      <c r="B908" s="174"/>
      <c r="C908" s="123" t="s">
        <v>200</v>
      </c>
      <c r="D908" s="123">
        <f t="shared" si="204"/>
        <v>356.460624</v>
      </c>
      <c r="E908" s="123">
        <v>0</v>
      </c>
      <c r="F908" s="123">
        <f t="shared" ref="F908:F911" si="209">D908*(($F$422)+1)+(IF(E908&lt;101,E908,IF(E908&lt;201,E908/2,IF(E908&lt;=301,E908/3,E908/4))))</f>
        <v>534.69093599999997</v>
      </c>
      <c r="G908" s="174" t="str">
        <f t="shared" si="207"/>
        <v>8th, 12th, 16th &amp; 20th Floor (Part refuge area)</v>
      </c>
      <c r="H908" s="174"/>
      <c r="I908" s="38"/>
      <c r="N908" s="38"/>
    </row>
    <row r="909" spans="1:14" s="103" customFormat="1" ht="15.75" customHeight="1" x14ac:dyDescent="0.35">
      <c r="A909" s="174">
        <f t="shared" si="206"/>
        <v>10</v>
      </c>
      <c r="B909" s="174"/>
      <c r="C909" s="123" t="s">
        <v>200</v>
      </c>
      <c r="D909" s="123">
        <f t="shared" si="204"/>
        <v>356.460624</v>
      </c>
      <c r="E909" s="123">
        <v>0</v>
      </c>
      <c r="F909" s="123">
        <f t="shared" si="209"/>
        <v>534.69093599999997</v>
      </c>
      <c r="G909" s="174" t="str">
        <f t="shared" si="207"/>
        <v>8th, 12th, 16th &amp; 20th Floor (Part refuge area)</v>
      </c>
      <c r="H909" s="174"/>
      <c r="I909" s="38"/>
      <c r="N909" s="38"/>
    </row>
    <row r="910" spans="1:14" s="103" customFormat="1" ht="15.75" customHeight="1" x14ac:dyDescent="0.35">
      <c r="A910" s="174">
        <f t="shared" si="206"/>
        <v>11</v>
      </c>
      <c r="B910" s="174"/>
      <c r="C910" s="123" t="s">
        <v>200</v>
      </c>
      <c r="D910" s="123">
        <f t="shared" si="204"/>
        <v>356.460624</v>
      </c>
      <c r="E910" s="123">
        <v>0</v>
      </c>
      <c r="F910" s="123">
        <f t="shared" si="209"/>
        <v>534.69093599999997</v>
      </c>
      <c r="G910" s="174" t="str">
        <f t="shared" si="207"/>
        <v>8th, 12th, 16th &amp; 20th Floor (Part refuge area)</v>
      </c>
      <c r="H910" s="174"/>
      <c r="I910" s="38"/>
      <c r="N910" s="38"/>
    </row>
    <row r="911" spans="1:14" s="103" customFormat="1" ht="15.75" customHeight="1" x14ac:dyDescent="0.35">
      <c r="A911" s="174">
        <f t="shared" si="206"/>
        <v>12</v>
      </c>
      <c r="B911" s="174"/>
      <c r="C911" s="123" t="s">
        <v>200</v>
      </c>
      <c r="D911" s="123">
        <f t="shared" si="204"/>
        <v>356.460624</v>
      </c>
      <c r="E911" s="123">
        <v>0</v>
      </c>
      <c r="F911" s="123">
        <f t="shared" si="209"/>
        <v>534.69093599999997</v>
      </c>
      <c r="G911" s="174" t="str">
        <f t="shared" si="207"/>
        <v>8th, 12th, 16th &amp; 20th Floor (Part refuge area)</v>
      </c>
      <c r="H911" s="174"/>
      <c r="I911" s="38"/>
      <c r="N911" s="38"/>
    </row>
    <row r="912" spans="1:14" s="103" customFormat="1" ht="15.75" customHeight="1" x14ac:dyDescent="0.35">
      <c r="A912" s="174">
        <f t="shared" si="206"/>
        <v>13</v>
      </c>
      <c r="B912" s="174"/>
      <c r="C912" s="174" t="s">
        <v>172</v>
      </c>
      <c r="D912" s="174"/>
      <c r="E912" s="174"/>
      <c r="F912" s="174"/>
      <c r="G912" s="174" t="str">
        <f t="shared" si="207"/>
        <v>8th, 12th, 16th &amp; 20th Floor (Part refuge area)</v>
      </c>
      <c r="H912" s="174"/>
      <c r="I912" s="38"/>
      <c r="N912" s="38"/>
    </row>
    <row r="913" spans="1:14" s="103" customFormat="1" ht="15.75" customHeight="1" x14ac:dyDescent="0.35">
      <c r="A913" s="174">
        <f t="shared" si="206"/>
        <v>14</v>
      </c>
      <c r="B913" s="174"/>
      <c r="C913" s="174"/>
      <c r="D913" s="174"/>
      <c r="E913" s="174"/>
      <c r="F913" s="174"/>
      <c r="G913" s="174" t="str">
        <f t="shared" si="207"/>
        <v>8th, 12th, 16th &amp; 20th Floor (Part refuge area)</v>
      </c>
      <c r="H913" s="174"/>
      <c r="I913" s="38"/>
      <c r="N913" s="38"/>
    </row>
    <row r="914" spans="1:14" s="103" customFormat="1" ht="15.75" customHeight="1" x14ac:dyDescent="0.35">
      <c r="A914" s="174">
        <f t="shared" si="206"/>
        <v>15</v>
      </c>
      <c r="B914" s="174"/>
      <c r="C914" s="174"/>
      <c r="D914" s="174"/>
      <c r="E914" s="174"/>
      <c r="F914" s="174"/>
      <c r="G914" s="174" t="str">
        <f t="shared" si="207"/>
        <v>8th, 12th, 16th &amp; 20th Floor (Part refuge area)</v>
      </c>
      <c r="H914" s="174"/>
      <c r="I914" s="38"/>
      <c r="N914" s="38"/>
    </row>
    <row r="915" spans="1:14" s="103" customFormat="1" ht="15.75" customHeight="1" x14ac:dyDescent="0.35">
      <c r="A915" s="174">
        <f t="shared" si="206"/>
        <v>16</v>
      </c>
      <c r="B915" s="174"/>
      <c r="C915" s="123" t="s">
        <v>200</v>
      </c>
      <c r="D915" s="123">
        <f t="shared" si="204"/>
        <v>356.460624</v>
      </c>
      <c r="E915" s="123">
        <v>0</v>
      </c>
      <c r="F915" s="123">
        <f t="shared" ref="F915:F916" si="210">D915*(($F$422)+1)+(IF(E915&lt;101,E915,IF(E915&lt;201,E915/2,IF(E915&lt;=301,E915/3,E915/4))))</f>
        <v>534.69093599999997</v>
      </c>
      <c r="G915" s="174" t="str">
        <f t="shared" si="207"/>
        <v>8th, 12th, 16th &amp; 20th Floor (Part refuge area)</v>
      </c>
      <c r="H915" s="174"/>
      <c r="I915" s="38"/>
      <c r="N915" s="38"/>
    </row>
    <row r="916" spans="1:14" s="103" customFormat="1" ht="15.75" customHeight="1" x14ac:dyDescent="0.35">
      <c r="A916" s="174">
        <f t="shared" si="206"/>
        <v>17</v>
      </c>
      <c r="B916" s="174"/>
      <c r="C916" s="123" t="s">
        <v>200</v>
      </c>
      <c r="D916" s="123">
        <f t="shared" si="204"/>
        <v>356.460624</v>
      </c>
      <c r="E916" s="123">
        <v>0</v>
      </c>
      <c r="F916" s="123">
        <f t="shared" si="210"/>
        <v>534.69093599999997</v>
      </c>
      <c r="G916" s="174" t="str">
        <f t="shared" si="207"/>
        <v>8th, 12th, 16th &amp; 20th Floor (Part refuge area)</v>
      </c>
      <c r="H916" s="174"/>
      <c r="I916" s="38"/>
      <c r="N916" s="38"/>
    </row>
    <row r="917" spans="1:14" s="103" customFormat="1" ht="15.75" customHeight="1" x14ac:dyDescent="0.35">
      <c r="A917" s="174">
        <f t="shared" si="206"/>
        <v>18</v>
      </c>
      <c r="B917" s="174"/>
      <c r="C917" s="123" t="s">
        <v>200</v>
      </c>
      <c r="D917" s="123">
        <f t="shared" si="204"/>
        <v>356.460624</v>
      </c>
      <c r="E917" s="123">
        <v>0</v>
      </c>
      <c r="F917" s="123">
        <f>D917*(($F$422)+1)+(IF(E917&lt;101,E917,IF(E917&lt;201,E917/2,IF(E917&lt;=301,E917/3,E917/4))))</f>
        <v>534.69093599999997</v>
      </c>
      <c r="G917" s="174" t="str">
        <f t="shared" si="207"/>
        <v>8th, 12th, 16th &amp; 20th Floor (Part refuge area)</v>
      </c>
      <c r="H917" s="174"/>
      <c r="I917" s="38"/>
      <c r="N917" s="38"/>
    </row>
    <row r="918" spans="1:14" s="103" customFormat="1" ht="15.75" customHeight="1" x14ac:dyDescent="0.35">
      <c r="A918" s="174">
        <f t="shared" si="206"/>
        <v>19</v>
      </c>
      <c r="B918" s="174"/>
      <c r="C918" s="123" t="s">
        <v>200</v>
      </c>
      <c r="D918" s="123">
        <f t="shared" si="204"/>
        <v>356.460624</v>
      </c>
      <c r="E918" s="123">
        <v>0</v>
      </c>
      <c r="F918" s="123">
        <f t="shared" ref="F918:F922" si="211">D918*(($F$422)+1)+(IF(E918&lt;101,E918,IF(E918&lt;201,E918/2,IF(E918&lt;=301,E918/3,E918/4))))</f>
        <v>534.69093599999997</v>
      </c>
      <c r="G918" s="174" t="str">
        <f t="shared" si="207"/>
        <v>8th, 12th, 16th &amp; 20th Floor (Part refuge area)</v>
      </c>
      <c r="H918" s="174"/>
      <c r="I918" s="38"/>
      <c r="N918" s="38"/>
    </row>
    <row r="919" spans="1:14" s="103" customFormat="1" ht="15.75" customHeight="1" x14ac:dyDescent="0.35">
      <c r="A919" s="174">
        <f t="shared" si="206"/>
        <v>20</v>
      </c>
      <c r="B919" s="174"/>
      <c r="C919" s="123" t="s">
        <v>200</v>
      </c>
      <c r="D919" s="123">
        <f t="shared" si="204"/>
        <v>356.460624</v>
      </c>
      <c r="E919" s="123">
        <v>0</v>
      </c>
      <c r="F919" s="123">
        <f t="shared" si="211"/>
        <v>534.69093599999997</v>
      </c>
      <c r="G919" s="174" t="str">
        <f t="shared" si="207"/>
        <v>8th, 12th, 16th &amp; 20th Floor (Part refuge area)</v>
      </c>
      <c r="H919" s="174"/>
      <c r="I919" s="38"/>
      <c r="N919" s="38"/>
    </row>
    <row r="920" spans="1:14" s="103" customFormat="1" ht="15.75" customHeight="1" x14ac:dyDescent="0.35">
      <c r="A920" s="174">
        <f t="shared" si="206"/>
        <v>21</v>
      </c>
      <c r="B920" s="174"/>
      <c r="C920" s="123" t="s">
        <v>200</v>
      </c>
      <c r="D920" s="123">
        <f t="shared" si="204"/>
        <v>356.460624</v>
      </c>
      <c r="E920" s="123">
        <v>0</v>
      </c>
      <c r="F920" s="123">
        <f t="shared" si="211"/>
        <v>534.69093599999997</v>
      </c>
      <c r="G920" s="174" t="str">
        <f t="shared" si="207"/>
        <v>8th, 12th, 16th &amp; 20th Floor (Part refuge area)</v>
      </c>
      <c r="H920" s="174"/>
      <c r="I920" s="38"/>
      <c r="N920" s="38"/>
    </row>
    <row r="921" spans="1:14" s="103" customFormat="1" ht="15.75" customHeight="1" x14ac:dyDescent="0.35">
      <c r="A921" s="174">
        <f t="shared" si="206"/>
        <v>22</v>
      </c>
      <c r="B921" s="174"/>
      <c r="C921" s="123" t="s">
        <v>200</v>
      </c>
      <c r="D921" s="123">
        <f t="shared" si="204"/>
        <v>356.460624</v>
      </c>
      <c r="E921" s="123">
        <v>0</v>
      </c>
      <c r="F921" s="123">
        <f t="shared" si="211"/>
        <v>534.69093599999997</v>
      </c>
      <c r="G921" s="174" t="str">
        <f t="shared" si="207"/>
        <v>8th, 12th, 16th &amp; 20th Floor (Part refuge area)</v>
      </c>
      <c r="H921" s="174"/>
      <c r="I921" s="38"/>
      <c r="N921" s="38"/>
    </row>
    <row r="922" spans="1:14" s="103" customFormat="1" ht="15.75" customHeight="1" x14ac:dyDescent="0.35">
      <c r="A922" s="174">
        <f t="shared" si="206"/>
        <v>23</v>
      </c>
      <c r="B922" s="174"/>
      <c r="C922" s="123" t="s">
        <v>200</v>
      </c>
      <c r="D922" s="123">
        <f t="shared" si="204"/>
        <v>356.460624</v>
      </c>
      <c r="E922" s="123">
        <v>0</v>
      </c>
      <c r="F922" s="123">
        <f t="shared" si="211"/>
        <v>534.69093599999997</v>
      </c>
      <c r="G922" s="174" t="str">
        <f t="shared" si="207"/>
        <v>8th, 12th, 16th &amp; 20th Floor (Part refuge area)</v>
      </c>
      <c r="H922" s="174"/>
      <c r="I922" s="38"/>
      <c r="N922" s="38"/>
    </row>
    <row r="923" spans="1:14" s="103" customFormat="1" ht="15.75" customHeight="1" x14ac:dyDescent="0.35">
      <c r="A923" s="174">
        <f t="shared" si="206"/>
        <v>24</v>
      </c>
      <c r="B923" s="174"/>
      <c r="C923" s="123" t="s">
        <v>200</v>
      </c>
      <c r="D923" s="123">
        <f t="shared" si="204"/>
        <v>356.460624</v>
      </c>
      <c r="E923" s="123">
        <v>0</v>
      </c>
      <c r="F923" s="123">
        <f>D923*(($F$422)+1)+(IF(E923&lt;101,E923,IF(E923&lt;201,E923/2,IF(E923&lt;=301,E923/3,E923/4))))</f>
        <v>534.69093599999997</v>
      </c>
      <c r="G923" s="174" t="str">
        <f t="shared" si="207"/>
        <v>8th, 12th, 16th &amp; 20th Floor (Part refuge area)</v>
      </c>
      <c r="H923" s="174"/>
      <c r="I923" s="38"/>
      <c r="N923" s="38"/>
    </row>
    <row r="924" spans="1:14" s="103" customFormat="1" ht="15.75" customHeight="1" x14ac:dyDescent="0.35">
      <c r="A924" s="174">
        <f t="shared" si="206"/>
        <v>25</v>
      </c>
      <c r="B924" s="174"/>
      <c r="C924" s="123" t="s">
        <v>200</v>
      </c>
      <c r="D924" s="123">
        <f t="shared" si="204"/>
        <v>356.460624</v>
      </c>
      <c r="E924" s="123">
        <v>0</v>
      </c>
      <c r="F924" s="123">
        <f t="shared" ref="F924:F927" si="212">D924*(($F$422)+1)+(IF(E924&lt;101,E924,IF(E924&lt;201,E924/2,IF(E924&lt;=301,E924/3,E924/4))))</f>
        <v>534.69093599999997</v>
      </c>
      <c r="G924" s="174" t="str">
        <f t="shared" si="207"/>
        <v>8th, 12th, 16th &amp; 20th Floor (Part refuge area)</v>
      </c>
      <c r="H924" s="174"/>
      <c r="I924" s="38"/>
      <c r="N924" s="38"/>
    </row>
    <row r="925" spans="1:14" s="103" customFormat="1" ht="15.75" customHeight="1" x14ac:dyDescent="0.35">
      <c r="A925" s="174">
        <f t="shared" si="206"/>
        <v>26</v>
      </c>
      <c r="B925" s="174"/>
      <c r="C925" s="123" t="s">
        <v>200</v>
      </c>
      <c r="D925" s="123">
        <f t="shared" si="204"/>
        <v>356.460624</v>
      </c>
      <c r="E925" s="123">
        <v>0</v>
      </c>
      <c r="F925" s="123">
        <f t="shared" si="212"/>
        <v>534.69093599999997</v>
      </c>
      <c r="G925" s="174" t="str">
        <f t="shared" si="207"/>
        <v>8th, 12th, 16th &amp; 20th Floor (Part refuge area)</v>
      </c>
      <c r="H925" s="174"/>
      <c r="I925" s="38"/>
      <c r="N925" s="38"/>
    </row>
    <row r="926" spans="1:14" s="103" customFormat="1" ht="15.75" customHeight="1" x14ac:dyDescent="0.35">
      <c r="A926" s="174">
        <f t="shared" si="206"/>
        <v>27</v>
      </c>
      <c r="B926" s="174"/>
      <c r="C926" s="123" t="s">
        <v>200</v>
      </c>
      <c r="D926" s="123">
        <f t="shared" si="204"/>
        <v>356.460624</v>
      </c>
      <c r="E926" s="123">
        <v>0</v>
      </c>
      <c r="F926" s="123">
        <f t="shared" si="212"/>
        <v>534.69093599999997</v>
      </c>
      <c r="G926" s="174" t="str">
        <f t="shared" si="207"/>
        <v>8th, 12th, 16th &amp; 20th Floor (Part refuge area)</v>
      </c>
      <c r="H926" s="174"/>
      <c r="I926" s="38"/>
      <c r="N926" s="38"/>
    </row>
    <row r="927" spans="1:14" s="103" customFormat="1" ht="15.75" customHeight="1" x14ac:dyDescent="0.35">
      <c r="A927" s="174">
        <f t="shared" si="206"/>
        <v>28</v>
      </c>
      <c r="B927" s="174"/>
      <c r="C927" s="123" t="s">
        <v>200</v>
      </c>
      <c r="D927" s="123">
        <f t="shared" si="204"/>
        <v>356.460624</v>
      </c>
      <c r="E927" s="123">
        <v>0</v>
      </c>
      <c r="F927" s="123">
        <f t="shared" si="212"/>
        <v>534.69093599999997</v>
      </c>
      <c r="G927" s="174" t="str">
        <f t="shared" si="207"/>
        <v>8th, 12th, 16th &amp; 20th Floor (Part refuge area)</v>
      </c>
      <c r="H927" s="174"/>
      <c r="I927" s="38"/>
      <c r="N927" s="38"/>
    </row>
    <row r="928" spans="1:14" x14ac:dyDescent="0.35">
      <c r="A928" s="177" t="s">
        <v>224</v>
      </c>
      <c r="B928" s="177"/>
      <c r="C928" s="177"/>
      <c r="D928" s="177"/>
      <c r="E928" s="177"/>
      <c r="F928" s="177"/>
      <c r="G928" s="177"/>
      <c r="H928" s="177"/>
    </row>
    <row r="929" spans="1:14" s="107" customFormat="1" x14ac:dyDescent="0.35">
      <c r="A929" s="183" t="s">
        <v>169</v>
      </c>
      <c r="B929" s="183"/>
      <c r="C929" s="183"/>
      <c r="D929" s="183"/>
      <c r="E929" s="183"/>
      <c r="F929" s="183"/>
      <c r="G929" s="183"/>
      <c r="H929" s="183"/>
      <c r="I929" s="38"/>
      <c r="L929" s="182"/>
      <c r="M929" s="182"/>
    </row>
    <row r="930" spans="1:14" s="107" customFormat="1" ht="15.75" customHeight="1" x14ac:dyDescent="0.35">
      <c r="A930" s="174">
        <v>1</v>
      </c>
      <c r="B930" s="174"/>
      <c r="C930" s="123" t="s">
        <v>200</v>
      </c>
      <c r="D930" s="123">
        <f>(23.69+1.8*(1.5+1.2)+0.6*1.68+3.16*0.75)*10.764</f>
        <v>343.67299199999997</v>
      </c>
      <c r="E930" s="123">
        <f>(5*1.2)*10.764</f>
        <v>64.584000000000003</v>
      </c>
      <c r="F930" s="123">
        <f t="shared" ref="F930:F931" si="213">D930*(($F$422)+1)+(IF(E930&lt;101,E930,IF(E930&lt;201,E930/2,IF(E930&lt;=301,E930/3,E930/4))))</f>
        <v>580.09348799999998</v>
      </c>
      <c r="G930" s="174" t="str">
        <f>A929</f>
        <v>1st Floor for Residential</v>
      </c>
      <c r="H930" s="174"/>
      <c r="I930" s="38">
        <f>2.44*2.9+1.68*2.24+2.42*3.13+0.95*1.22+1.14*1.84+0.9*2.1</f>
        <v>23.560399999999998</v>
      </c>
      <c r="N930" s="38"/>
    </row>
    <row r="931" spans="1:14" s="107" customFormat="1" ht="15.75" customHeight="1" x14ac:dyDescent="0.35">
      <c r="A931" s="174">
        <f t="shared" ref="A931:A965" si="214">A930+1</f>
        <v>2</v>
      </c>
      <c r="B931" s="174"/>
      <c r="C931" s="123" t="s">
        <v>200</v>
      </c>
      <c r="D931" s="123">
        <f>(23.69+1.8*(1.5)+0.6*1.68+3.16*0.75+1.2*1.2)*10.764</f>
        <v>335.922912</v>
      </c>
      <c r="E931" s="123">
        <f>(3.5*1.8)*10.764</f>
        <v>67.813199999999995</v>
      </c>
      <c r="F931" s="123">
        <f t="shared" si="213"/>
        <v>571.69756800000005</v>
      </c>
      <c r="G931" s="174"/>
      <c r="H931" s="174"/>
      <c r="I931" s="38"/>
      <c r="N931" s="38"/>
    </row>
    <row r="932" spans="1:14" s="107" customFormat="1" ht="15.75" customHeight="1" x14ac:dyDescent="0.35">
      <c r="A932" s="174">
        <f t="shared" si="214"/>
        <v>3</v>
      </c>
      <c r="B932" s="174"/>
      <c r="C932" s="123" t="s">
        <v>200</v>
      </c>
      <c r="D932" s="123">
        <f>(23.69+1.8*(1.5)+0.6*1.68+3.16*0.75+1.2*1.2)*10.764</f>
        <v>335.922912</v>
      </c>
      <c r="E932" s="123">
        <f>(3.5*1.8)*10.764</f>
        <v>67.813199999999995</v>
      </c>
      <c r="F932" s="123">
        <f>D932*(($F$422)+1)+(IF(E932&lt;101,E932,IF(E932&lt;201,E932/2,IF(E932&lt;=301,E932/3,E932/4))))</f>
        <v>571.69756800000005</v>
      </c>
      <c r="G932" s="174"/>
      <c r="H932" s="174"/>
      <c r="I932" s="38"/>
      <c r="N932" s="38"/>
    </row>
    <row r="933" spans="1:14" s="107" customFormat="1" ht="15.75" customHeight="1" x14ac:dyDescent="0.35">
      <c r="A933" s="174">
        <f t="shared" si="214"/>
        <v>4</v>
      </c>
      <c r="B933" s="174"/>
      <c r="C933" s="123" t="s">
        <v>200</v>
      </c>
      <c r="D933" s="123">
        <f>(23.69+1.8*(1.5)+0.6*1.68+3.16*0.75)*10.764</f>
        <v>320.422752</v>
      </c>
      <c r="E933" s="123">
        <f>(1.2*5+3.5*1.8)*10.764</f>
        <v>132.3972</v>
      </c>
      <c r="F933" s="123">
        <f t="shared" ref="F933:F936" si="215">D933*(($F$422)+1)+(IF(E933&lt;101,E933,IF(E933&lt;201,E933/2,IF(E933&lt;=301,E933/3,E933/4))))</f>
        <v>546.83272800000009</v>
      </c>
      <c r="G933" s="174"/>
      <c r="H933" s="174"/>
      <c r="I933" s="38"/>
      <c r="N933" s="38"/>
    </row>
    <row r="934" spans="1:14" s="107" customFormat="1" ht="15.75" customHeight="1" x14ac:dyDescent="0.35">
      <c r="A934" s="174">
        <f t="shared" si="214"/>
        <v>5</v>
      </c>
      <c r="B934" s="174"/>
      <c r="C934" s="123" t="s">
        <v>200</v>
      </c>
      <c r="D934" s="123">
        <f>(23.69+1.8*(1.5)+0.6*1.68+3.16*0.75+1.2*1.2)*10.764</f>
        <v>335.922912</v>
      </c>
      <c r="E934" s="123">
        <f>(3.5*1.8)*10.764</f>
        <v>67.813199999999995</v>
      </c>
      <c r="F934" s="123">
        <f t="shared" si="215"/>
        <v>571.69756800000005</v>
      </c>
      <c r="G934" s="174"/>
      <c r="H934" s="174"/>
      <c r="I934" s="38"/>
      <c r="N934" s="38"/>
    </row>
    <row r="935" spans="1:14" s="107" customFormat="1" ht="15.75" customHeight="1" x14ac:dyDescent="0.35">
      <c r="A935" s="174">
        <f t="shared" si="214"/>
        <v>6</v>
      </c>
      <c r="B935" s="174"/>
      <c r="C935" s="123" t="s">
        <v>200</v>
      </c>
      <c r="D935" s="123">
        <f>(23.69+1.8*(1.5)+0.6*1.68+3.16*0.75+1.2*1.2)*10.764</f>
        <v>335.922912</v>
      </c>
      <c r="E935" s="123">
        <f>(3.5*1.8+2.33*3.7)*10.764</f>
        <v>160.60964399999997</v>
      </c>
      <c r="F935" s="123">
        <f t="shared" si="215"/>
        <v>584.18918999999994</v>
      </c>
      <c r="G935" s="174"/>
      <c r="H935" s="174"/>
      <c r="I935" s="38"/>
      <c r="N935" s="38"/>
    </row>
    <row r="936" spans="1:14" s="107" customFormat="1" ht="15.75" customHeight="1" x14ac:dyDescent="0.35">
      <c r="A936" s="174">
        <f t="shared" si="214"/>
        <v>7</v>
      </c>
      <c r="B936" s="174"/>
      <c r="C936" s="123" t="s">
        <v>200</v>
      </c>
      <c r="D936" s="123">
        <f>(23.69+1.8*(1.5)+0.6*1.68+3.16*0.75)*10.764</f>
        <v>320.422752</v>
      </c>
      <c r="E936" s="123">
        <f>(1.2*5+3.5*1.8)*10.764</f>
        <v>132.3972</v>
      </c>
      <c r="F936" s="123">
        <f t="shared" si="215"/>
        <v>546.83272800000009</v>
      </c>
      <c r="G936" s="174"/>
      <c r="H936" s="174"/>
      <c r="I936" s="38"/>
      <c r="N936" s="38"/>
    </row>
    <row r="937" spans="1:14" s="107" customFormat="1" ht="15.75" customHeight="1" x14ac:dyDescent="0.35">
      <c r="A937" s="174">
        <f t="shared" si="214"/>
        <v>8</v>
      </c>
      <c r="B937" s="174"/>
      <c r="C937" s="123" t="s">
        <v>200</v>
      </c>
      <c r="D937" s="123">
        <f>(23.69+1.8*(1.5)+0.6*1.68+3.16*0.75+1.2*1.2)*10.764</f>
        <v>335.922912</v>
      </c>
      <c r="E937" s="123">
        <f>(3.5*1.8)*10.764</f>
        <v>67.813199999999995</v>
      </c>
      <c r="F937" s="123">
        <f>D937*(($F$422)+1)+(IF(E937&lt;101,E937,IF(E937&lt;201,E937/2,IF(E937&lt;=301,E937/3,E937/4))))</f>
        <v>571.69756800000005</v>
      </c>
      <c r="G937" s="174"/>
      <c r="H937" s="174"/>
      <c r="I937" s="38"/>
      <c r="N937" s="38"/>
    </row>
    <row r="938" spans="1:14" s="107" customFormat="1" ht="15.75" customHeight="1" x14ac:dyDescent="0.35">
      <c r="A938" s="174">
        <f t="shared" si="214"/>
        <v>9</v>
      </c>
      <c r="B938" s="174"/>
      <c r="C938" s="123" t="s">
        <v>200</v>
      </c>
      <c r="D938" s="123">
        <f>(23.69+1.8*(1.5)+0.6*1.68+3.16*0.75+1.2*1.2)*10.764</f>
        <v>335.922912</v>
      </c>
      <c r="E938" s="123">
        <f>(3.5*1.8)*10.764</f>
        <v>67.813199999999995</v>
      </c>
      <c r="F938" s="123">
        <f t="shared" ref="F938:F941" si="216">D938*(($F$422)+1)+(IF(E938&lt;101,E938,IF(E938&lt;201,E938/2,IF(E938&lt;=301,E938/3,E938/4))))</f>
        <v>571.69756800000005</v>
      </c>
      <c r="G938" s="174"/>
      <c r="H938" s="174"/>
      <c r="I938" s="38"/>
      <c r="N938" s="38"/>
    </row>
    <row r="939" spans="1:14" s="107" customFormat="1" ht="15.75" customHeight="1" x14ac:dyDescent="0.35">
      <c r="A939" s="174">
        <f t="shared" si="214"/>
        <v>10</v>
      </c>
      <c r="B939" s="174"/>
      <c r="C939" s="123" t="s">
        <v>200</v>
      </c>
      <c r="D939" s="123">
        <f>(23.69+1.8*(1.5+1.2)+0.6*1.68+3.16*0.75)*10.764</f>
        <v>343.67299199999997</v>
      </c>
      <c r="E939" s="123">
        <f>(5*1.2)*10.764</f>
        <v>64.584000000000003</v>
      </c>
      <c r="F939" s="123">
        <f t="shared" si="216"/>
        <v>580.09348799999998</v>
      </c>
      <c r="G939" s="174"/>
      <c r="H939" s="174"/>
      <c r="I939" s="38"/>
      <c r="N939" s="38"/>
    </row>
    <row r="940" spans="1:14" s="107" customFormat="1" ht="15.75" customHeight="1" x14ac:dyDescent="0.35">
      <c r="A940" s="174">
        <f t="shared" si="214"/>
        <v>11</v>
      </c>
      <c r="B940" s="174"/>
      <c r="C940" s="123" t="s">
        <v>200</v>
      </c>
      <c r="D940" s="123">
        <f>(23.69+1.8*(1.5+1.2)+0.6*1.68+3.16*0.75)*10.764</f>
        <v>343.67299199999997</v>
      </c>
      <c r="E940" s="123">
        <f>(5*1.2)*10.764</f>
        <v>64.584000000000003</v>
      </c>
      <c r="F940" s="123">
        <f t="shared" si="216"/>
        <v>580.09348799999998</v>
      </c>
      <c r="G940" s="174"/>
      <c r="H940" s="174"/>
      <c r="I940" s="38"/>
      <c r="N940" s="38"/>
    </row>
    <row r="941" spans="1:14" s="107" customFormat="1" ht="15.75" customHeight="1" x14ac:dyDescent="0.35">
      <c r="A941" s="174">
        <f t="shared" si="214"/>
        <v>12</v>
      </c>
      <c r="B941" s="174"/>
      <c r="C941" s="123" t="s">
        <v>200</v>
      </c>
      <c r="D941" s="123">
        <f>(23.69+1.8*(1.5)+0.6*1.68+3.16*0.75+1.2*1.2)*10.764</f>
        <v>335.922912</v>
      </c>
      <c r="E941" s="123">
        <f>(3.5*1.8)*10.764</f>
        <v>67.813199999999995</v>
      </c>
      <c r="F941" s="123">
        <f t="shared" si="216"/>
        <v>571.69756800000005</v>
      </c>
      <c r="G941" s="174"/>
      <c r="H941" s="174"/>
      <c r="I941" s="38"/>
      <c r="N941" s="38"/>
    </row>
    <row r="942" spans="1:14" s="107" customFormat="1" ht="15.75" customHeight="1" x14ac:dyDescent="0.35">
      <c r="A942" s="174">
        <f t="shared" si="214"/>
        <v>13</v>
      </c>
      <c r="B942" s="174"/>
      <c r="C942" s="123" t="s">
        <v>200</v>
      </c>
      <c r="D942" s="123">
        <f t="shared" ref="D942:D949" si="217">(23.69+1.8*(1.5)+0.6*1.68+3.16*0.75)*10.764</f>
        <v>320.422752</v>
      </c>
      <c r="E942" s="123">
        <f>(1.2*5+3.5*1.8)*10.764</f>
        <v>132.3972</v>
      </c>
      <c r="F942" s="123">
        <f>D942*(($F$422)+1)+(IF(E942&lt;101,E942,IF(E942&lt;201,E942/2,IF(E942&lt;=301,E942/3,E942/4))))</f>
        <v>546.83272800000009</v>
      </c>
      <c r="G942" s="174"/>
      <c r="H942" s="174"/>
      <c r="I942" s="38"/>
      <c r="N942" s="38"/>
    </row>
    <row r="943" spans="1:14" s="107" customFormat="1" ht="15.75" customHeight="1" x14ac:dyDescent="0.35">
      <c r="A943" s="174">
        <f t="shared" si="214"/>
        <v>14</v>
      </c>
      <c r="B943" s="174"/>
      <c r="C943" s="123" t="s">
        <v>200</v>
      </c>
      <c r="D943" s="123">
        <f t="shared" si="217"/>
        <v>320.422752</v>
      </c>
      <c r="E943" s="123">
        <f>(1.2*5+3.5*1.8)*10.764</f>
        <v>132.3972</v>
      </c>
      <c r="F943" s="123">
        <f t="shared" ref="F943" si="218">D943*(($F$422)+1)+(IF(E943&lt;101,E943,IF(E943&lt;201,E943/2,IF(E943&lt;=301,E943/3,E943/4))))</f>
        <v>546.83272800000009</v>
      </c>
      <c r="G943" s="174"/>
      <c r="H943" s="174"/>
      <c r="I943" s="38"/>
      <c r="N943" s="38"/>
    </row>
    <row r="944" spans="1:14" s="107" customFormat="1" ht="15.75" customHeight="1" x14ac:dyDescent="0.35">
      <c r="A944" s="174">
        <f t="shared" si="214"/>
        <v>15</v>
      </c>
      <c r="B944" s="174"/>
      <c r="C944" s="123" t="s">
        <v>200</v>
      </c>
      <c r="D944" s="123">
        <f t="shared" si="217"/>
        <v>320.422752</v>
      </c>
      <c r="E944" s="123">
        <f t="shared" ref="E944:E949" si="219">(1.2*5+3.5*1.8)*10.764</f>
        <v>132.3972</v>
      </c>
      <c r="F944" s="123">
        <f>D944*(($F$422)+1)+(IF(E944&lt;101,E944,IF(E944&lt;201,E944/2,IF(E944&lt;=301,E944/3,E944/4))))</f>
        <v>546.83272800000009</v>
      </c>
      <c r="G944" s="174"/>
      <c r="H944" s="174"/>
      <c r="I944" s="38"/>
      <c r="N944" s="38"/>
    </row>
    <row r="945" spans="1:14" s="107" customFormat="1" ht="15.75" customHeight="1" x14ac:dyDescent="0.35">
      <c r="A945" s="174">
        <f t="shared" si="214"/>
        <v>16</v>
      </c>
      <c r="B945" s="174"/>
      <c r="C945" s="123" t="s">
        <v>200</v>
      </c>
      <c r="D945" s="123">
        <f t="shared" si="217"/>
        <v>320.422752</v>
      </c>
      <c r="E945" s="123">
        <f t="shared" si="219"/>
        <v>132.3972</v>
      </c>
      <c r="F945" s="123">
        <f t="shared" ref="F945:F946" si="220">D945*(($F$422)+1)+(IF(E945&lt;101,E945,IF(E945&lt;201,E945/2,IF(E945&lt;=301,E945/3,E945/4))))</f>
        <v>546.83272800000009</v>
      </c>
      <c r="G945" s="174"/>
      <c r="H945" s="174"/>
      <c r="I945" s="38"/>
      <c r="N945" s="38"/>
    </row>
    <row r="946" spans="1:14" s="107" customFormat="1" ht="15.75" customHeight="1" x14ac:dyDescent="0.35">
      <c r="A946" s="174">
        <f t="shared" si="214"/>
        <v>17</v>
      </c>
      <c r="B946" s="174"/>
      <c r="C946" s="123" t="s">
        <v>200</v>
      </c>
      <c r="D946" s="123">
        <f t="shared" si="217"/>
        <v>320.422752</v>
      </c>
      <c r="E946" s="123">
        <f t="shared" si="219"/>
        <v>132.3972</v>
      </c>
      <c r="F946" s="123">
        <f t="shared" si="220"/>
        <v>546.83272800000009</v>
      </c>
      <c r="G946" s="174"/>
      <c r="H946" s="174"/>
      <c r="I946" s="38"/>
      <c r="N946" s="38"/>
    </row>
    <row r="947" spans="1:14" s="107" customFormat="1" ht="15.75" customHeight="1" x14ac:dyDescent="0.35">
      <c r="A947" s="174">
        <f t="shared" si="214"/>
        <v>18</v>
      </c>
      <c r="B947" s="174"/>
      <c r="C947" s="123" t="s">
        <v>200</v>
      </c>
      <c r="D947" s="123">
        <f t="shared" si="217"/>
        <v>320.422752</v>
      </c>
      <c r="E947" s="123">
        <f t="shared" si="219"/>
        <v>132.3972</v>
      </c>
      <c r="F947" s="123">
        <f>D947*(($F$422)+1)+(IF(E947&lt;101,E947,IF(E947&lt;201,E947/2,IF(E947&lt;=301,E947/3,E947/4))))</f>
        <v>546.83272800000009</v>
      </c>
      <c r="G947" s="174"/>
      <c r="H947" s="174"/>
      <c r="I947" s="38"/>
      <c r="N947" s="38"/>
    </row>
    <row r="948" spans="1:14" s="107" customFormat="1" ht="15.75" customHeight="1" x14ac:dyDescent="0.35">
      <c r="A948" s="174">
        <f t="shared" si="214"/>
        <v>19</v>
      </c>
      <c r="B948" s="174"/>
      <c r="C948" s="123" t="s">
        <v>200</v>
      </c>
      <c r="D948" s="123">
        <f t="shared" si="217"/>
        <v>320.422752</v>
      </c>
      <c r="E948" s="123">
        <f t="shared" si="219"/>
        <v>132.3972</v>
      </c>
      <c r="F948" s="123">
        <f t="shared" ref="F948:F952" si="221">D948*(($F$422)+1)+(IF(E948&lt;101,E948,IF(E948&lt;201,E948/2,IF(E948&lt;=301,E948/3,E948/4))))</f>
        <v>546.83272800000009</v>
      </c>
      <c r="G948" s="174"/>
      <c r="H948" s="174"/>
      <c r="I948" s="38"/>
      <c r="N948" s="38"/>
    </row>
    <row r="949" spans="1:14" s="107" customFormat="1" ht="15.75" customHeight="1" x14ac:dyDescent="0.35">
      <c r="A949" s="174">
        <f t="shared" si="214"/>
        <v>20</v>
      </c>
      <c r="B949" s="174"/>
      <c r="C949" s="123" t="s">
        <v>200</v>
      </c>
      <c r="D949" s="123">
        <f t="shared" si="217"/>
        <v>320.422752</v>
      </c>
      <c r="E949" s="123">
        <f t="shared" si="219"/>
        <v>132.3972</v>
      </c>
      <c r="F949" s="123">
        <f t="shared" si="221"/>
        <v>546.83272800000009</v>
      </c>
      <c r="G949" s="174"/>
      <c r="H949" s="174"/>
      <c r="I949" s="38"/>
      <c r="N949" s="38"/>
    </row>
    <row r="950" spans="1:14" s="107" customFormat="1" ht="15.75" customHeight="1" x14ac:dyDescent="0.35">
      <c r="A950" s="174">
        <f t="shared" si="214"/>
        <v>21</v>
      </c>
      <c r="B950" s="174"/>
      <c r="C950" s="123" t="s">
        <v>200</v>
      </c>
      <c r="D950" s="123">
        <f>(23.69+1.8*(1.5)+0.6*1.68+3.16*0.75+1.2*1.2)*10.764</f>
        <v>335.922912</v>
      </c>
      <c r="E950" s="123">
        <f t="shared" ref="E950:E954" si="222">(3.5*1.8)*10.764</f>
        <v>67.813199999999995</v>
      </c>
      <c r="F950" s="123">
        <f t="shared" si="221"/>
        <v>571.69756800000005</v>
      </c>
      <c r="G950" s="174"/>
      <c r="H950" s="174"/>
      <c r="I950" s="38"/>
      <c r="N950" s="38"/>
    </row>
    <row r="951" spans="1:14" s="107" customFormat="1" ht="15.75" customHeight="1" x14ac:dyDescent="0.35">
      <c r="A951" s="174">
        <f t="shared" si="214"/>
        <v>22</v>
      </c>
      <c r="B951" s="174"/>
      <c r="C951" s="123" t="s">
        <v>200</v>
      </c>
      <c r="D951" s="123">
        <f>(23.69+1.8*(1.5)+0.6*1.68+3.16*0.75+1.2*1.2)*10.764</f>
        <v>335.922912</v>
      </c>
      <c r="E951" s="123">
        <f>(5*1.2)*10.764</f>
        <v>64.584000000000003</v>
      </c>
      <c r="F951" s="123">
        <f t="shared" si="221"/>
        <v>568.46836800000005</v>
      </c>
      <c r="G951" s="174"/>
      <c r="H951" s="174"/>
      <c r="I951" s="38"/>
      <c r="N951" s="38"/>
    </row>
    <row r="952" spans="1:14" s="107" customFormat="1" ht="15.75" customHeight="1" x14ac:dyDescent="0.35">
      <c r="A952" s="174">
        <f t="shared" si="214"/>
        <v>23</v>
      </c>
      <c r="B952" s="174"/>
      <c r="C952" s="123" t="s">
        <v>200</v>
      </c>
      <c r="D952" s="123">
        <f>(23.69+1.8*(1.5)+0.6*1.68+3.16*0.75+1.2*1.2)*10.764</f>
        <v>335.922912</v>
      </c>
      <c r="E952" s="123">
        <f>(2.7*1.8+4.95*1.2)*10.764</f>
        <v>116.2512</v>
      </c>
      <c r="F952" s="123">
        <f t="shared" si="221"/>
        <v>562.00996799999996</v>
      </c>
      <c r="G952" s="174"/>
      <c r="H952" s="174"/>
      <c r="I952" s="38"/>
      <c r="N952" s="38"/>
    </row>
    <row r="953" spans="1:14" s="107" customFormat="1" ht="15.75" customHeight="1" x14ac:dyDescent="0.35">
      <c r="A953" s="174">
        <f t="shared" si="214"/>
        <v>24</v>
      </c>
      <c r="B953" s="174"/>
      <c r="C953" s="123" t="s">
        <v>200</v>
      </c>
      <c r="D953" s="123">
        <f>(23.69+1.8*(1.5)+0.6*1.68+3.16*0.75)*10.764</f>
        <v>320.422752</v>
      </c>
      <c r="E953" s="123">
        <f t="shared" ref="E953" si="223">(1.2*5+3.5*1.8)*10.764</f>
        <v>132.3972</v>
      </c>
      <c r="F953" s="123">
        <f>D953*(($F$422)+1)+(IF(E953&lt;101,E953,IF(E953&lt;201,E953/2,IF(E953&lt;=301,E953/3,E953/4))))</f>
        <v>546.83272800000009</v>
      </c>
      <c r="G953" s="174"/>
      <c r="H953" s="174"/>
      <c r="I953" s="38"/>
      <c r="N953" s="38"/>
    </row>
    <row r="954" spans="1:14" s="107" customFormat="1" ht="15.75" customHeight="1" x14ac:dyDescent="0.35">
      <c r="A954" s="174">
        <f t="shared" si="214"/>
        <v>25</v>
      </c>
      <c r="B954" s="174"/>
      <c r="C954" s="123" t="s">
        <v>200</v>
      </c>
      <c r="D954" s="123">
        <f>(23.69+1.8*(1.5)+0.6*1.68+3.16*0.75+1.2*1.2)*10.764</f>
        <v>335.922912</v>
      </c>
      <c r="E954" s="123">
        <f t="shared" si="222"/>
        <v>67.813199999999995</v>
      </c>
      <c r="F954" s="123">
        <f t="shared" ref="F954:F958" si="224">D954*(($F$422)+1)+(IF(E954&lt;101,E954,IF(E954&lt;201,E954/2,IF(E954&lt;=301,E954/3,E954/4))))</f>
        <v>571.69756800000005</v>
      </c>
      <c r="G954" s="174"/>
      <c r="H954" s="174"/>
      <c r="I954" s="38"/>
      <c r="N954" s="38"/>
    </row>
    <row r="955" spans="1:14" s="107" customFormat="1" ht="15.75" customHeight="1" x14ac:dyDescent="0.35">
      <c r="A955" s="174">
        <f t="shared" si="214"/>
        <v>26</v>
      </c>
      <c r="B955" s="174"/>
      <c r="C955" s="123" t="s">
        <v>200</v>
      </c>
      <c r="D955" s="123">
        <f>(23.69+1.8*(1.5)+0.6*1.68+3.16*0.75)*10.764</f>
        <v>320.422752</v>
      </c>
      <c r="E955" s="123">
        <f t="shared" ref="E955" si="225">(1.2*5+3.5*1.8)*10.764</f>
        <v>132.3972</v>
      </c>
      <c r="F955" s="123">
        <f t="shared" si="224"/>
        <v>546.83272800000009</v>
      </c>
      <c r="G955" s="174"/>
      <c r="H955" s="174"/>
      <c r="I955" s="38"/>
      <c r="N955" s="38"/>
    </row>
    <row r="956" spans="1:14" s="107" customFormat="1" ht="15.75" customHeight="1" x14ac:dyDescent="0.35">
      <c r="A956" s="174">
        <f t="shared" si="214"/>
        <v>27</v>
      </c>
      <c r="B956" s="174"/>
      <c r="C956" s="123" t="s">
        <v>200</v>
      </c>
      <c r="D956" s="123">
        <f>(23.69+1.8*(1.5)+0.6*1.68+3.16*0.75)*10.764</f>
        <v>320.422752</v>
      </c>
      <c r="E956" s="123">
        <f>(6.18*1+1.6*2.5+4*1)*10.764</f>
        <v>152.63351999999998</v>
      </c>
      <c r="F956" s="123">
        <f t="shared" si="224"/>
        <v>556.95088800000008</v>
      </c>
      <c r="G956" s="174"/>
      <c r="H956" s="174"/>
      <c r="I956" s="38"/>
      <c r="N956" s="38"/>
    </row>
    <row r="957" spans="1:14" s="107" customFormat="1" ht="15.75" customHeight="1" x14ac:dyDescent="0.35">
      <c r="A957" s="174">
        <f t="shared" si="214"/>
        <v>28</v>
      </c>
      <c r="B957" s="174"/>
      <c r="C957" s="123" t="s">
        <v>200</v>
      </c>
      <c r="D957" s="123">
        <f>(23.69+1.8*(1.5)+0.6*1.68+3.16*0.75+1.2*1.2)*10.764</f>
        <v>335.922912</v>
      </c>
      <c r="E957" s="123">
        <f>(4.88*1.2+2.7*1.8)*10.764</f>
        <v>115.347024</v>
      </c>
      <c r="F957" s="123">
        <f t="shared" si="224"/>
        <v>561.55787999999995</v>
      </c>
      <c r="G957" s="174"/>
      <c r="H957" s="174"/>
      <c r="I957" s="38"/>
      <c r="N957" s="38"/>
    </row>
    <row r="958" spans="1:14" s="107" customFormat="1" ht="15.75" customHeight="1" x14ac:dyDescent="0.35">
      <c r="A958" s="174">
        <f t="shared" si="214"/>
        <v>29</v>
      </c>
      <c r="B958" s="174"/>
      <c r="C958" s="123" t="s">
        <v>200</v>
      </c>
      <c r="D958" s="123">
        <f>(23.69+1.8*(1.5+1.2)+0.6*1.68+3.16*0.75)*10.764</f>
        <v>343.67299199999997</v>
      </c>
      <c r="E958" s="123">
        <f>(5*1.2)*10.764</f>
        <v>64.584000000000003</v>
      </c>
      <c r="F958" s="123">
        <f t="shared" si="224"/>
        <v>580.09348799999998</v>
      </c>
      <c r="G958" s="174"/>
      <c r="H958" s="174"/>
      <c r="I958" s="38"/>
      <c r="N958" s="38"/>
    </row>
    <row r="959" spans="1:14" s="107" customFormat="1" ht="15.75" customHeight="1" x14ac:dyDescent="0.35">
      <c r="A959" s="174">
        <f t="shared" si="214"/>
        <v>30</v>
      </c>
      <c r="B959" s="174"/>
      <c r="C959" s="123" t="s">
        <v>200</v>
      </c>
      <c r="D959" s="123">
        <f>(23.69+1.8*(1.5+1.2)+0.6*1.68+3.16*0.75+1.2*1.2)*10.764</f>
        <v>359.17315200000002</v>
      </c>
      <c r="E959" s="123">
        <f>(3.6*1.5+3*1.2)*10.764</f>
        <v>96.875999999999991</v>
      </c>
      <c r="F959" s="123">
        <f>D959*(($F$422)+1)+(IF(E959&lt;101,E959,IF(E959&lt;201,E959/2,IF(E959&lt;=301,E959/3,E959/4))))</f>
        <v>635.63572799999997</v>
      </c>
      <c r="G959" s="174"/>
      <c r="H959" s="174"/>
      <c r="I959" s="38"/>
      <c r="N959" s="38"/>
    </row>
    <row r="960" spans="1:14" s="107" customFormat="1" ht="15.75" customHeight="1" x14ac:dyDescent="0.35">
      <c r="A960" s="174">
        <f t="shared" si="214"/>
        <v>31</v>
      </c>
      <c r="B960" s="174"/>
      <c r="C960" s="123" t="s">
        <v>200</v>
      </c>
      <c r="D960" s="123">
        <f>(23.69+1.8*(1.5)+0.6*1.68+3.16*0.75)*10.764</f>
        <v>320.422752</v>
      </c>
      <c r="E960" s="123">
        <f>(6.18*1+1.6*2.5+4*1)*10.764</f>
        <v>152.63351999999998</v>
      </c>
      <c r="F960" s="123">
        <f t="shared" ref="F960:F964" si="226">D960*(($F$422)+1)+(IF(E960&lt;101,E960,IF(E960&lt;201,E960/2,IF(E960&lt;=301,E960/3,E960/4))))</f>
        <v>556.95088800000008</v>
      </c>
      <c r="G960" s="174"/>
      <c r="H960" s="174"/>
      <c r="I960" s="38"/>
      <c r="N960" s="38"/>
    </row>
    <row r="961" spans="1:14" s="107" customFormat="1" ht="15.75" customHeight="1" x14ac:dyDescent="0.35">
      <c r="A961" s="174">
        <f t="shared" si="214"/>
        <v>32</v>
      </c>
      <c r="B961" s="174"/>
      <c r="C961" s="123" t="s">
        <v>200</v>
      </c>
      <c r="D961" s="123">
        <f>(23.69+1.8*(1.5)+0.6*1.68+3.16*0.75+1.2*1.2)*10.764</f>
        <v>335.922912</v>
      </c>
      <c r="E961" s="123">
        <f>(3.5*1.8)*10.764</f>
        <v>67.813199999999995</v>
      </c>
      <c r="F961" s="123">
        <f t="shared" si="226"/>
        <v>571.69756800000005</v>
      </c>
      <c r="G961" s="174"/>
      <c r="H961" s="174"/>
      <c r="I961" s="38"/>
      <c r="N961" s="38"/>
    </row>
    <row r="962" spans="1:14" s="107" customFormat="1" ht="15.75" customHeight="1" x14ac:dyDescent="0.35">
      <c r="A962" s="174">
        <f t="shared" si="214"/>
        <v>33</v>
      </c>
      <c r="B962" s="174"/>
      <c r="C962" s="123" t="s">
        <v>200</v>
      </c>
      <c r="D962" s="123">
        <f>(23.69+1.8*(1.5)+0.6*1.68+3.16*0.75)*10.764</f>
        <v>320.422752</v>
      </c>
      <c r="E962" s="123">
        <f>(6.18*1+1.6*2.5+4*1)*10.764</f>
        <v>152.63351999999998</v>
      </c>
      <c r="F962" s="123">
        <f t="shared" si="226"/>
        <v>556.95088800000008</v>
      </c>
      <c r="G962" s="174"/>
      <c r="H962" s="174"/>
      <c r="I962" s="38"/>
      <c r="N962" s="38"/>
    </row>
    <row r="963" spans="1:14" s="107" customFormat="1" ht="15.75" customHeight="1" x14ac:dyDescent="0.35">
      <c r="A963" s="174">
        <f t="shared" si="214"/>
        <v>34</v>
      </c>
      <c r="B963" s="174"/>
      <c r="C963" s="123" t="s">
        <v>200</v>
      </c>
      <c r="D963" s="123">
        <f>(23.69+1.8*(1.5)+0.6*1.68+3.16*0.75)*10.764</f>
        <v>320.422752</v>
      </c>
      <c r="E963" s="123">
        <f>(6.18*1+1.6*2.5+4*1)*10.764</f>
        <v>152.63351999999998</v>
      </c>
      <c r="F963" s="123">
        <f t="shared" si="226"/>
        <v>556.95088800000008</v>
      </c>
      <c r="G963" s="174"/>
      <c r="H963" s="174"/>
      <c r="I963" s="38"/>
      <c r="N963" s="38"/>
    </row>
    <row r="964" spans="1:14" s="107" customFormat="1" ht="15.75" customHeight="1" x14ac:dyDescent="0.35">
      <c r="A964" s="174">
        <f t="shared" si="214"/>
        <v>35</v>
      </c>
      <c r="B964" s="174"/>
      <c r="C964" s="123" t="s">
        <v>200</v>
      </c>
      <c r="D964" s="123">
        <f>(23.69+1.8*(1.5)+0.6*1.68+3.16*0.75+1.2*1.2)*10.764</f>
        <v>335.922912</v>
      </c>
      <c r="E964" s="123">
        <f>(2.7*1.8+4.95*1.2)*10.764</f>
        <v>116.2512</v>
      </c>
      <c r="F964" s="123">
        <f t="shared" si="226"/>
        <v>562.00996799999996</v>
      </c>
      <c r="G964" s="174"/>
      <c r="H964" s="174"/>
      <c r="I964" s="38"/>
      <c r="N964" s="38"/>
    </row>
    <row r="965" spans="1:14" s="107" customFormat="1" ht="15.75" customHeight="1" x14ac:dyDescent="0.35">
      <c r="A965" s="174">
        <f t="shared" si="214"/>
        <v>36</v>
      </c>
      <c r="B965" s="174"/>
      <c r="C965" s="123" t="s">
        <v>200</v>
      </c>
      <c r="D965" s="123">
        <f>(23.69+1.8*(1.5+1.2)+0.6*1.68+3.16*0.75)*10.764</f>
        <v>343.67299199999997</v>
      </c>
      <c r="E965" s="123">
        <f>(5*1.2)*10.764</f>
        <v>64.584000000000003</v>
      </c>
      <c r="F965" s="123">
        <f>D965*(($F$422)+1)+(IF(E965&lt;101,E965,IF(E965&lt;201,E965/2,IF(E965&lt;=301,E965/3,E965/4))))</f>
        <v>580.09348799999998</v>
      </c>
      <c r="G965" s="174"/>
      <c r="H965" s="174"/>
      <c r="I965" s="38"/>
      <c r="N965" s="38"/>
    </row>
    <row r="966" spans="1:14" s="107" customFormat="1" x14ac:dyDescent="0.35">
      <c r="A966" s="183" t="s">
        <v>171</v>
      </c>
      <c r="B966" s="183"/>
      <c r="C966" s="183"/>
      <c r="D966" s="183"/>
      <c r="E966" s="183"/>
      <c r="F966" s="183"/>
      <c r="G966" s="183"/>
      <c r="H966" s="183"/>
      <c r="I966" s="38"/>
      <c r="L966" s="182"/>
      <c r="M966" s="182"/>
    </row>
    <row r="967" spans="1:14" s="107" customFormat="1" ht="15.75" customHeight="1" x14ac:dyDescent="0.35">
      <c r="A967" s="174">
        <v>1</v>
      </c>
      <c r="B967" s="174"/>
      <c r="C967" s="123" t="s">
        <v>200</v>
      </c>
      <c r="D967" s="123">
        <f>(27.66+1.2*1.8+1.2*1.2+3.16*0.75)*10.764</f>
        <v>361.99331999999998</v>
      </c>
      <c r="E967" s="123">
        <v>0</v>
      </c>
      <c r="F967" s="123">
        <f t="shared" ref="F967:F968" si="227">D967*(($F$422)+1)+(IF(E967&lt;101,E967,IF(E967&lt;201,E967/2,IF(E967&lt;=301,E967/3,E967/4))))</f>
        <v>542.98997999999995</v>
      </c>
      <c r="G967" s="174" t="str">
        <f>A966</f>
        <v xml:space="preserve">2nd to 7th, 9th to 11th, 13rd to 15th, 17th to 19th, 21st to 23rd Floor </v>
      </c>
      <c r="H967" s="174"/>
      <c r="I967" s="38">
        <f>2.44*2.9+1.68*2.24+2.42*3.13+0.95*1.22+1.14*1.84+0.9*2.1</f>
        <v>23.560399999999998</v>
      </c>
      <c r="N967" s="38"/>
    </row>
    <row r="968" spans="1:14" s="107" customFormat="1" ht="15.75" customHeight="1" x14ac:dyDescent="0.35">
      <c r="A968" s="174">
        <f t="shared" ref="A968:A1002" si="228">A967+1</f>
        <v>2</v>
      </c>
      <c r="B968" s="174"/>
      <c r="C968" s="123" t="s">
        <v>200</v>
      </c>
      <c r="D968" s="123">
        <f t="shared" ref="D968:D1002" si="229">(27.66+1.2*1.8+1.2*1.2+3.16*0.75)*10.764</f>
        <v>361.99331999999998</v>
      </c>
      <c r="E968" s="123">
        <v>0</v>
      </c>
      <c r="F968" s="123">
        <f t="shared" si="227"/>
        <v>542.98997999999995</v>
      </c>
      <c r="G968" s="174"/>
      <c r="H968" s="174"/>
      <c r="I968" s="38"/>
      <c r="N968" s="38"/>
    </row>
    <row r="969" spans="1:14" s="107" customFormat="1" ht="15.75" customHeight="1" x14ac:dyDescent="0.35">
      <c r="A969" s="174">
        <f t="shared" si="228"/>
        <v>3</v>
      </c>
      <c r="B969" s="174"/>
      <c r="C969" s="123" t="s">
        <v>200</v>
      </c>
      <c r="D969" s="123">
        <f t="shared" si="229"/>
        <v>361.99331999999998</v>
      </c>
      <c r="E969" s="123">
        <v>0</v>
      </c>
      <c r="F969" s="123">
        <f>D969*(($F$422)+1)+(IF(E969&lt;101,E969,IF(E969&lt;201,E969/2,IF(E969&lt;=301,E969/3,E969/4))))</f>
        <v>542.98997999999995</v>
      </c>
      <c r="G969" s="174"/>
      <c r="H969" s="174"/>
      <c r="I969" s="38"/>
      <c r="N969" s="38"/>
    </row>
    <row r="970" spans="1:14" s="107" customFormat="1" ht="15.75" customHeight="1" x14ac:dyDescent="0.35">
      <c r="A970" s="174">
        <f t="shared" si="228"/>
        <v>4</v>
      </c>
      <c r="B970" s="174"/>
      <c r="C970" s="123" t="s">
        <v>200</v>
      </c>
      <c r="D970" s="123">
        <f t="shared" si="229"/>
        <v>361.99331999999998</v>
      </c>
      <c r="E970" s="123">
        <v>0</v>
      </c>
      <c r="F970" s="123">
        <f t="shared" ref="F970:F973" si="230">D970*(($F$422)+1)+(IF(E970&lt;101,E970,IF(E970&lt;201,E970/2,IF(E970&lt;=301,E970/3,E970/4))))</f>
        <v>542.98997999999995</v>
      </c>
      <c r="G970" s="174"/>
      <c r="H970" s="174"/>
      <c r="I970" s="38"/>
      <c r="N970" s="38"/>
    </row>
    <row r="971" spans="1:14" s="107" customFormat="1" ht="15.75" customHeight="1" x14ac:dyDescent="0.35">
      <c r="A971" s="174">
        <f t="shared" si="228"/>
        <v>5</v>
      </c>
      <c r="B971" s="174"/>
      <c r="C971" s="123" t="s">
        <v>200</v>
      </c>
      <c r="D971" s="123">
        <f t="shared" si="229"/>
        <v>361.99331999999998</v>
      </c>
      <c r="E971" s="123">
        <v>0</v>
      </c>
      <c r="F971" s="123">
        <f t="shared" si="230"/>
        <v>542.98997999999995</v>
      </c>
      <c r="G971" s="174"/>
      <c r="H971" s="174"/>
      <c r="I971" s="38"/>
      <c r="N971" s="38"/>
    </row>
    <row r="972" spans="1:14" s="107" customFormat="1" ht="15.75" customHeight="1" x14ac:dyDescent="0.35">
      <c r="A972" s="174">
        <f t="shared" si="228"/>
        <v>6</v>
      </c>
      <c r="B972" s="174"/>
      <c r="C972" s="123" t="s">
        <v>200</v>
      </c>
      <c r="D972" s="123">
        <f t="shared" si="229"/>
        <v>361.99331999999998</v>
      </c>
      <c r="E972" s="123">
        <v>0</v>
      </c>
      <c r="F972" s="123">
        <f t="shared" si="230"/>
        <v>542.98997999999995</v>
      </c>
      <c r="G972" s="174"/>
      <c r="H972" s="174"/>
      <c r="I972" s="38"/>
      <c r="N972" s="38"/>
    </row>
    <row r="973" spans="1:14" s="107" customFormat="1" ht="15.75" customHeight="1" x14ac:dyDescent="0.35">
      <c r="A973" s="174">
        <f t="shared" si="228"/>
        <v>7</v>
      </c>
      <c r="B973" s="174"/>
      <c r="C973" s="123" t="s">
        <v>200</v>
      </c>
      <c r="D973" s="123">
        <f t="shared" si="229"/>
        <v>361.99331999999998</v>
      </c>
      <c r="E973" s="123">
        <v>0</v>
      </c>
      <c r="F973" s="123">
        <f t="shared" si="230"/>
        <v>542.98997999999995</v>
      </c>
      <c r="G973" s="174"/>
      <c r="H973" s="174"/>
      <c r="I973" s="38"/>
      <c r="N973" s="38"/>
    </row>
    <row r="974" spans="1:14" s="107" customFormat="1" ht="15.75" customHeight="1" x14ac:dyDescent="0.35">
      <c r="A974" s="174">
        <f t="shared" si="228"/>
        <v>8</v>
      </c>
      <c r="B974" s="174"/>
      <c r="C974" s="123" t="s">
        <v>200</v>
      </c>
      <c r="D974" s="123">
        <f t="shared" si="229"/>
        <v>361.99331999999998</v>
      </c>
      <c r="E974" s="123">
        <v>0</v>
      </c>
      <c r="F974" s="123">
        <f>D974*(($F$422)+1)+(IF(E974&lt;101,E974,IF(E974&lt;201,E974/2,IF(E974&lt;=301,E974/3,E974/4))))</f>
        <v>542.98997999999995</v>
      </c>
      <c r="G974" s="174"/>
      <c r="H974" s="174"/>
      <c r="I974" s="38"/>
      <c r="N974" s="38"/>
    </row>
    <row r="975" spans="1:14" s="107" customFormat="1" ht="15.75" customHeight="1" x14ac:dyDescent="0.35">
      <c r="A975" s="174">
        <f t="shared" si="228"/>
        <v>9</v>
      </c>
      <c r="B975" s="174"/>
      <c r="C975" s="123" t="s">
        <v>200</v>
      </c>
      <c r="D975" s="123">
        <f t="shared" si="229"/>
        <v>361.99331999999998</v>
      </c>
      <c r="E975" s="123">
        <v>0</v>
      </c>
      <c r="F975" s="123">
        <f t="shared" ref="F975:F978" si="231">D975*(($F$422)+1)+(IF(E975&lt;101,E975,IF(E975&lt;201,E975/2,IF(E975&lt;=301,E975/3,E975/4))))</f>
        <v>542.98997999999995</v>
      </c>
      <c r="G975" s="174"/>
      <c r="H975" s="174"/>
      <c r="I975" s="38"/>
      <c r="N975" s="38"/>
    </row>
    <row r="976" spans="1:14" s="107" customFormat="1" ht="15.75" customHeight="1" x14ac:dyDescent="0.35">
      <c r="A976" s="174">
        <f t="shared" si="228"/>
        <v>10</v>
      </c>
      <c r="B976" s="174"/>
      <c r="C976" s="123" t="s">
        <v>200</v>
      </c>
      <c r="D976" s="123">
        <f t="shared" si="229"/>
        <v>361.99331999999998</v>
      </c>
      <c r="E976" s="123">
        <v>0</v>
      </c>
      <c r="F976" s="123">
        <f t="shared" si="231"/>
        <v>542.98997999999995</v>
      </c>
      <c r="G976" s="174"/>
      <c r="H976" s="174"/>
      <c r="I976" s="38"/>
      <c r="N976" s="38"/>
    </row>
    <row r="977" spans="1:14" s="107" customFormat="1" ht="15.75" customHeight="1" x14ac:dyDescent="0.35">
      <c r="A977" s="174">
        <f t="shared" si="228"/>
        <v>11</v>
      </c>
      <c r="B977" s="174"/>
      <c r="C977" s="123" t="s">
        <v>200</v>
      </c>
      <c r="D977" s="123">
        <f t="shared" si="229"/>
        <v>361.99331999999998</v>
      </c>
      <c r="E977" s="123">
        <v>0</v>
      </c>
      <c r="F977" s="123">
        <f t="shared" si="231"/>
        <v>542.98997999999995</v>
      </c>
      <c r="G977" s="174"/>
      <c r="H977" s="174"/>
      <c r="I977" s="38"/>
      <c r="N977" s="38"/>
    </row>
    <row r="978" spans="1:14" s="107" customFormat="1" ht="15.75" customHeight="1" x14ac:dyDescent="0.35">
      <c r="A978" s="174">
        <f t="shared" si="228"/>
        <v>12</v>
      </c>
      <c r="B978" s="174"/>
      <c r="C978" s="123" t="s">
        <v>200</v>
      </c>
      <c r="D978" s="123">
        <f t="shared" si="229"/>
        <v>361.99331999999998</v>
      </c>
      <c r="E978" s="123">
        <v>0</v>
      </c>
      <c r="F978" s="123">
        <f t="shared" si="231"/>
        <v>542.98997999999995</v>
      </c>
      <c r="G978" s="174"/>
      <c r="H978" s="174"/>
      <c r="I978" s="38"/>
      <c r="N978" s="38"/>
    </row>
    <row r="979" spans="1:14" s="107" customFormat="1" ht="15.75" customHeight="1" x14ac:dyDescent="0.35">
      <c r="A979" s="174">
        <f t="shared" si="228"/>
        <v>13</v>
      </c>
      <c r="B979" s="174"/>
      <c r="C979" s="123" t="s">
        <v>200</v>
      </c>
      <c r="D979" s="123">
        <f t="shared" si="229"/>
        <v>361.99331999999998</v>
      </c>
      <c r="E979" s="123">
        <v>0</v>
      </c>
      <c r="F979" s="123">
        <f>D979*(($F$422)+1)+(IF(E979&lt;101,E979,IF(E979&lt;201,E979/2,IF(E979&lt;=301,E979/3,E979/4))))</f>
        <v>542.98997999999995</v>
      </c>
      <c r="G979" s="174"/>
      <c r="H979" s="174"/>
      <c r="I979" s="38"/>
      <c r="N979" s="38"/>
    </row>
    <row r="980" spans="1:14" s="107" customFormat="1" ht="15.75" customHeight="1" x14ac:dyDescent="0.35">
      <c r="A980" s="174">
        <f t="shared" si="228"/>
        <v>14</v>
      </c>
      <c r="B980" s="174"/>
      <c r="C980" s="123" t="s">
        <v>200</v>
      </c>
      <c r="D980" s="123">
        <f t="shared" si="229"/>
        <v>361.99331999999998</v>
      </c>
      <c r="E980" s="123">
        <v>0</v>
      </c>
      <c r="F980" s="123">
        <f t="shared" ref="F980" si="232">D980*(($F$422)+1)+(IF(E980&lt;101,E980,IF(E980&lt;201,E980/2,IF(E980&lt;=301,E980/3,E980/4))))</f>
        <v>542.98997999999995</v>
      </c>
      <c r="G980" s="174"/>
      <c r="H980" s="174"/>
      <c r="I980" s="38"/>
      <c r="N980" s="38"/>
    </row>
    <row r="981" spans="1:14" s="107" customFormat="1" ht="15.75" customHeight="1" x14ac:dyDescent="0.35">
      <c r="A981" s="174">
        <f t="shared" si="228"/>
        <v>15</v>
      </c>
      <c r="B981" s="174"/>
      <c r="C981" s="123" t="s">
        <v>200</v>
      </c>
      <c r="D981" s="123">
        <f t="shared" si="229"/>
        <v>361.99331999999998</v>
      </c>
      <c r="E981" s="123">
        <v>0</v>
      </c>
      <c r="F981" s="123">
        <f>D981*(($F$422)+1)+(IF(E981&lt;101,E981,IF(E981&lt;201,E981/2,IF(E981&lt;=301,E981/3,E981/4))))</f>
        <v>542.98997999999995</v>
      </c>
      <c r="G981" s="174"/>
      <c r="H981" s="174"/>
      <c r="I981" s="38"/>
      <c r="N981" s="38"/>
    </row>
    <row r="982" spans="1:14" s="107" customFormat="1" ht="15.75" customHeight="1" x14ac:dyDescent="0.35">
      <c r="A982" s="174">
        <f t="shared" si="228"/>
        <v>16</v>
      </c>
      <c r="B982" s="174"/>
      <c r="C982" s="123" t="s">
        <v>200</v>
      </c>
      <c r="D982" s="123">
        <f t="shared" si="229"/>
        <v>361.99331999999998</v>
      </c>
      <c r="E982" s="123">
        <v>0</v>
      </c>
      <c r="F982" s="123">
        <f t="shared" ref="F982:F983" si="233">D982*(($F$422)+1)+(IF(E982&lt;101,E982,IF(E982&lt;201,E982/2,IF(E982&lt;=301,E982/3,E982/4))))</f>
        <v>542.98997999999995</v>
      </c>
      <c r="G982" s="174"/>
      <c r="H982" s="174"/>
      <c r="I982" s="38"/>
      <c r="N982" s="38"/>
    </row>
    <row r="983" spans="1:14" s="107" customFormat="1" ht="15.75" customHeight="1" x14ac:dyDescent="0.35">
      <c r="A983" s="174">
        <f t="shared" si="228"/>
        <v>17</v>
      </c>
      <c r="B983" s="174"/>
      <c r="C983" s="123" t="s">
        <v>200</v>
      </c>
      <c r="D983" s="123">
        <f t="shared" si="229"/>
        <v>361.99331999999998</v>
      </c>
      <c r="E983" s="123">
        <v>0</v>
      </c>
      <c r="F983" s="123">
        <f t="shared" si="233"/>
        <v>542.98997999999995</v>
      </c>
      <c r="G983" s="174"/>
      <c r="H983" s="174"/>
      <c r="I983" s="38"/>
      <c r="N983" s="38"/>
    </row>
    <row r="984" spans="1:14" s="107" customFormat="1" ht="15.75" customHeight="1" x14ac:dyDescent="0.35">
      <c r="A984" s="174">
        <f t="shared" si="228"/>
        <v>18</v>
      </c>
      <c r="B984" s="174"/>
      <c r="C984" s="123" t="s">
        <v>200</v>
      </c>
      <c r="D984" s="123">
        <f t="shared" si="229"/>
        <v>361.99331999999998</v>
      </c>
      <c r="E984" s="123">
        <v>0</v>
      </c>
      <c r="F984" s="123">
        <f>D984*(($F$422)+1)+(IF(E984&lt;101,E984,IF(E984&lt;201,E984/2,IF(E984&lt;=301,E984/3,E984/4))))</f>
        <v>542.98997999999995</v>
      </c>
      <c r="G984" s="174"/>
      <c r="H984" s="174"/>
      <c r="I984" s="38"/>
      <c r="N984" s="38"/>
    </row>
    <row r="985" spans="1:14" s="107" customFormat="1" ht="15.75" customHeight="1" x14ac:dyDescent="0.35">
      <c r="A985" s="174">
        <f t="shared" si="228"/>
        <v>19</v>
      </c>
      <c r="B985" s="174"/>
      <c r="C985" s="123" t="s">
        <v>200</v>
      </c>
      <c r="D985" s="123">
        <f t="shared" si="229"/>
        <v>361.99331999999998</v>
      </c>
      <c r="E985" s="123">
        <v>0</v>
      </c>
      <c r="F985" s="123">
        <f t="shared" ref="F985:F989" si="234">D985*(($F$422)+1)+(IF(E985&lt;101,E985,IF(E985&lt;201,E985/2,IF(E985&lt;=301,E985/3,E985/4))))</f>
        <v>542.98997999999995</v>
      </c>
      <c r="G985" s="174"/>
      <c r="H985" s="174"/>
      <c r="I985" s="38"/>
      <c r="N985" s="38"/>
    </row>
    <row r="986" spans="1:14" s="107" customFormat="1" ht="15.75" customHeight="1" x14ac:dyDescent="0.35">
      <c r="A986" s="174">
        <f t="shared" si="228"/>
        <v>20</v>
      </c>
      <c r="B986" s="174"/>
      <c r="C986" s="123" t="s">
        <v>200</v>
      </c>
      <c r="D986" s="123">
        <f t="shared" si="229"/>
        <v>361.99331999999998</v>
      </c>
      <c r="E986" s="123">
        <v>0</v>
      </c>
      <c r="F986" s="123">
        <f t="shared" si="234"/>
        <v>542.98997999999995</v>
      </c>
      <c r="G986" s="174"/>
      <c r="H986" s="174"/>
      <c r="I986" s="38"/>
      <c r="N986" s="38"/>
    </row>
    <row r="987" spans="1:14" s="107" customFormat="1" ht="15.75" customHeight="1" x14ac:dyDescent="0.35">
      <c r="A987" s="174">
        <f t="shared" si="228"/>
        <v>21</v>
      </c>
      <c r="B987" s="174"/>
      <c r="C987" s="123" t="s">
        <v>200</v>
      </c>
      <c r="D987" s="123">
        <f t="shared" si="229"/>
        <v>361.99331999999998</v>
      </c>
      <c r="E987" s="123">
        <v>0</v>
      </c>
      <c r="F987" s="123">
        <f t="shared" si="234"/>
        <v>542.98997999999995</v>
      </c>
      <c r="G987" s="174"/>
      <c r="H987" s="174"/>
      <c r="I987" s="38"/>
      <c r="N987" s="38"/>
    </row>
    <row r="988" spans="1:14" s="107" customFormat="1" ht="15.75" customHeight="1" x14ac:dyDescent="0.35">
      <c r="A988" s="174">
        <f t="shared" si="228"/>
        <v>22</v>
      </c>
      <c r="B988" s="174"/>
      <c r="C988" s="123" t="s">
        <v>200</v>
      </c>
      <c r="D988" s="123">
        <f t="shared" si="229"/>
        <v>361.99331999999998</v>
      </c>
      <c r="E988" s="123">
        <v>0</v>
      </c>
      <c r="F988" s="123">
        <f t="shared" si="234"/>
        <v>542.98997999999995</v>
      </c>
      <c r="G988" s="174"/>
      <c r="H988" s="174"/>
      <c r="I988" s="38"/>
      <c r="N988" s="38"/>
    </row>
    <row r="989" spans="1:14" s="107" customFormat="1" ht="15.75" customHeight="1" x14ac:dyDescent="0.35">
      <c r="A989" s="174">
        <f t="shared" si="228"/>
        <v>23</v>
      </c>
      <c r="B989" s="174"/>
      <c r="C989" s="123" t="s">
        <v>200</v>
      </c>
      <c r="D989" s="123">
        <f t="shared" si="229"/>
        <v>361.99331999999998</v>
      </c>
      <c r="E989" s="123">
        <v>0</v>
      </c>
      <c r="F989" s="123">
        <f t="shared" si="234"/>
        <v>542.98997999999995</v>
      </c>
      <c r="G989" s="174"/>
      <c r="H989" s="174"/>
      <c r="I989" s="38"/>
      <c r="N989" s="38"/>
    </row>
    <row r="990" spans="1:14" s="107" customFormat="1" ht="15.75" customHeight="1" x14ac:dyDescent="0.35">
      <c r="A990" s="174">
        <f t="shared" si="228"/>
        <v>24</v>
      </c>
      <c r="B990" s="174"/>
      <c r="C990" s="123" t="s">
        <v>200</v>
      </c>
      <c r="D990" s="123">
        <f t="shared" si="229"/>
        <v>361.99331999999998</v>
      </c>
      <c r="E990" s="123">
        <v>0</v>
      </c>
      <c r="F990" s="123">
        <f>D990*(($F$422)+1)+(IF(E990&lt;101,E990,IF(E990&lt;201,E990/2,IF(E990&lt;=301,E990/3,E990/4))))</f>
        <v>542.98997999999995</v>
      </c>
      <c r="G990" s="174"/>
      <c r="H990" s="174"/>
      <c r="I990" s="38"/>
      <c r="N990" s="38"/>
    </row>
    <row r="991" spans="1:14" s="107" customFormat="1" ht="15.75" customHeight="1" x14ac:dyDescent="0.35">
      <c r="A991" s="174">
        <f t="shared" si="228"/>
        <v>25</v>
      </c>
      <c r="B991" s="174"/>
      <c r="C991" s="123" t="s">
        <v>200</v>
      </c>
      <c r="D991" s="123">
        <f t="shared" si="229"/>
        <v>361.99331999999998</v>
      </c>
      <c r="E991" s="123">
        <v>0</v>
      </c>
      <c r="F991" s="123">
        <f t="shared" ref="F991:F995" si="235">D991*(($F$422)+1)+(IF(E991&lt;101,E991,IF(E991&lt;201,E991/2,IF(E991&lt;=301,E991/3,E991/4))))</f>
        <v>542.98997999999995</v>
      </c>
      <c r="G991" s="174"/>
      <c r="H991" s="174"/>
      <c r="I991" s="38"/>
      <c r="N991" s="38"/>
    </row>
    <row r="992" spans="1:14" s="107" customFormat="1" ht="15.75" customHeight="1" x14ac:dyDescent="0.35">
      <c r="A992" s="174">
        <f t="shared" si="228"/>
        <v>26</v>
      </c>
      <c r="B992" s="174"/>
      <c r="C992" s="123" t="s">
        <v>200</v>
      </c>
      <c r="D992" s="123">
        <f t="shared" si="229"/>
        <v>361.99331999999998</v>
      </c>
      <c r="E992" s="123">
        <v>0</v>
      </c>
      <c r="F992" s="123">
        <f t="shared" si="235"/>
        <v>542.98997999999995</v>
      </c>
      <c r="G992" s="174"/>
      <c r="H992" s="174"/>
      <c r="I992" s="38"/>
      <c r="N992" s="38"/>
    </row>
    <row r="993" spans="1:14" s="107" customFormat="1" ht="15.75" customHeight="1" x14ac:dyDescent="0.35">
      <c r="A993" s="174">
        <f t="shared" si="228"/>
        <v>27</v>
      </c>
      <c r="B993" s="174"/>
      <c r="C993" s="123" t="s">
        <v>200</v>
      </c>
      <c r="D993" s="123">
        <f t="shared" si="229"/>
        <v>361.99331999999998</v>
      </c>
      <c r="E993" s="123">
        <v>0</v>
      </c>
      <c r="F993" s="123">
        <f t="shared" si="235"/>
        <v>542.98997999999995</v>
      </c>
      <c r="G993" s="174"/>
      <c r="H993" s="174"/>
      <c r="I993" s="38"/>
      <c r="N993" s="38"/>
    </row>
    <row r="994" spans="1:14" s="107" customFormat="1" ht="15.75" customHeight="1" x14ac:dyDescent="0.35">
      <c r="A994" s="174">
        <f t="shared" si="228"/>
        <v>28</v>
      </c>
      <c r="B994" s="174"/>
      <c r="C994" s="123" t="s">
        <v>200</v>
      </c>
      <c r="D994" s="123">
        <f t="shared" si="229"/>
        <v>361.99331999999998</v>
      </c>
      <c r="E994" s="123">
        <v>0</v>
      </c>
      <c r="F994" s="123">
        <f t="shared" si="235"/>
        <v>542.98997999999995</v>
      </c>
      <c r="G994" s="174"/>
      <c r="H994" s="174"/>
      <c r="I994" s="38"/>
      <c r="N994" s="38"/>
    </row>
    <row r="995" spans="1:14" s="107" customFormat="1" ht="15.75" customHeight="1" x14ac:dyDescent="0.35">
      <c r="A995" s="174">
        <f t="shared" si="228"/>
        <v>29</v>
      </c>
      <c r="B995" s="174"/>
      <c r="C995" s="123" t="s">
        <v>200</v>
      </c>
      <c r="D995" s="123">
        <f t="shared" si="229"/>
        <v>361.99331999999998</v>
      </c>
      <c r="E995" s="123">
        <v>0</v>
      </c>
      <c r="F995" s="123">
        <f t="shared" si="235"/>
        <v>542.98997999999995</v>
      </c>
      <c r="G995" s="174"/>
      <c r="H995" s="174"/>
      <c r="I995" s="38"/>
      <c r="N995" s="38"/>
    </row>
    <row r="996" spans="1:14" s="107" customFormat="1" ht="15.75" customHeight="1" x14ac:dyDescent="0.35">
      <c r="A996" s="174">
        <f t="shared" si="228"/>
        <v>30</v>
      </c>
      <c r="B996" s="174"/>
      <c r="C996" s="123" t="s">
        <v>200</v>
      </c>
      <c r="D996" s="123">
        <f t="shared" si="229"/>
        <v>361.99331999999998</v>
      </c>
      <c r="E996" s="123">
        <v>0</v>
      </c>
      <c r="F996" s="123">
        <f>D996*(($F$422)+1)+(IF(E996&lt;101,E996,IF(E996&lt;201,E996/2,IF(E996&lt;=301,E996/3,E996/4))))</f>
        <v>542.98997999999995</v>
      </c>
      <c r="G996" s="174"/>
      <c r="H996" s="174"/>
      <c r="I996" s="38"/>
      <c r="N996" s="38"/>
    </row>
    <row r="997" spans="1:14" s="107" customFormat="1" ht="15.75" customHeight="1" x14ac:dyDescent="0.35">
      <c r="A997" s="174">
        <f t="shared" si="228"/>
        <v>31</v>
      </c>
      <c r="B997" s="174"/>
      <c r="C997" s="123" t="s">
        <v>200</v>
      </c>
      <c r="D997" s="123">
        <f t="shared" si="229"/>
        <v>361.99331999999998</v>
      </c>
      <c r="E997" s="123">
        <v>0</v>
      </c>
      <c r="F997" s="123">
        <f t="shared" ref="F997:F1001" si="236">D997*(($F$422)+1)+(IF(E997&lt;101,E997,IF(E997&lt;201,E997/2,IF(E997&lt;=301,E997/3,E997/4))))</f>
        <v>542.98997999999995</v>
      </c>
      <c r="G997" s="174"/>
      <c r="H997" s="174"/>
      <c r="I997" s="38"/>
      <c r="N997" s="38"/>
    </row>
    <row r="998" spans="1:14" s="107" customFormat="1" ht="15.75" customHeight="1" x14ac:dyDescent="0.35">
      <c r="A998" s="174">
        <f t="shared" si="228"/>
        <v>32</v>
      </c>
      <c r="B998" s="174"/>
      <c r="C998" s="123" t="s">
        <v>200</v>
      </c>
      <c r="D998" s="123">
        <f t="shared" si="229"/>
        <v>361.99331999999998</v>
      </c>
      <c r="E998" s="123">
        <v>0</v>
      </c>
      <c r="F998" s="123">
        <f t="shared" si="236"/>
        <v>542.98997999999995</v>
      </c>
      <c r="G998" s="174"/>
      <c r="H998" s="174"/>
      <c r="I998" s="38"/>
      <c r="N998" s="38"/>
    </row>
    <row r="999" spans="1:14" s="107" customFormat="1" ht="15.75" customHeight="1" x14ac:dyDescent="0.35">
      <c r="A999" s="174">
        <f t="shared" si="228"/>
        <v>33</v>
      </c>
      <c r="B999" s="174"/>
      <c r="C999" s="123" t="s">
        <v>200</v>
      </c>
      <c r="D999" s="123">
        <f t="shared" si="229"/>
        <v>361.99331999999998</v>
      </c>
      <c r="E999" s="123">
        <v>0</v>
      </c>
      <c r="F999" s="123">
        <f t="shared" si="236"/>
        <v>542.98997999999995</v>
      </c>
      <c r="G999" s="174"/>
      <c r="H999" s="174"/>
      <c r="I999" s="38"/>
      <c r="N999" s="38"/>
    </row>
    <row r="1000" spans="1:14" s="107" customFormat="1" ht="15.75" customHeight="1" x14ac:dyDescent="0.35">
      <c r="A1000" s="174">
        <f t="shared" si="228"/>
        <v>34</v>
      </c>
      <c r="B1000" s="174"/>
      <c r="C1000" s="123" t="s">
        <v>200</v>
      </c>
      <c r="D1000" s="123">
        <f t="shared" si="229"/>
        <v>361.99331999999998</v>
      </c>
      <c r="E1000" s="123">
        <v>0</v>
      </c>
      <c r="F1000" s="123">
        <f t="shared" si="236"/>
        <v>542.98997999999995</v>
      </c>
      <c r="G1000" s="174"/>
      <c r="H1000" s="174"/>
      <c r="I1000" s="38"/>
      <c r="N1000" s="38"/>
    </row>
    <row r="1001" spans="1:14" s="107" customFormat="1" ht="15.75" customHeight="1" x14ac:dyDescent="0.35">
      <c r="A1001" s="174">
        <f t="shared" si="228"/>
        <v>35</v>
      </c>
      <c r="B1001" s="174"/>
      <c r="C1001" s="123" t="s">
        <v>200</v>
      </c>
      <c r="D1001" s="123">
        <f t="shared" si="229"/>
        <v>361.99331999999998</v>
      </c>
      <c r="E1001" s="123">
        <v>0</v>
      </c>
      <c r="F1001" s="123">
        <f t="shared" si="236"/>
        <v>542.98997999999995</v>
      </c>
      <c r="G1001" s="174"/>
      <c r="H1001" s="174"/>
      <c r="I1001" s="38"/>
      <c r="N1001" s="38"/>
    </row>
    <row r="1002" spans="1:14" s="107" customFormat="1" ht="15.75" customHeight="1" x14ac:dyDescent="0.35">
      <c r="A1002" s="174">
        <f t="shared" si="228"/>
        <v>36</v>
      </c>
      <c r="B1002" s="174"/>
      <c r="C1002" s="123" t="s">
        <v>200</v>
      </c>
      <c r="D1002" s="123">
        <f t="shared" si="229"/>
        <v>361.99331999999998</v>
      </c>
      <c r="E1002" s="123">
        <v>0</v>
      </c>
      <c r="F1002" s="123">
        <f>D1002*(($F$422)+1)+(IF(E1002&lt;101,E1002,IF(E1002&lt;201,E1002/2,IF(E1002&lt;=301,E1002/3,E1002/4))))</f>
        <v>542.98997999999995</v>
      </c>
      <c r="G1002" s="174"/>
      <c r="H1002" s="174"/>
      <c r="I1002" s="38"/>
      <c r="N1002" s="38"/>
    </row>
    <row r="1003" spans="1:14" s="107" customFormat="1" x14ac:dyDescent="0.35">
      <c r="A1003" s="183" t="s">
        <v>227</v>
      </c>
      <c r="B1003" s="183"/>
      <c r="C1003" s="183"/>
      <c r="D1003" s="183"/>
      <c r="E1003" s="183"/>
      <c r="F1003" s="183"/>
      <c r="G1003" s="183"/>
      <c r="H1003" s="183"/>
      <c r="I1003" s="38"/>
      <c r="L1003" s="182"/>
      <c r="M1003" s="182"/>
    </row>
    <row r="1004" spans="1:14" s="107" customFormat="1" ht="15.75" customHeight="1" x14ac:dyDescent="0.35">
      <c r="A1004" s="174">
        <v>1</v>
      </c>
      <c r="B1004" s="174"/>
      <c r="C1004" s="123" t="s">
        <v>200</v>
      </c>
      <c r="D1004" s="123">
        <f>(27.66+1.2*1.8+1.2*1.2+3.16*0.75)*10.764</f>
        <v>361.99331999999998</v>
      </c>
      <c r="E1004" s="123">
        <v>0</v>
      </c>
      <c r="F1004" s="123">
        <f t="shared" ref="F1004:F1005" si="237">D1004*(($F$422)+1)+(IF(E1004&lt;101,E1004,IF(E1004&lt;201,E1004/2,IF(E1004&lt;=301,E1004/3,E1004/4))))</f>
        <v>542.98997999999995</v>
      </c>
      <c r="G1004" s="174" t="str">
        <f>A1003</f>
        <v>8th, 12th, 16th &amp; 20th Floor (Part Refuge Area)</v>
      </c>
      <c r="H1004" s="174"/>
      <c r="I1004" s="38">
        <f>2.44*2.9+1.68*2.24+2.42*3.13+0.95*1.22+1.14*1.84+0.9*2.1</f>
        <v>23.560399999999998</v>
      </c>
      <c r="N1004" s="38"/>
    </row>
    <row r="1005" spans="1:14" s="107" customFormat="1" ht="15.75" customHeight="1" x14ac:dyDescent="0.35">
      <c r="A1005" s="174">
        <f t="shared" ref="A1005:A1039" si="238">A1004+1</f>
        <v>2</v>
      </c>
      <c r="B1005" s="174"/>
      <c r="C1005" s="123" t="s">
        <v>200</v>
      </c>
      <c r="D1005" s="123">
        <f t="shared" ref="D1005:D1039" si="239">(27.66+1.2*1.8+1.2*1.2+3.16*0.75)*10.764</f>
        <v>361.99331999999998</v>
      </c>
      <c r="E1005" s="123">
        <v>0</v>
      </c>
      <c r="F1005" s="123">
        <f t="shared" si="237"/>
        <v>542.98997999999995</v>
      </c>
      <c r="G1005" s="174"/>
      <c r="H1005" s="174"/>
      <c r="I1005" s="38"/>
      <c r="N1005" s="38"/>
    </row>
    <row r="1006" spans="1:14" s="107" customFormat="1" ht="15.75" customHeight="1" x14ac:dyDescent="0.35">
      <c r="A1006" s="174">
        <f t="shared" si="238"/>
        <v>3</v>
      </c>
      <c r="B1006" s="174"/>
      <c r="C1006" s="123" t="s">
        <v>200</v>
      </c>
      <c r="D1006" s="123">
        <f t="shared" si="239"/>
        <v>361.99331999999998</v>
      </c>
      <c r="E1006" s="123">
        <v>0</v>
      </c>
      <c r="F1006" s="123">
        <f>D1006*(($F$422)+1)+(IF(E1006&lt;101,E1006,IF(E1006&lt;201,E1006/2,IF(E1006&lt;=301,E1006/3,E1006/4))))</f>
        <v>542.98997999999995</v>
      </c>
      <c r="G1006" s="174"/>
      <c r="H1006" s="174"/>
      <c r="I1006" s="38"/>
      <c r="N1006" s="38"/>
    </row>
    <row r="1007" spans="1:14" s="107" customFormat="1" ht="15.75" customHeight="1" x14ac:dyDescent="0.35">
      <c r="A1007" s="174">
        <f t="shared" si="238"/>
        <v>4</v>
      </c>
      <c r="B1007" s="174"/>
      <c r="C1007" s="123" t="s">
        <v>200</v>
      </c>
      <c r="D1007" s="123">
        <f t="shared" si="239"/>
        <v>361.99331999999998</v>
      </c>
      <c r="E1007" s="123">
        <v>0</v>
      </c>
      <c r="F1007" s="123">
        <f>D1007*(($F$422)+1)+(IF(E1007&lt;101,E1007,IF(E1007&lt;201,E1007/2,IF(E1007&lt;=301,E1007/3,E1007/4))))</f>
        <v>542.98997999999995</v>
      </c>
      <c r="G1007" s="174"/>
      <c r="H1007" s="174"/>
      <c r="I1007" s="38"/>
      <c r="N1007" s="38"/>
    </row>
    <row r="1008" spans="1:14" s="107" customFormat="1" ht="15.75" customHeight="1" x14ac:dyDescent="0.35">
      <c r="A1008" s="174">
        <f t="shared" si="238"/>
        <v>5</v>
      </c>
      <c r="B1008" s="174"/>
      <c r="C1008" s="174" t="s">
        <v>172</v>
      </c>
      <c r="D1008" s="174"/>
      <c r="E1008" s="174"/>
      <c r="F1008" s="174"/>
      <c r="G1008" s="174"/>
      <c r="H1008" s="174"/>
      <c r="I1008" s="38"/>
      <c r="N1008" s="38"/>
    </row>
    <row r="1009" spans="1:14" s="107" customFormat="1" ht="15.75" customHeight="1" x14ac:dyDescent="0.35">
      <c r="A1009" s="174">
        <f t="shared" si="238"/>
        <v>6</v>
      </c>
      <c r="B1009" s="174"/>
      <c r="C1009" s="174"/>
      <c r="D1009" s="174"/>
      <c r="E1009" s="174"/>
      <c r="F1009" s="174"/>
      <c r="G1009" s="174"/>
      <c r="H1009" s="174"/>
      <c r="I1009" s="38"/>
      <c r="N1009" s="38"/>
    </row>
    <row r="1010" spans="1:14" s="107" customFormat="1" ht="15.75" customHeight="1" x14ac:dyDescent="0.35">
      <c r="A1010" s="174">
        <f t="shared" si="238"/>
        <v>7</v>
      </c>
      <c r="B1010" s="174"/>
      <c r="C1010" s="123" t="s">
        <v>200</v>
      </c>
      <c r="D1010" s="123">
        <f t="shared" si="239"/>
        <v>361.99331999999998</v>
      </c>
      <c r="E1010" s="123">
        <v>0</v>
      </c>
      <c r="F1010" s="123">
        <f>D1010*(($F$422)+1)+(IF(E1010&lt;101,E1010,IF(E1010&lt;201,E1010/2,IF(E1010&lt;=301,E1010/3,E1010/4))))</f>
        <v>542.98997999999995</v>
      </c>
      <c r="G1010" s="174"/>
      <c r="H1010" s="174"/>
      <c r="I1010" s="38"/>
      <c r="N1010" s="38"/>
    </row>
    <row r="1011" spans="1:14" s="107" customFormat="1" ht="15.75" customHeight="1" x14ac:dyDescent="0.35">
      <c r="A1011" s="174">
        <f t="shared" si="238"/>
        <v>8</v>
      </c>
      <c r="B1011" s="174"/>
      <c r="C1011" s="123" t="s">
        <v>200</v>
      </c>
      <c r="D1011" s="123">
        <f t="shared" si="239"/>
        <v>361.99331999999998</v>
      </c>
      <c r="E1011" s="123">
        <v>0</v>
      </c>
      <c r="F1011" s="123">
        <f>D1011*(($F$422)+1)+(IF(E1011&lt;101,E1011,IF(E1011&lt;201,E1011/2,IF(E1011&lt;=301,E1011/3,E1011/4))))</f>
        <v>542.98997999999995</v>
      </c>
      <c r="G1011" s="174"/>
      <c r="H1011" s="174"/>
      <c r="I1011" s="38"/>
      <c r="N1011" s="38"/>
    </row>
    <row r="1012" spans="1:14" s="107" customFormat="1" ht="15.75" customHeight="1" x14ac:dyDescent="0.35">
      <c r="A1012" s="174">
        <f t="shared" si="238"/>
        <v>9</v>
      </c>
      <c r="B1012" s="174"/>
      <c r="C1012" s="123" t="s">
        <v>200</v>
      </c>
      <c r="D1012" s="123">
        <f t="shared" si="239"/>
        <v>361.99331999999998</v>
      </c>
      <c r="E1012" s="123">
        <v>0</v>
      </c>
      <c r="F1012" s="123">
        <f t="shared" ref="F1012:F1015" si="240">D1012*(($F$422)+1)+(IF(E1012&lt;101,E1012,IF(E1012&lt;201,E1012/2,IF(E1012&lt;=301,E1012/3,E1012/4))))</f>
        <v>542.98997999999995</v>
      </c>
      <c r="G1012" s="174"/>
      <c r="H1012" s="174"/>
      <c r="I1012" s="38"/>
      <c r="N1012" s="38"/>
    </row>
    <row r="1013" spans="1:14" s="107" customFormat="1" ht="15.75" customHeight="1" x14ac:dyDescent="0.35">
      <c r="A1013" s="174">
        <f t="shared" si="238"/>
        <v>10</v>
      </c>
      <c r="B1013" s="174"/>
      <c r="C1013" s="123" t="s">
        <v>200</v>
      </c>
      <c r="D1013" s="123">
        <f t="shared" si="239"/>
        <v>361.99331999999998</v>
      </c>
      <c r="E1013" s="123">
        <v>0</v>
      </c>
      <c r="F1013" s="123">
        <f t="shared" si="240"/>
        <v>542.98997999999995</v>
      </c>
      <c r="G1013" s="174"/>
      <c r="H1013" s="174"/>
      <c r="I1013" s="38"/>
      <c r="N1013" s="38"/>
    </row>
    <row r="1014" spans="1:14" s="107" customFormat="1" ht="15.75" customHeight="1" x14ac:dyDescent="0.35">
      <c r="A1014" s="174">
        <f t="shared" si="238"/>
        <v>11</v>
      </c>
      <c r="B1014" s="174"/>
      <c r="C1014" s="123" t="s">
        <v>200</v>
      </c>
      <c r="D1014" s="123">
        <f t="shared" si="239"/>
        <v>361.99331999999998</v>
      </c>
      <c r="E1014" s="123">
        <v>0</v>
      </c>
      <c r="F1014" s="123">
        <f t="shared" si="240"/>
        <v>542.98997999999995</v>
      </c>
      <c r="G1014" s="174"/>
      <c r="H1014" s="174"/>
      <c r="I1014" s="38"/>
      <c r="N1014" s="38"/>
    </row>
    <row r="1015" spans="1:14" s="107" customFormat="1" ht="15.75" customHeight="1" x14ac:dyDescent="0.35">
      <c r="A1015" s="174">
        <f t="shared" si="238"/>
        <v>12</v>
      </c>
      <c r="B1015" s="174"/>
      <c r="C1015" s="123" t="s">
        <v>200</v>
      </c>
      <c r="D1015" s="123">
        <f t="shared" si="239"/>
        <v>361.99331999999998</v>
      </c>
      <c r="E1015" s="123">
        <v>0</v>
      </c>
      <c r="F1015" s="123">
        <f t="shared" si="240"/>
        <v>542.98997999999995</v>
      </c>
      <c r="G1015" s="174"/>
      <c r="H1015" s="174"/>
      <c r="I1015" s="38"/>
      <c r="N1015" s="38"/>
    </row>
    <row r="1016" spans="1:14" s="107" customFormat="1" ht="15.75" customHeight="1" x14ac:dyDescent="0.35">
      <c r="A1016" s="174">
        <f t="shared" si="238"/>
        <v>13</v>
      </c>
      <c r="B1016" s="174"/>
      <c r="C1016" s="123" t="s">
        <v>200</v>
      </c>
      <c r="D1016" s="123">
        <f t="shared" si="239"/>
        <v>361.99331999999998</v>
      </c>
      <c r="E1016" s="123">
        <v>0</v>
      </c>
      <c r="F1016" s="123">
        <f>D1016*(($F$422)+1)+(IF(E1016&lt;101,E1016,IF(E1016&lt;201,E1016/2,IF(E1016&lt;=301,E1016/3,E1016/4))))</f>
        <v>542.98997999999995</v>
      </c>
      <c r="G1016" s="174"/>
      <c r="H1016" s="174"/>
      <c r="I1016" s="38"/>
      <c r="N1016" s="38"/>
    </row>
    <row r="1017" spans="1:14" s="107" customFormat="1" ht="15.75" customHeight="1" x14ac:dyDescent="0.35">
      <c r="A1017" s="174">
        <f t="shared" si="238"/>
        <v>14</v>
      </c>
      <c r="B1017" s="174"/>
      <c r="C1017" s="123" t="s">
        <v>200</v>
      </c>
      <c r="D1017" s="123">
        <f t="shared" si="239"/>
        <v>361.99331999999998</v>
      </c>
      <c r="E1017" s="123">
        <v>0</v>
      </c>
      <c r="F1017" s="123">
        <f t="shared" ref="F1017" si="241">D1017*(($F$422)+1)+(IF(E1017&lt;101,E1017,IF(E1017&lt;201,E1017/2,IF(E1017&lt;=301,E1017/3,E1017/4))))</f>
        <v>542.98997999999995</v>
      </c>
      <c r="G1017" s="174"/>
      <c r="H1017" s="174"/>
      <c r="I1017" s="38"/>
      <c r="N1017" s="38"/>
    </row>
    <row r="1018" spans="1:14" s="107" customFormat="1" ht="15.75" customHeight="1" x14ac:dyDescent="0.35">
      <c r="A1018" s="174">
        <f t="shared" si="238"/>
        <v>15</v>
      </c>
      <c r="B1018" s="174"/>
      <c r="C1018" s="123" t="s">
        <v>200</v>
      </c>
      <c r="D1018" s="123">
        <f t="shared" si="239"/>
        <v>361.99331999999998</v>
      </c>
      <c r="E1018" s="123">
        <v>0</v>
      </c>
      <c r="F1018" s="123">
        <f>D1018*(($F$422)+1)+(IF(E1018&lt;101,E1018,IF(E1018&lt;201,E1018/2,IF(E1018&lt;=301,E1018/3,E1018/4))))</f>
        <v>542.98997999999995</v>
      </c>
      <c r="G1018" s="174"/>
      <c r="H1018" s="174"/>
      <c r="I1018" s="38"/>
      <c r="N1018" s="38"/>
    </row>
    <row r="1019" spans="1:14" s="107" customFormat="1" ht="15.75" customHeight="1" x14ac:dyDescent="0.35">
      <c r="A1019" s="174">
        <f t="shared" si="238"/>
        <v>16</v>
      </c>
      <c r="B1019" s="174"/>
      <c r="C1019" s="123" t="s">
        <v>200</v>
      </c>
      <c r="D1019" s="123">
        <f t="shared" si="239"/>
        <v>361.99331999999998</v>
      </c>
      <c r="E1019" s="123">
        <v>0</v>
      </c>
      <c r="F1019" s="123">
        <f t="shared" ref="F1019:F1020" si="242">D1019*(($F$422)+1)+(IF(E1019&lt;101,E1019,IF(E1019&lt;201,E1019/2,IF(E1019&lt;=301,E1019/3,E1019/4))))</f>
        <v>542.98997999999995</v>
      </c>
      <c r="G1019" s="174"/>
      <c r="H1019" s="174"/>
      <c r="I1019" s="38"/>
      <c r="N1019" s="38"/>
    </row>
    <row r="1020" spans="1:14" s="107" customFormat="1" ht="15.75" customHeight="1" x14ac:dyDescent="0.35">
      <c r="A1020" s="174">
        <f t="shared" si="238"/>
        <v>17</v>
      </c>
      <c r="B1020" s="174"/>
      <c r="C1020" s="123" t="s">
        <v>200</v>
      </c>
      <c r="D1020" s="123">
        <f t="shared" si="239"/>
        <v>361.99331999999998</v>
      </c>
      <c r="E1020" s="123">
        <v>0</v>
      </c>
      <c r="F1020" s="123">
        <f t="shared" si="242"/>
        <v>542.98997999999995</v>
      </c>
      <c r="G1020" s="174"/>
      <c r="H1020" s="174"/>
      <c r="I1020" s="38"/>
      <c r="N1020" s="38"/>
    </row>
    <row r="1021" spans="1:14" s="107" customFormat="1" ht="15.75" customHeight="1" x14ac:dyDescent="0.35">
      <c r="A1021" s="174">
        <f t="shared" si="238"/>
        <v>18</v>
      </c>
      <c r="B1021" s="174"/>
      <c r="C1021" s="123" t="s">
        <v>200</v>
      </c>
      <c r="D1021" s="123">
        <f t="shared" si="239"/>
        <v>361.99331999999998</v>
      </c>
      <c r="E1021" s="123">
        <v>0</v>
      </c>
      <c r="F1021" s="123">
        <f>D1021*(($F$422)+1)+(IF(E1021&lt;101,E1021,IF(E1021&lt;201,E1021/2,IF(E1021&lt;=301,E1021/3,E1021/4))))</f>
        <v>542.98997999999995</v>
      </c>
      <c r="G1021" s="174"/>
      <c r="H1021" s="174"/>
      <c r="I1021" s="38"/>
      <c r="N1021" s="38"/>
    </row>
    <row r="1022" spans="1:14" s="107" customFormat="1" ht="15.75" customHeight="1" x14ac:dyDescent="0.35">
      <c r="A1022" s="174">
        <f t="shared" si="238"/>
        <v>19</v>
      </c>
      <c r="B1022" s="174"/>
      <c r="C1022" s="123" t="s">
        <v>200</v>
      </c>
      <c r="D1022" s="123">
        <f t="shared" si="239"/>
        <v>361.99331999999998</v>
      </c>
      <c r="E1022" s="123">
        <v>0</v>
      </c>
      <c r="F1022" s="123">
        <f>D1022*(($F$422)+1)+(IF(E1022&lt;101,E1022,IF(E1022&lt;201,E1022/2,IF(E1022&lt;=301,E1022/3,E1022/4))))</f>
        <v>542.98997999999995</v>
      </c>
      <c r="G1022" s="174"/>
      <c r="H1022" s="174"/>
      <c r="I1022" s="38"/>
      <c r="N1022" s="38"/>
    </row>
    <row r="1023" spans="1:14" s="107" customFormat="1" ht="15.75" customHeight="1" x14ac:dyDescent="0.35">
      <c r="A1023" s="174">
        <f t="shared" si="238"/>
        <v>20</v>
      </c>
      <c r="B1023" s="174"/>
      <c r="C1023" s="123" t="s">
        <v>200</v>
      </c>
      <c r="D1023" s="123">
        <f t="shared" si="239"/>
        <v>361.99331999999998</v>
      </c>
      <c r="E1023" s="123">
        <v>0</v>
      </c>
      <c r="F1023" s="123">
        <f>D1023*(($F$422)+1)+(IF(E1023&lt;101,E1023,IF(E1023&lt;201,E1023/2,IF(E1023&lt;=301,E1023/3,E1023/4))))</f>
        <v>542.98997999999995</v>
      </c>
      <c r="G1023" s="174"/>
      <c r="H1023" s="174"/>
      <c r="I1023" s="38"/>
      <c r="N1023" s="38"/>
    </row>
    <row r="1024" spans="1:14" s="107" customFormat="1" ht="15.75" customHeight="1" x14ac:dyDescent="0.35">
      <c r="A1024" s="174">
        <f t="shared" si="238"/>
        <v>21</v>
      </c>
      <c r="B1024" s="174"/>
      <c r="C1024" s="123" t="s">
        <v>200</v>
      </c>
      <c r="D1024" s="123">
        <f t="shared" si="239"/>
        <v>361.99331999999998</v>
      </c>
      <c r="E1024" s="123">
        <v>0</v>
      </c>
      <c r="F1024" s="123">
        <f>D1024*(($F$422)+1)+(IF(E1024&lt;101,E1024,IF(E1024&lt;201,E1024/2,IF(E1024&lt;=301,E1024/3,E1024/4))))</f>
        <v>542.98997999999995</v>
      </c>
      <c r="G1024" s="174"/>
      <c r="H1024" s="174"/>
      <c r="I1024" s="38"/>
      <c r="N1024" s="38"/>
    </row>
    <row r="1025" spans="1:14" s="107" customFormat="1" ht="15.75" customHeight="1" x14ac:dyDescent="0.35">
      <c r="A1025" s="174">
        <f t="shared" si="238"/>
        <v>22</v>
      </c>
      <c r="B1025" s="174"/>
      <c r="C1025" s="123" t="s">
        <v>200</v>
      </c>
      <c r="D1025" s="123">
        <f t="shared" si="239"/>
        <v>361.99331999999998</v>
      </c>
      <c r="E1025" s="123">
        <v>0</v>
      </c>
      <c r="F1025" s="123">
        <f>D1025*(($F$422)+1)+(IF(E1025&lt;101,E1025,IF(E1025&lt;201,E1025/2,IF(E1025&lt;=301,E1025/3,E1025/4))))</f>
        <v>542.98997999999995</v>
      </c>
      <c r="G1025" s="174"/>
      <c r="H1025" s="174"/>
      <c r="I1025" s="38"/>
      <c r="N1025" s="38"/>
    </row>
    <row r="1026" spans="1:14" s="107" customFormat="1" ht="15.75" customHeight="1" x14ac:dyDescent="0.35">
      <c r="A1026" s="174">
        <f t="shared" si="238"/>
        <v>23</v>
      </c>
      <c r="B1026" s="174"/>
      <c r="C1026" s="174" t="s">
        <v>172</v>
      </c>
      <c r="D1026" s="174"/>
      <c r="E1026" s="174"/>
      <c r="F1026" s="174"/>
      <c r="G1026" s="174"/>
      <c r="H1026" s="174"/>
      <c r="I1026" s="38"/>
      <c r="N1026" s="38"/>
    </row>
    <row r="1027" spans="1:14" s="107" customFormat="1" ht="15.75" customHeight="1" x14ac:dyDescent="0.35">
      <c r="A1027" s="174">
        <f t="shared" si="238"/>
        <v>24</v>
      </c>
      <c r="B1027" s="174"/>
      <c r="C1027" s="123" t="s">
        <v>200</v>
      </c>
      <c r="D1027" s="123">
        <f t="shared" si="239"/>
        <v>361.99331999999998</v>
      </c>
      <c r="E1027" s="123">
        <v>0</v>
      </c>
      <c r="F1027" s="123">
        <f>D1027*(($F$422)+1)+(IF(E1027&lt;101,E1027,IF(E1027&lt;201,E1027/2,IF(E1027&lt;=301,E1027/3,E1027/4))))</f>
        <v>542.98997999999995</v>
      </c>
      <c r="G1027" s="174"/>
      <c r="H1027" s="174"/>
      <c r="I1027" s="38"/>
      <c r="N1027" s="38"/>
    </row>
    <row r="1028" spans="1:14" s="107" customFormat="1" ht="15.75" customHeight="1" x14ac:dyDescent="0.35">
      <c r="A1028" s="174">
        <f t="shared" si="238"/>
        <v>25</v>
      </c>
      <c r="B1028" s="174"/>
      <c r="C1028" s="123" t="s">
        <v>200</v>
      </c>
      <c r="D1028" s="123">
        <f t="shared" si="239"/>
        <v>361.99331999999998</v>
      </c>
      <c r="E1028" s="123">
        <v>0</v>
      </c>
      <c r="F1028" s="123">
        <f t="shared" ref="F1028:F1032" si="243">D1028*(($F$422)+1)+(IF(E1028&lt;101,E1028,IF(E1028&lt;201,E1028/2,IF(E1028&lt;=301,E1028/3,E1028/4))))</f>
        <v>542.98997999999995</v>
      </c>
      <c r="G1028" s="174"/>
      <c r="H1028" s="174"/>
      <c r="I1028" s="38"/>
      <c r="N1028" s="38"/>
    </row>
    <row r="1029" spans="1:14" s="107" customFormat="1" ht="15.75" customHeight="1" x14ac:dyDescent="0.35">
      <c r="A1029" s="174">
        <f t="shared" si="238"/>
        <v>26</v>
      </c>
      <c r="B1029" s="174"/>
      <c r="C1029" s="123" t="s">
        <v>200</v>
      </c>
      <c r="D1029" s="123">
        <f t="shared" si="239"/>
        <v>361.99331999999998</v>
      </c>
      <c r="E1029" s="123">
        <v>0</v>
      </c>
      <c r="F1029" s="123">
        <f t="shared" si="243"/>
        <v>542.98997999999995</v>
      </c>
      <c r="G1029" s="174"/>
      <c r="H1029" s="174"/>
      <c r="I1029" s="38"/>
      <c r="N1029" s="38"/>
    </row>
    <row r="1030" spans="1:14" s="107" customFormat="1" ht="15.75" customHeight="1" x14ac:dyDescent="0.35">
      <c r="A1030" s="174">
        <f t="shared" si="238"/>
        <v>27</v>
      </c>
      <c r="B1030" s="174"/>
      <c r="C1030" s="123" t="s">
        <v>200</v>
      </c>
      <c r="D1030" s="123">
        <f t="shared" si="239"/>
        <v>361.99331999999998</v>
      </c>
      <c r="E1030" s="123">
        <v>0</v>
      </c>
      <c r="F1030" s="123">
        <f t="shared" si="243"/>
        <v>542.98997999999995</v>
      </c>
      <c r="G1030" s="174"/>
      <c r="H1030" s="174"/>
      <c r="I1030" s="38"/>
      <c r="N1030" s="38"/>
    </row>
    <row r="1031" spans="1:14" s="107" customFormat="1" ht="15.75" customHeight="1" x14ac:dyDescent="0.35">
      <c r="A1031" s="174">
        <f t="shared" si="238"/>
        <v>28</v>
      </c>
      <c r="B1031" s="174"/>
      <c r="C1031" s="123" t="s">
        <v>200</v>
      </c>
      <c r="D1031" s="123">
        <f t="shared" si="239"/>
        <v>361.99331999999998</v>
      </c>
      <c r="E1031" s="123">
        <v>0</v>
      </c>
      <c r="F1031" s="123">
        <f t="shared" si="243"/>
        <v>542.98997999999995</v>
      </c>
      <c r="G1031" s="174"/>
      <c r="H1031" s="174"/>
      <c r="I1031" s="38"/>
      <c r="N1031" s="38"/>
    </row>
    <row r="1032" spans="1:14" s="107" customFormat="1" ht="15.75" customHeight="1" x14ac:dyDescent="0.35">
      <c r="A1032" s="174">
        <f t="shared" si="238"/>
        <v>29</v>
      </c>
      <c r="B1032" s="174"/>
      <c r="C1032" s="123" t="s">
        <v>200</v>
      </c>
      <c r="D1032" s="123">
        <f t="shared" si="239"/>
        <v>361.99331999999998</v>
      </c>
      <c r="E1032" s="123">
        <v>0</v>
      </c>
      <c r="F1032" s="123">
        <f t="shared" si="243"/>
        <v>542.98997999999995</v>
      </c>
      <c r="G1032" s="174"/>
      <c r="H1032" s="174"/>
      <c r="I1032" s="38"/>
      <c r="N1032" s="38"/>
    </row>
    <row r="1033" spans="1:14" s="107" customFormat="1" ht="15.75" customHeight="1" x14ac:dyDescent="0.35">
      <c r="A1033" s="174">
        <f t="shared" si="238"/>
        <v>30</v>
      </c>
      <c r="B1033" s="174"/>
      <c r="C1033" s="174" t="s">
        <v>172</v>
      </c>
      <c r="D1033" s="174"/>
      <c r="E1033" s="174"/>
      <c r="F1033" s="174"/>
      <c r="G1033" s="174"/>
      <c r="H1033" s="174"/>
      <c r="I1033" s="38"/>
      <c r="N1033" s="38"/>
    </row>
    <row r="1034" spans="1:14" s="107" customFormat="1" ht="15.75" customHeight="1" x14ac:dyDescent="0.35">
      <c r="A1034" s="174">
        <f t="shared" si="238"/>
        <v>31</v>
      </c>
      <c r="B1034" s="174"/>
      <c r="C1034" s="123" t="s">
        <v>200</v>
      </c>
      <c r="D1034" s="123">
        <f t="shared" si="239"/>
        <v>361.99331999999998</v>
      </c>
      <c r="E1034" s="123">
        <v>0</v>
      </c>
      <c r="F1034" s="123">
        <f t="shared" ref="F1034:F1038" si="244">D1034*(($F$422)+1)+(IF(E1034&lt;101,E1034,IF(E1034&lt;201,E1034/2,IF(E1034&lt;=301,E1034/3,E1034/4))))</f>
        <v>542.98997999999995</v>
      </c>
      <c r="G1034" s="174"/>
      <c r="H1034" s="174"/>
      <c r="I1034" s="38"/>
      <c r="N1034" s="38"/>
    </row>
    <row r="1035" spans="1:14" s="107" customFormat="1" ht="15.75" customHeight="1" x14ac:dyDescent="0.35">
      <c r="A1035" s="174">
        <f t="shared" si="238"/>
        <v>32</v>
      </c>
      <c r="B1035" s="174"/>
      <c r="C1035" s="123" t="s">
        <v>200</v>
      </c>
      <c r="D1035" s="123">
        <f t="shared" si="239"/>
        <v>361.99331999999998</v>
      </c>
      <c r="E1035" s="123">
        <v>0</v>
      </c>
      <c r="F1035" s="123">
        <f t="shared" si="244"/>
        <v>542.98997999999995</v>
      </c>
      <c r="G1035" s="174"/>
      <c r="H1035" s="174"/>
      <c r="I1035" s="38"/>
      <c r="N1035" s="38"/>
    </row>
    <row r="1036" spans="1:14" s="107" customFormat="1" ht="15.75" customHeight="1" x14ac:dyDescent="0.35">
      <c r="A1036" s="174">
        <f t="shared" si="238"/>
        <v>33</v>
      </c>
      <c r="B1036" s="174"/>
      <c r="C1036" s="123" t="s">
        <v>200</v>
      </c>
      <c r="D1036" s="123">
        <f t="shared" si="239"/>
        <v>361.99331999999998</v>
      </c>
      <c r="E1036" s="123">
        <v>0</v>
      </c>
      <c r="F1036" s="123">
        <f t="shared" si="244"/>
        <v>542.98997999999995</v>
      </c>
      <c r="G1036" s="174"/>
      <c r="H1036" s="174"/>
      <c r="I1036" s="38"/>
      <c r="N1036" s="38"/>
    </row>
    <row r="1037" spans="1:14" s="107" customFormat="1" ht="15.75" customHeight="1" x14ac:dyDescent="0.35">
      <c r="A1037" s="174">
        <f t="shared" si="238"/>
        <v>34</v>
      </c>
      <c r="B1037" s="174"/>
      <c r="C1037" s="123" t="s">
        <v>200</v>
      </c>
      <c r="D1037" s="123">
        <f t="shared" si="239"/>
        <v>361.99331999999998</v>
      </c>
      <c r="E1037" s="123">
        <v>0</v>
      </c>
      <c r="F1037" s="123">
        <f t="shared" si="244"/>
        <v>542.98997999999995</v>
      </c>
      <c r="G1037" s="174"/>
      <c r="H1037" s="174"/>
      <c r="I1037" s="38"/>
      <c r="N1037" s="38"/>
    </row>
    <row r="1038" spans="1:14" s="107" customFormat="1" ht="15.75" customHeight="1" x14ac:dyDescent="0.35">
      <c r="A1038" s="174">
        <f t="shared" si="238"/>
        <v>35</v>
      </c>
      <c r="B1038" s="174"/>
      <c r="C1038" s="123" t="s">
        <v>200</v>
      </c>
      <c r="D1038" s="123">
        <f t="shared" si="239"/>
        <v>361.99331999999998</v>
      </c>
      <c r="E1038" s="123">
        <v>0</v>
      </c>
      <c r="F1038" s="123">
        <f t="shared" si="244"/>
        <v>542.98997999999995</v>
      </c>
      <c r="G1038" s="174"/>
      <c r="H1038" s="174"/>
      <c r="I1038" s="38"/>
      <c r="N1038" s="38"/>
    </row>
    <row r="1039" spans="1:14" s="107" customFormat="1" ht="15.75" customHeight="1" x14ac:dyDescent="0.35">
      <c r="A1039" s="174">
        <f t="shared" si="238"/>
        <v>36</v>
      </c>
      <c r="B1039" s="174"/>
      <c r="C1039" s="123" t="s">
        <v>200</v>
      </c>
      <c r="D1039" s="123">
        <f t="shared" si="239"/>
        <v>361.99331999999998</v>
      </c>
      <c r="E1039" s="123">
        <v>0</v>
      </c>
      <c r="F1039" s="123">
        <f>D1039*(($F$422)+1)+(IF(E1039&lt;101,E1039,IF(E1039&lt;201,E1039/2,IF(E1039&lt;=301,E1039/3,E1039/4))))</f>
        <v>542.98997999999995</v>
      </c>
      <c r="G1039" s="174"/>
      <c r="H1039" s="174"/>
      <c r="I1039" s="38"/>
      <c r="N1039" s="38"/>
    </row>
    <row r="1040" spans="1:14" x14ac:dyDescent="0.35">
      <c r="A1040" s="177" t="s">
        <v>225</v>
      </c>
      <c r="B1040" s="177"/>
      <c r="C1040" s="177"/>
      <c r="D1040" s="177"/>
      <c r="E1040" s="177"/>
      <c r="F1040" s="177"/>
      <c r="G1040" s="177"/>
      <c r="H1040" s="177"/>
    </row>
    <row r="1041" spans="1:14" s="107" customFormat="1" x14ac:dyDescent="0.35">
      <c r="A1041" s="183" t="s">
        <v>169</v>
      </c>
      <c r="B1041" s="183"/>
      <c r="C1041" s="183"/>
      <c r="D1041" s="183"/>
      <c r="E1041" s="183"/>
      <c r="F1041" s="183"/>
      <c r="G1041" s="183"/>
      <c r="H1041" s="183"/>
      <c r="I1041" s="38"/>
      <c r="L1041" s="182"/>
      <c r="M1041" s="182"/>
    </row>
    <row r="1042" spans="1:14" s="107" customFormat="1" ht="15.75" customHeight="1" x14ac:dyDescent="0.35">
      <c r="A1042" s="174">
        <v>1</v>
      </c>
      <c r="B1042" s="174"/>
      <c r="C1042" s="123" t="s">
        <v>200</v>
      </c>
      <c r="D1042" s="123">
        <f>(27.66+1.2*1.8+3.16*0.75)*10.764</f>
        <v>346.49315999999993</v>
      </c>
      <c r="E1042" s="123">
        <f>(5*1.2+1.33*1.88)*10.764</f>
        <v>91.498305599999981</v>
      </c>
      <c r="F1042" s="123">
        <f t="shared" ref="F1042:F1043" si="245">D1042*(($F$422)+1)+(IF(E1042&lt;101,E1042,IF(E1042&lt;201,E1042/2,IF(E1042&lt;=301,E1042/3,E1042/4))))</f>
        <v>611.23804559999985</v>
      </c>
      <c r="G1042" s="174" t="str">
        <f>A1041</f>
        <v>1st Floor for Residential</v>
      </c>
      <c r="H1042" s="174"/>
      <c r="I1042" s="38">
        <f>2.44*2.9+1.68*2.24+2.42*3.13+0.95*1.22+1.14*1.84+0.9*2.1</f>
        <v>23.560399999999998</v>
      </c>
      <c r="N1042" s="38"/>
    </row>
    <row r="1043" spans="1:14" s="107" customFormat="1" ht="15.75" customHeight="1" x14ac:dyDescent="0.35">
      <c r="A1043" s="174">
        <f t="shared" ref="A1043:A1069" si="246">A1042+1</f>
        <v>2</v>
      </c>
      <c r="B1043" s="174"/>
      <c r="C1043" s="123" t="s">
        <v>200</v>
      </c>
      <c r="D1043" s="123">
        <f>(27.66+1.2*1.2+3.16*0.75)*10.764</f>
        <v>338.74308000000002</v>
      </c>
      <c r="E1043" s="123">
        <f>(3.5*1.8)*10.764</f>
        <v>67.813199999999995</v>
      </c>
      <c r="F1043" s="123">
        <f t="shared" si="245"/>
        <v>575.92782000000011</v>
      </c>
      <c r="G1043" s="174"/>
      <c r="H1043" s="174"/>
      <c r="I1043" s="38"/>
      <c r="N1043" s="38"/>
    </row>
    <row r="1044" spans="1:14" s="107" customFormat="1" ht="15.75" customHeight="1" x14ac:dyDescent="0.35">
      <c r="A1044" s="174">
        <f t="shared" si="246"/>
        <v>3</v>
      </c>
      <c r="B1044" s="174"/>
      <c r="C1044" s="123" t="s">
        <v>200</v>
      </c>
      <c r="D1044" s="123">
        <f>(27.66+3.16*0.75)*10.764</f>
        <v>323.24291999999997</v>
      </c>
      <c r="E1044" s="123">
        <f>(3.5*1.8+5*1.2+1.4*2.7)*10.764</f>
        <v>173.08512000000002</v>
      </c>
      <c r="F1044" s="123">
        <f>D1044*(($F$422)+1)+(IF(E1044&lt;101,E1044,IF(E1044&lt;201,E1044/2,IF(E1044&lt;=301,E1044/3,E1044/4))))</f>
        <v>571.40693999999996</v>
      </c>
      <c r="G1044" s="174"/>
      <c r="H1044" s="174"/>
      <c r="I1044" s="38"/>
      <c r="N1044" s="38"/>
    </row>
    <row r="1045" spans="1:14" s="107" customFormat="1" ht="15.75" customHeight="1" x14ac:dyDescent="0.35">
      <c r="A1045" s="174">
        <f t="shared" si="246"/>
        <v>4</v>
      </c>
      <c r="B1045" s="174"/>
      <c r="C1045" s="123" t="s">
        <v>200</v>
      </c>
      <c r="D1045" s="123">
        <f>(27.66+3.16*0.75)*10.764</f>
        <v>323.24291999999997</v>
      </c>
      <c r="E1045" s="123">
        <f>(5*1.2+3.5*1.8)*10.764</f>
        <v>132.3972</v>
      </c>
      <c r="F1045" s="123">
        <f t="shared" ref="F1045:F1048" si="247">D1045*(($F$422)+1)+(IF(E1045&lt;101,E1045,IF(E1045&lt;201,E1045/2,IF(E1045&lt;=301,E1045/3,E1045/4))))</f>
        <v>551.06297999999992</v>
      </c>
      <c r="G1045" s="174"/>
      <c r="H1045" s="174"/>
      <c r="I1045" s="38"/>
      <c r="N1045" s="38"/>
    </row>
    <row r="1046" spans="1:14" s="107" customFormat="1" ht="15.75" customHeight="1" x14ac:dyDescent="0.35">
      <c r="A1046" s="174">
        <f t="shared" si="246"/>
        <v>5</v>
      </c>
      <c r="B1046" s="174"/>
      <c r="C1046" s="123" t="s">
        <v>200</v>
      </c>
      <c r="D1046" s="123">
        <f>(27.66+1.2*1.2+3.16*0.75)*10.764</f>
        <v>338.74308000000002</v>
      </c>
      <c r="E1046" s="123">
        <f>(3.5*1.8+1.83*3.13)*10.764</f>
        <v>129.46831559999998</v>
      </c>
      <c r="F1046" s="123">
        <f t="shared" si="247"/>
        <v>572.84877780000011</v>
      </c>
      <c r="G1046" s="174"/>
      <c r="H1046" s="174"/>
      <c r="I1046" s="38"/>
      <c r="N1046" s="38"/>
    </row>
    <row r="1047" spans="1:14" s="107" customFormat="1" ht="15.75" customHeight="1" x14ac:dyDescent="0.35">
      <c r="A1047" s="174">
        <f t="shared" si="246"/>
        <v>6</v>
      </c>
      <c r="B1047" s="174"/>
      <c r="C1047" s="123" t="s">
        <v>200</v>
      </c>
      <c r="D1047" s="123">
        <f>(27.66+1.2*1.2+3.16*0.75)*10.764</f>
        <v>338.74308000000002</v>
      </c>
      <c r="E1047" s="123">
        <f>(3.5*1.8)*10.764</f>
        <v>67.813199999999995</v>
      </c>
      <c r="F1047" s="123">
        <f t="shared" si="247"/>
        <v>575.92782000000011</v>
      </c>
      <c r="G1047" s="174"/>
      <c r="H1047" s="174"/>
      <c r="I1047" s="38"/>
      <c r="N1047" s="38"/>
    </row>
    <row r="1048" spans="1:14" s="107" customFormat="1" ht="15.75" customHeight="1" x14ac:dyDescent="0.35">
      <c r="A1048" s="174">
        <f t="shared" si="246"/>
        <v>7</v>
      </c>
      <c r="B1048" s="174"/>
      <c r="C1048" s="123" t="s">
        <v>200</v>
      </c>
      <c r="D1048" s="123">
        <f>(27.66+3.16*0.75)*10.764</f>
        <v>323.24291999999997</v>
      </c>
      <c r="E1048" s="123">
        <f>(5*1.2+3.5*1.8)*10.764</f>
        <v>132.3972</v>
      </c>
      <c r="F1048" s="123">
        <f t="shared" si="247"/>
        <v>551.06297999999992</v>
      </c>
      <c r="G1048" s="174"/>
      <c r="H1048" s="174"/>
      <c r="I1048" s="38"/>
      <c r="N1048" s="38"/>
    </row>
    <row r="1049" spans="1:14" s="107" customFormat="1" ht="15.75" customHeight="1" x14ac:dyDescent="0.35">
      <c r="A1049" s="174">
        <f t="shared" si="246"/>
        <v>8</v>
      </c>
      <c r="B1049" s="174"/>
      <c r="C1049" s="123" t="s">
        <v>200</v>
      </c>
      <c r="D1049" s="123">
        <f t="shared" ref="D1049:D1052" si="248">(27.66+3.16*0.75)*10.764</f>
        <v>323.24291999999997</v>
      </c>
      <c r="E1049" s="123">
        <f>(1.2*5+1.8*3.5+0.6*1)*10.764</f>
        <v>138.85559999999998</v>
      </c>
      <c r="F1049" s="123">
        <f>D1049*(($F$422)+1)+(IF(E1049&lt;101,E1049,IF(E1049&lt;201,E1049/2,IF(E1049&lt;=301,E1049/3,E1049/4))))</f>
        <v>554.29217999999992</v>
      </c>
      <c r="G1049" s="174"/>
      <c r="H1049" s="174"/>
      <c r="I1049" s="38"/>
      <c r="N1049" s="38"/>
    </row>
    <row r="1050" spans="1:14" s="107" customFormat="1" ht="15.75" customHeight="1" x14ac:dyDescent="0.35">
      <c r="A1050" s="174">
        <f t="shared" si="246"/>
        <v>9</v>
      </c>
      <c r="B1050" s="174"/>
      <c r="C1050" s="123" t="s">
        <v>200</v>
      </c>
      <c r="D1050" s="123">
        <f t="shared" si="248"/>
        <v>323.24291999999997</v>
      </c>
      <c r="E1050" s="123">
        <f>(5*1.2+3.5*1.8)*10.764</f>
        <v>132.3972</v>
      </c>
      <c r="F1050" s="123">
        <f t="shared" ref="F1050:F1053" si="249">D1050*(($F$422)+1)+(IF(E1050&lt;101,E1050,IF(E1050&lt;201,E1050/2,IF(E1050&lt;=301,E1050/3,E1050/4))))</f>
        <v>551.06297999999992</v>
      </c>
      <c r="G1050" s="174"/>
      <c r="H1050" s="174"/>
      <c r="I1050" s="38"/>
      <c r="N1050" s="38"/>
    </row>
    <row r="1051" spans="1:14" s="107" customFormat="1" ht="15.75" customHeight="1" x14ac:dyDescent="0.35">
      <c r="A1051" s="174">
        <f t="shared" si="246"/>
        <v>10</v>
      </c>
      <c r="B1051" s="174"/>
      <c r="C1051" s="123" t="s">
        <v>200</v>
      </c>
      <c r="D1051" s="123">
        <f t="shared" si="248"/>
        <v>323.24291999999997</v>
      </c>
      <c r="E1051" s="123">
        <f t="shared" ref="E1051:E1052" si="250">(5*1.2+3.5*1.8)*10.764</f>
        <v>132.3972</v>
      </c>
      <c r="F1051" s="123">
        <f t="shared" si="249"/>
        <v>551.06297999999992</v>
      </c>
      <c r="G1051" s="174"/>
      <c r="H1051" s="174"/>
      <c r="I1051" s="38"/>
      <c r="N1051" s="38"/>
    </row>
    <row r="1052" spans="1:14" s="107" customFormat="1" ht="15.75" customHeight="1" x14ac:dyDescent="0.35">
      <c r="A1052" s="174">
        <f t="shared" si="246"/>
        <v>11</v>
      </c>
      <c r="B1052" s="174"/>
      <c r="C1052" s="123" t="s">
        <v>200</v>
      </c>
      <c r="D1052" s="123">
        <f t="shared" si="248"/>
        <v>323.24291999999997</v>
      </c>
      <c r="E1052" s="123">
        <f t="shared" si="250"/>
        <v>132.3972</v>
      </c>
      <c r="F1052" s="123">
        <f t="shared" si="249"/>
        <v>551.06297999999992</v>
      </c>
      <c r="G1052" s="174"/>
      <c r="H1052" s="174"/>
      <c r="I1052" s="38"/>
      <c r="N1052" s="38"/>
    </row>
    <row r="1053" spans="1:14" s="107" customFormat="1" ht="15.75" customHeight="1" x14ac:dyDescent="0.35">
      <c r="A1053" s="174">
        <f t="shared" si="246"/>
        <v>12</v>
      </c>
      <c r="B1053" s="174"/>
      <c r="C1053" s="123" t="s">
        <v>200</v>
      </c>
      <c r="D1053" s="123">
        <f>(27.66+1.2*1.2+3.16*0.75)*10.764</f>
        <v>338.74308000000002</v>
      </c>
      <c r="E1053" s="123">
        <f>(3.5*1.8)*10.764</f>
        <v>67.813199999999995</v>
      </c>
      <c r="F1053" s="123">
        <f t="shared" si="249"/>
        <v>575.92782000000011</v>
      </c>
      <c r="G1053" s="174"/>
      <c r="H1053" s="174"/>
      <c r="I1053" s="38"/>
      <c r="N1053" s="38"/>
    </row>
    <row r="1054" spans="1:14" s="107" customFormat="1" ht="15.75" customHeight="1" x14ac:dyDescent="0.35">
      <c r="A1054" s="174">
        <f t="shared" si="246"/>
        <v>13</v>
      </c>
      <c r="B1054" s="174"/>
      <c r="C1054" s="123" t="s">
        <v>200</v>
      </c>
      <c r="D1054" s="123">
        <f>(27.66+1.2*1.8+3.16*0.75)*10.764</f>
        <v>346.49315999999993</v>
      </c>
      <c r="E1054" s="123">
        <f>(5*1.2)*10.764</f>
        <v>64.584000000000003</v>
      </c>
      <c r="F1054" s="123">
        <f>D1054*(($F$422)+1)+(IF(E1054&lt;101,E1054,IF(E1054&lt;201,E1054/2,IF(E1054&lt;=301,E1054/3,E1054/4))))</f>
        <v>584.32373999999982</v>
      </c>
      <c r="G1054" s="174"/>
      <c r="H1054" s="174"/>
      <c r="I1054" s="38"/>
      <c r="N1054" s="38"/>
    </row>
    <row r="1055" spans="1:14" s="107" customFormat="1" ht="15.75" customHeight="1" x14ac:dyDescent="0.35">
      <c r="A1055" s="174">
        <f t="shared" si="246"/>
        <v>14</v>
      </c>
      <c r="B1055" s="174"/>
      <c r="C1055" s="123" t="s">
        <v>200</v>
      </c>
      <c r="D1055" s="123">
        <f>(27.66+1.2*1.8+3.16*0.75)*10.764</f>
        <v>346.49315999999993</v>
      </c>
      <c r="E1055" s="123">
        <f>(5*1.2)*10.764</f>
        <v>64.584000000000003</v>
      </c>
      <c r="F1055" s="123">
        <f t="shared" ref="F1055" si="251">D1055*(($F$422)+1)+(IF(E1055&lt;101,E1055,IF(E1055&lt;201,E1055/2,IF(E1055&lt;=301,E1055/3,E1055/4))))</f>
        <v>584.32373999999982</v>
      </c>
      <c r="G1055" s="174"/>
      <c r="H1055" s="174"/>
      <c r="I1055" s="38"/>
      <c r="N1055" s="38"/>
    </row>
    <row r="1056" spans="1:14" s="107" customFormat="1" ht="15.75" customHeight="1" x14ac:dyDescent="0.35">
      <c r="A1056" s="174">
        <f t="shared" si="246"/>
        <v>15</v>
      </c>
      <c r="B1056" s="174"/>
      <c r="C1056" s="123" t="s">
        <v>200</v>
      </c>
      <c r="D1056" s="123">
        <f>(27.66+1.2*1.2+3.16*0.75)*10.764</f>
        <v>338.74308000000002</v>
      </c>
      <c r="E1056" s="123">
        <f>(3.5*1.8)*10.764</f>
        <v>67.813199999999995</v>
      </c>
      <c r="F1056" s="123">
        <f>D1056*(($F$422)+1)+(IF(E1056&lt;101,E1056,IF(E1056&lt;201,E1056/2,IF(E1056&lt;=301,E1056/3,E1056/4))))</f>
        <v>575.92782000000011</v>
      </c>
      <c r="G1056" s="174"/>
      <c r="H1056" s="174"/>
      <c r="I1056" s="38"/>
      <c r="N1056" s="38"/>
    </row>
    <row r="1057" spans="1:14" s="107" customFormat="1" ht="15.75" customHeight="1" x14ac:dyDescent="0.35">
      <c r="A1057" s="174">
        <f t="shared" si="246"/>
        <v>16</v>
      </c>
      <c r="B1057" s="174"/>
      <c r="C1057" s="123" t="s">
        <v>200</v>
      </c>
      <c r="D1057" s="123">
        <f t="shared" ref="D1057:D1061" si="252">(27.66+3.16*0.75)*10.764</f>
        <v>323.24291999999997</v>
      </c>
      <c r="E1057" s="123">
        <f t="shared" ref="E1057:E1059" si="253">(5*1.2+3.5*1.8)*10.764</f>
        <v>132.3972</v>
      </c>
      <c r="F1057" s="123">
        <f t="shared" ref="F1057:F1058" si="254">D1057*(($F$422)+1)+(IF(E1057&lt;101,E1057,IF(E1057&lt;201,E1057/2,IF(E1057&lt;=301,E1057/3,E1057/4))))</f>
        <v>551.06297999999992</v>
      </c>
      <c r="G1057" s="174"/>
      <c r="H1057" s="174"/>
      <c r="I1057" s="38"/>
      <c r="N1057" s="38"/>
    </row>
    <row r="1058" spans="1:14" s="107" customFormat="1" ht="15.75" customHeight="1" x14ac:dyDescent="0.35">
      <c r="A1058" s="174">
        <f t="shared" si="246"/>
        <v>17</v>
      </c>
      <c r="B1058" s="174"/>
      <c r="C1058" s="123" t="s">
        <v>200</v>
      </c>
      <c r="D1058" s="123">
        <f t="shared" si="252"/>
        <v>323.24291999999997</v>
      </c>
      <c r="E1058" s="123">
        <f t="shared" si="253"/>
        <v>132.3972</v>
      </c>
      <c r="F1058" s="123">
        <f t="shared" si="254"/>
        <v>551.06297999999992</v>
      </c>
      <c r="G1058" s="174"/>
      <c r="H1058" s="174"/>
      <c r="I1058" s="38"/>
      <c r="N1058" s="38"/>
    </row>
    <row r="1059" spans="1:14" s="107" customFormat="1" ht="15.75" customHeight="1" x14ac:dyDescent="0.35">
      <c r="A1059" s="174">
        <f t="shared" si="246"/>
        <v>18</v>
      </c>
      <c r="B1059" s="174"/>
      <c r="C1059" s="123" t="s">
        <v>200</v>
      </c>
      <c r="D1059" s="123">
        <f t="shared" si="252"/>
        <v>323.24291999999997</v>
      </c>
      <c r="E1059" s="123">
        <f t="shared" si="253"/>
        <v>132.3972</v>
      </c>
      <c r="F1059" s="123">
        <f>D1059*(($F$422)+1)+(IF(E1059&lt;101,E1059,IF(E1059&lt;201,E1059/2,IF(E1059&lt;=301,E1059/3,E1059/4))))</f>
        <v>551.06297999999992</v>
      </c>
      <c r="G1059" s="174"/>
      <c r="H1059" s="174"/>
      <c r="I1059" s="38"/>
      <c r="N1059" s="38"/>
    </row>
    <row r="1060" spans="1:14" s="107" customFormat="1" ht="15.75" customHeight="1" x14ac:dyDescent="0.35">
      <c r="A1060" s="174">
        <f t="shared" si="246"/>
        <v>19</v>
      </c>
      <c r="B1060" s="174"/>
      <c r="C1060" s="123" t="s">
        <v>200</v>
      </c>
      <c r="D1060" s="123">
        <f t="shared" si="252"/>
        <v>323.24291999999997</v>
      </c>
      <c r="E1060" s="123">
        <f>(1.2*5+1.8*3.5+0.6*1)*10.764</f>
        <v>138.85559999999998</v>
      </c>
      <c r="F1060" s="123">
        <f t="shared" ref="F1060:F1064" si="255">D1060*(($F$422)+1)+(IF(E1060&lt;101,E1060,IF(E1060&lt;201,E1060/2,IF(E1060&lt;=301,E1060/3,E1060/4))))</f>
        <v>554.29217999999992</v>
      </c>
      <c r="G1060" s="174"/>
      <c r="H1060" s="174"/>
      <c r="I1060" s="38"/>
      <c r="N1060" s="38"/>
    </row>
    <row r="1061" spans="1:14" s="107" customFormat="1" ht="15.75" customHeight="1" x14ac:dyDescent="0.35">
      <c r="A1061" s="174">
        <f t="shared" si="246"/>
        <v>20</v>
      </c>
      <c r="B1061" s="174"/>
      <c r="C1061" s="123" t="s">
        <v>200</v>
      </c>
      <c r="D1061" s="123">
        <f t="shared" si="252"/>
        <v>323.24291999999997</v>
      </c>
      <c r="E1061" s="123">
        <f>(6.4*1.2+2.7*1.8+4.5*1.2)*10.764</f>
        <v>193.10615999999996</v>
      </c>
      <c r="F1061" s="123">
        <f t="shared" si="255"/>
        <v>581.41746000000001</v>
      </c>
      <c r="G1061" s="174"/>
      <c r="H1061" s="174"/>
      <c r="I1061" s="38"/>
      <c r="N1061" s="38"/>
    </row>
    <row r="1062" spans="1:14" s="107" customFormat="1" ht="15.75" customHeight="1" x14ac:dyDescent="0.35">
      <c r="A1062" s="174">
        <f t="shared" si="246"/>
        <v>21</v>
      </c>
      <c r="B1062" s="174"/>
      <c r="C1062" s="123" t="s">
        <v>200</v>
      </c>
      <c r="D1062" s="123">
        <f>(27.66+1.2*1.2+3.16*0.75)*10.764</f>
        <v>338.74308000000002</v>
      </c>
      <c r="E1062" s="123">
        <f>(3.5*1.8)*10.764</f>
        <v>67.813199999999995</v>
      </c>
      <c r="F1062" s="123">
        <f t="shared" si="255"/>
        <v>575.92782000000011</v>
      </c>
      <c r="G1062" s="174"/>
      <c r="H1062" s="174"/>
      <c r="I1062" s="38"/>
      <c r="N1062" s="38"/>
    </row>
    <row r="1063" spans="1:14" s="107" customFormat="1" ht="15.75" customHeight="1" x14ac:dyDescent="0.35">
      <c r="A1063" s="174">
        <f t="shared" si="246"/>
        <v>22</v>
      </c>
      <c r="B1063" s="174"/>
      <c r="C1063" s="123" t="s">
        <v>200</v>
      </c>
      <c r="D1063" s="123">
        <f>(27.66+1.2*1.2+3.16*0.75)*10.764</f>
        <v>338.74308000000002</v>
      </c>
      <c r="E1063" s="123">
        <f>(2.5*1.8+4.5*1.2)*10.764</f>
        <v>106.56359999999998</v>
      </c>
      <c r="F1063" s="123">
        <f t="shared" si="255"/>
        <v>561.39642000000003</v>
      </c>
      <c r="G1063" s="174"/>
      <c r="H1063" s="174"/>
      <c r="I1063" s="38"/>
      <c r="N1063" s="38"/>
    </row>
    <row r="1064" spans="1:14" s="107" customFormat="1" ht="15.75" customHeight="1" x14ac:dyDescent="0.35">
      <c r="A1064" s="174">
        <f t="shared" si="246"/>
        <v>23</v>
      </c>
      <c r="B1064" s="174"/>
      <c r="C1064" s="123" t="s">
        <v>200</v>
      </c>
      <c r="D1064" s="123">
        <f t="shared" ref="D1064:D1067" si="256">(27.66+3.16*0.75)*10.764</f>
        <v>323.24291999999997</v>
      </c>
      <c r="E1064" s="123">
        <f t="shared" ref="E1064" si="257">(5*1.2+3.5*1.8)*10.764</f>
        <v>132.3972</v>
      </c>
      <c r="F1064" s="123">
        <f t="shared" si="255"/>
        <v>551.06297999999992</v>
      </c>
      <c r="G1064" s="174"/>
      <c r="H1064" s="174"/>
      <c r="I1064" s="38"/>
      <c r="N1064" s="38"/>
    </row>
    <row r="1065" spans="1:14" s="107" customFormat="1" ht="15.75" customHeight="1" x14ac:dyDescent="0.35">
      <c r="A1065" s="174">
        <f t="shared" si="246"/>
        <v>24</v>
      </c>
      <c r="B1065" s="174"/>
      <c r="C1065" s="123" t="s">
        <v>200</v>
      </c>
      <c r="D1065" s="123">
        <f t="shared" si="256"/>
        <v>323.24291999999997</v>
      </c>
      <c r="E1065" s="123">
        <f>(3.5*1.8+5*1.2+1.5*1.2)*10.764</f>
        <v>151.7724</v>
      </c>
      <c r="F1065" s="123">
        <f>D1065*(($F$422)+1)+(IF(E1065&lt;101,E1065,IF(E1065&lt;201,E1065/2,IF(E1065&lt;=301,E1065/3,E1065/4))))</f>
        <v>560.75058000000001</v>
      </c>
      <c r="G1065" s="174"/>
      <c r="H1065" s="174"/>
      <c r="I1065" s="38"/>
      <c r="N1065" s="38"/>
    </row>
    <row r="1066" spans="1:14" s="107" customFormat="1" ht="15.75" customHeight="1" x14ac:dyDescent="0.35">
      <c r="A1066" s="174">
        <f t="shared" si="246"/>
        <v>25</v>
      </c>
      <c r="B1066" s="174"/>
      <c r="C1066" s="123" t="s">
        <v>200</v>
      </c>
      <c r="D1066" s="123">
        <f t="shared" si="256"/>
        <v>323.24291999999997</v>
      </c>
      <c r="E1066" s="123">
        <f>(3.5*1.8+5*1.2)*10.764</f>
        <v>132.3972</v>
      </c>
      <c r="F1066" s="123">
        <f t="shared" ref="F1066:F1069" si="258">D1066*(($F$422)+1)+(IF(E1066&lt;101,E1066,IF(E1066&lt;201,E1066/2,IF(E1066&lt;=301,E1066/3,E1066/4))))</f>
        <v>551.06297999999992</v>
      </c>
      <c r="G1066" s="174"/>
      <c r="H1066" s="174"/>
      <c r="I1066" s="38"/>
      <c r="N1066" s="38"/>
    </row>
    <row r="1067" spans="1:14" s="107" customFormat="1" ht="15.75" customHeight="1" x14ac:dyDescent="0.35">
      <c r="A1067" s="174">
        <f t="shared" si="246"/>
        <v>26</v>
      </c>
      <c r="B1067" s="174"/>
      <c r="C1067" s="123" t="s">
        <v>200</v>
      </c>
      <c r="D1067" s="123">
        <f t="shared" si="256"/>
        <v>323.24291999999997</v>
      </c>
      <c r="E1067" s="123">
        <f>(6.4*1.2+2.7*1.8+4.5*1.2)*10.764</f>
        <v>193.10615999999996</v>
      </c>
      <c r="F1067" s="123">
        <f t="shared" si="258"/>
        <v>581.41746000000001</v>
      </c>
      <c r="G1067" s="174"/>
      <c r="H1067" s="174"/>
      <c r="I1067" s="38"/>
      <c r="N1067" s="38"/>
    </row>
    <row r="1068" spans="1:14" s="107" customFormat="1" ht="15.75" customHeight="1" x14ac:dyDescent="0.35">
      <c r="A1068" s="174">
        <f t="shared" si="246"/>
        <v>27</v>
      </c>
      <c r="B1068" s="174"/>
      <c r="C1068" s="123" t="s">
        <v>200</v>
      </c>
      <c r="D1068" s="123">
        <f>(27.66+1.2*1.2+3.16*0.75)*10.764</f>
        <v>338.74308000000002</v>
      </c>
      <c r="E1068" s="123">
        <f>(1.2*3.5+1.8*2.7)*10.764</f>
        <v>97.521839999999997</v>
      </c>
      <c r="F1068" s="123">
        <f t="shared" si="258"/>
        <v>605.63646000000006</v>
      </c>
      <c r="G1068" s="174"/>
      <c r="H1068" s="174"/>
      <c r="I1068" s="38"/>
      <c r="N1068" s="38"/>
    </row>
    <row r="1069" spans="1:14" s="107" customFormat="1" ht="15.75" customHeight="1" x14ac:dyDescent="0.35">
      <c r="A1069" s="174">
        <f t="shared" si="246"/>
        <v>28</v>
      </c>
      <c r="B1069" s="174"/>
      <c r="C1069" s="123" t="s">
        <v>200</v>
      </c>
      <c r="D1069" s="123">
        <f>(27.66+1.2*1.8+3.16*0.75)*10.764</f>
        <v>346.49315999999993</v>
      </c>
      <c r="E1069" s="123">
        <f>(5*1.2)*10.764</f>
        <v>64.584000000000003</v>
      </c>
      <c r="F1069" s="123">
        <f t="shared" si="258"/>
        <v>584.32373999999982</v>
      </c>
      <c r="G1069" s="174"/>
      <c r="H1069" s="174"/>
      <c r="I1069" s="38"/>
      <c r="N1069" s="38"/>
    </row>
    <row r="1070" spans="1:14" s="107" customFormat="1" x14ac:dyDescent="0.35">
      <c r="A1070" s="183" t="s">
        <v>171</v>
      </c>
      <c r="B1070" s="183"/>
      <c r="C1070" s="183"/>
      <c r="D1070" s="183"/>
      <c r="E1070" s="183"/>
      <c r="F1070" s="183"/>
      <c r="G1070" s="183"/>
      <c r="H1070" s="183"/>
      <c r="I1070" s="38"/>
      <c r="L1070" s="182"/>
      <c r="M1070" s="182"/>
    </row>
    <row r="1071" spans="1:14" s="107" customFormat="1" ht="15.75" customHeight="1" x14ac:dyDescent="0.35">
      <c r="A1071" s="174">
        <v>1</v>
      </c>
      <c r="B1071" s="174"/>
      <c r="C1071" s="118" t="s">
        <v>200</v>
      </c>
      <c r="D1071" s="118">
        <f t="shared" ref="D1071:D1127" si="259">(23.69+1.8*(1.5+1.2)+0.6*1.68+3.16*0.75+1.2*1.2)*10.764</f>
        <v>359.17315200000002</v>
      </c>
      <c r="E1071" s="118">
        <v>0</v>
      </c>
      <c r="F1071" s="118">
        <f t="shared" ref="F1071:F1072" si="260">D1071*(($F$422)+1)+(IF(E1071&lt;101,E1071,IF(E1071&lt;201,E1071/2,IF(E1071&lt;=301,E1071/3,E1071/4))))</f>
        <v>538.759728</v>
      </c>
      <c r="G1071" s="174" t="str">
        <f>A1070</f>
        <v xml:space="preserve">2nd to 7th, 9th to 11th, 13rd to 15th, 17th to 19th, 21st to 23rd Floor </v>
      </c>
      <c r="H1071" s="174"/>
      <c r="I1071" s="38">
        <f>2.44*2.9+1.68*2.24+2.42*3.13+0.95*1.22+1.14*1.84+0.9*2.1</f>
        <v>23.560399999999998</v>
      </c>
      <c r="N1071" s="38"/>
    </row>
    <row r="1072" spans="1:14" s="107" customFormat="1" ht="15.75" customHeight="1" x14ac:dyDescent="0.35">
      <c r="A1072" s="174">
        <f t="shared" ref="A1072:A1098" si="261">A1071+1</f>
        <v>2</v>
      </c>
      <c r="B1072" s="174"/>
      <c r="C1072" s="118" t="s">
        <v>200</v>
      </c>
      <c r="D1072" s="118">
        <f t="shared" si="259"/>
        <v>359.17315200000002</v>
      </c>
      <c r="E1072" s="118">
        <v>0</v>
      </c>
      <c r="F1072" s="118">
        <f t="shared" si="260"/>
        <v>538.759728</v>
      </c>
      <c r="G1072" s="174"/>
      <c r="H1072" s="174"/>
      <c r="I1072" s="38"/>
      <c r="N1072" s="38"/>
    </row>
    <row r="1073" spans="1:14" s="107" customFormat="1" ht="15.75" customHeight="1" x14ac:dyDescent="0.35">
      <c r="A1073" s="174">
        <f t="shared" si="261"/>
        <v>3</v>
      </c>
      <c r="B1073" s="174"/>
      <c r="C1073" s="118" t="s">
        <v>200</v>
      </c>
      <c r="D1073" s="118">
        <f t="shared" si="259"/>
        <v>359.17315200000002</v>
      </c>
      <c r="E1073" s="118">
        <v>0</v>
      </c>
      <c r="F1073" s="118">
        <f>D1073*(($F$422)+1)+(IF(E1073&lt;101,E1073,IF(E1073&lt;201,E1073/2,IF(E1073&lt;=301,E1073/3,E1073/4))))</f>
        <v>538.759728</v>
      </c>
      <c r="G1073" s="174"/>
      <c r="H1073" s="174"/>
      <c r="I1073" s="38"/>
      <c r="N1073" s="38"/>
    </row>
    <row r="1074" spans="1:14" s="107" customFormat="1" ht="15.75" customHeight="1" x14ac:dyDescent="0.35">
      <c r="A1074" s="174">
        <f t="shared" si="261"/>
        <v>4</v>
      </c>
      <c r="B1074" s="174"/>
      <c r="C1074" s="118" t="s">
        <v>200</v>
      </c>
      <c r="D1074" s="118">
        <f t="shared" si="259"/>
        <v>359.17315200000002</v>
      </c>
      <c r="E1074" s="118">
        <v>0</v>
      </c>
      <c r="F1074" s="118">
        <f t="shared" ref="F1074:F1077" si="262">D1074*(($F$422)+1)+(IF(E1074&lt;101,E1074,IF(E1074&lt;201,E1074/2,IF(E1074&lt;=301,E1074/3,E1074/4))))</f>
        <v>538.759728</v>
      </c>
      <c r="G1074" s="174"/>
      <c r="H1074" s="174"/>
      <c r="I1074" s="38"/>
      <c r="N1074" s="38"/>
    </row>
    <row r="1075" spans="1:14" s="107" customFormat="1" ht="15.75" customHeight="1" x14ac:dyDescent="0.35">
      <c r="A1075" s="174">
        <f t="shared" si="261"/>
        <v>5</v>
      </c>
      <c r="B1075" s="174"/>
      <c r="C1075" s="118" t="s">
        <v>200</v>
      </c>
      <c r="D1075" s="118">
        <f t="shared" si="259"/>
        <v>359.17315200000002</v>
      </c>
      <c r="E1075" s="118">
        <v>0</v>
      </c>
      <c r="F1075" s="118">
        <f t="shared" si="262"/>
        <v>538.759728</v>
      </c>
      <c r="G1075" s="174"/>
      <c r="H1075" s="174"/>
      <c r="I1075" s="38"/>
      <c r="N1075" s="38"/>
    </row>
    <row r="1076" spans="1:14" s="107" customFormat="1" ht="15.75" customHeight="1" x14ac:dyDescent="0.35">
      <c r="A1076" s="174">
        <f t="shared" si="261"/>
        <v>6</v>
      </c>
      <c r="B1076" s="174"/>
      <c r="C1076" s="118" t="s">
        <v>200</v>
      </c>
      <c r="D1076" s="118">
        <f t="shared" si="259"/>
        <v>359.17315200000002</v>
      </c>
      <c r="E1076" s="118">
        <v>0</v>
      </c>
      <c r="F1076" s="118">
        <f t="shared" si="262"/>
        <v>538.759728</v>
      </c>
      <c r="G1076" s="174"/>
      <c r="H1076" s="174"/>
      <c r="I1076" s="38"/>
      <c r="N1076" s="38"/>
    </row>
    <row r="1077" spans="1:14" s="107" customFormat="1" ht="15.75" customHeight="1" x14ac:dyDescent="0.35">
      <c r="A1077" s="174">
        <f t="shared" si="261"/>
        <v>7</v>
      </c>
      <c r="B1077" s="174"/>
      <c r="C1077" s="118" t="s">
        <v>200</v>
      </c>
      <c r="D1077" s="118">
        <f t="shared" si="259"/>
        <v>359.17315200000002</v>
      </c>
      <c r="E1077" s="118">
        <v>0</v>
      </c>
      <c r="F1077" s="118">
        <f t="shared" si="262"/>
        <v>538.759728</v>
      </c>
      <c r="G1077" s="174"/>
      <c r="H1077" s="174"/>
      <c r="I1077" s="38"/>
      <c r="N1077" s="38"/>
    </row>
    <row r="1078" spans="1:14" s="107" customFormat="1" ht="15.75" customHeight="1" x14ac:dyDescent="0.35">
      <c r="A1078" s="174">
        <f t="shared" si="261"/>
        <v>8</v>
      </c>
      <c r="B1078" s="174"/>
      <c r="C1078" s="118" t="s">
        <v>200</v>
      </c>
      <c r="D1078" s="118">
        <f t="shared" si="259"/>
        <v>359.17315200000002</v>
      </c>
      <c r="E1078" s="118">
        <v>0</v>
      </c>
      <c r="F1078" s="118">
        <f>D1078*(($F$422)+1)+(IF(E1078&lt;101,E1078,IF(E1078&lt;201,E1078/2,IF(E1078&lt;=301,E1078/3,E1078/4))))</f>
        <v>538.759728</v>
      </c>
      <c r="G1078" s="174"/>
      <c r="H1078" s="174"/>
      <c r="I1078" s="38"/>
      <c r="N1078" s="38"/>
    </row>
    <row r="1079" spans="1:14" s="107" customFormat="1" ht="15.75" customHeight="1" x14ac:dyDescent="0.35">
      <c r="A1079" s="174">
        <f t="shared" si="261"/>
        <v>9</v>
      </c>
      <c r="B1079" s="174"/>
      <c r="C1079" s="118" t="s">
        <v>200</v>
      </c>
      <c r="D1079" s="118">
        <f t="shared" si="259"/>
        <v>359.17315200000002</v>
      </c>
      <c r="E1079" s="118">
        <v>0</v>
      </c>
      <c r="F1079" s="118">
        <f t="shared" ref="F1079:F1082" si="263">D1079*(($F$422)+1)+(IF(E1079&lt;101,E1079,IF(E1079&lt;201,E1079/2,IF(E1079&lt;=301,E1079/3,E1079/4))))</f>
        <v>538.759728</v>
      </c>
      <c r="G1079" s="174"/>
      <c r="H1079" s="174"/>
      <c r="I1079" s="38"/>
      <c r="N1079" s="38"/>
    </row>
    <row r="1080" spans="1:14" s="107" customFormat="1" ht="15.75" customHeight="1" x14ac:dyDescent="0.35">
      <c r="A1080" s="174">
        <f t="shared" si="261"/>
        <v>10</v>
      </c>
      <c r="B1080" s="174"/>
      <c r="C1080" s="118" t="s">
        <v>200</v>
      </c>
      <c r="D1080" s="118">
        <f t="shared" si="259"/>
        <v>359.17315200000002</v>
      </c>
      <c r="E1080" s="118">
        <v>0</v>
      </c>
      <c r="F1080" s="118">
        <f t="shared" si="263"/>
        <v>538.759728</v>
      </c>
      <c r="G1080" s="174"/>
      <c r="H1080" s="174"/>
      <c r="I1080" s="38"/>
      <c r="N1080" s="38"/>
    </row>
    <row r="1081" spans="1:14" s="107" customFormat="1" ht="15.75" customHeight="1" x14ac:dyDescent="0.35">
      <c r="A1081" s="174">
        <f t="shared" si="261"/>
        <v>11</v>
      </c>
      <c r="B1081" s="174"/>
      <c r="C1081" s="118" t="s">
        <v>200</v>
      </c>
      <c r="D1081" s="118">
        <f t="shared" si="259"/>
        <v>359.17315200000002</v>
      </c>
      <c r="E1081" s="118">
        <v>0</v>
      </c>
      <c r="F1081" s="118">
        <f t="shared" si="263"/>
        <v>538.759728</v>
      </c>
      <c r="G1081" s="174"/>
      <c r="H1081" s="174"/>
      <c r="I1081" s="38"/>
      <c r="N1081" s="38"/>
    </row>
    <row r="1082" spans="1:14" s="107" customFormat="1" ht="15.75" customHeight="1" x14ac:dyDescent="0.35">
      <c r="A1082" s="174">
        <f t="shared" si="261"/>
        <v>12</v>
      </c>
      <c r="B1082" s="174"/>
      <c r="C1082" s="118" t="s">
        <v>200</v>
      </c>
      <c r="D1082" s="118">
        <f t="shared" si="259"/>
        <v>359.17315200000002</v>
      </c>
      <c r="E1082" s="118">
        <v>0</v>
      </c>
      <c r="F1082" s="118">
        <f t="shared" si="263"/>
        <v>538.759728</v>
      </c>
      <c r="G1082" s="174"/>
      <c r="H1082" s="174"/>
      <c r="I1082" s="38"/>
      <c r="N1082" s="38"/>
    </row>
    <row r="1083" spans="1:14" s="107" customFormat="1" ht="15.75" customHeight="1" x14ac:dyDescent="0.35">
      <c r="A1083" s="174">
        <f t="shared" si="261"/>
        <v>13</v>
      </c>
      <c r="B1083" s="174"/>
      <c r="C1083" s="118" t="s">
        <v>200</v>
      </c>
      <c r="D1083" s="118">
        <f t="shared" si="259"/>
        <v>359.17315200000002</v>
      </c>
      <c r="E1083" s="118">
        <v>0</v>
      </c>
      <c r="F1083" s="118">
        <f>D1083*(($F$422)+1)+(IF(E1083&lt;101,E1083,IF(E1083&lt;201,E1083/2,IF(E1083&lt;=301,E1083/3,E1083/4))))</f>
        <v>538.759728</v>
      </c>
      <c r="G1083" s="174"/>
      <c r="H1083" s="174"/>
      <c r="I1083" s="38"/>
      <c r="N1083" s="38"/>
    </row>
    <row r="1084" spans="1:14" s="107" customFormat="1" ht="15.75" customHeight="1" x14ac:dyDescent="0.35">
      <c r="A1084" s="174">
        <f t="shared" si="261"/>
        <v>14</v>
      </c>
      <c r="B1084" s="174"/>
      <c r="C1084" s="118" t="s">
        <v>200</v>
      </c>
      <c r="D1084" s="118">
        <f t="shared" si="259"/>
        <v>359.17315200000002</v>
      </c>
      <c r="E1084" s="118">
        <v>0</v>
      </c>
      <c r="F1084" s="118">
        <f t="shared" ref="F1084" si="264">D1084*(($F$422)+1)+(IF(E1084&lt;101,E1084,IF(E1084&lt;201,E1084/2,IF(E1084&lt;=301,E1084/3,E1084/4))))</f>
        <v>538.759728</v>
      </c>
      <c r="G1084" s="174"/>
      <c r="H1084" s="174"/>
      <c r="I1084" s="38"/>
      <c r="N1084" s="38"/>
    </row>
    <row r="1085" spans="1:14" s="107" customFormat="1" ht="15.75" customHeight="1" x14ac:dyDescent="0.35">
      <c r="A1085" s="174">
        <f t="shared" si="261"/>
        <v>15</v>
      </c>
      <c r="B1085" s="174"/>
      <c r="C1085" s="118" t="s">
        <v>200</v>
      </c>
      <c r="D1085" s="118">
        <f t="shared" si="259"/>
        <v>359.17315200000002</v>
      </c>
      <c r="E1085" s="118">
        <v>0</v>
      </c>
      <c r="F1085" s="118">
        <f>D1085*(($F$422)+1)+(IF(E1085&lt;101,E1085,IF(E1085&lt;201,E1085/2,IF(E1085&lt;=301,E1085/3,E1085/4))))</f>
        <v>538.759728</v>
      </c>
      <c r="G1085" s="174"/>
      <c r="H1085" s="174"/>
      <c r="I1085" s="38"/>
      <c r="N1085" s="38"/>
    </row>
    <row r="1086" spans="1:14" s="107" customFormat="1" ht="15.75" customHeight="1" x14ac:dyDescent="0.35">
      <c r="A1086" s="174">
        <f t="shared" si="261"/>
        <v>16</v>
      </c>
      <c r="B1086" s="174"/>
      <c r="C1086" s="118" t="s">
        <v>200</v>
      </c>
      <c r="D1086" s="118">
        <f t="shared" si="259"/>
        <v>359.17315200000002</v>
      </c>
      <c r="E1086" s="118">
        <v>0</v>
      </c>
      <c r="F1086" s="118">
        <f t="shared" ref="F1086:F1087" si="265">D1086*(($F$422)+1)+(IF(E1086&lt;101,E1086,IF(E1086&lt;201,E1086/2,IF(E1086&lt;=301,E1086/3,E1086/4))))</f>
        <v>538.759728</v>
      </c>
      <c r="G1086" s="174"/>
      <c r="H1086" s="174"/>
      <c r="I1086" s="38"/>
      <c r="N1086" s="38"/>
    </row>
    <row r="1087" spans="1:14" s="107" customFormat="1" ht="15.75" customHeight="1" x14ac:dyDescent="0.35">
      <c r="A1087" s="174">
        <f t="shared" si="261"/>
        <v>17</v>
      </c>
      <c r="B1087" s="174"/>
      <c r="C1087" s="118" t="s">
        <v>200</v>
      </c>
      <c r="D1087" s="118">
        <f t="shared" si="259"/>
        <v>359.17315200000002</v>
      </c>
      <c r="E1087" s="118">
        <v>0</v>
      </c>
      <c r="F1087" s="118">
        <f t="shared" si="265"/>
        <v>538.759728</v>
      </c>
      <c r="G1087" s="174"/>
      <c r="H1087" s="174"/>
      <c r="I1087" s="38"/>
      <c r="N1087" s="38"/>
    </row>
    <row r="1088" spans="1:14" s="107" customFormat="1" ht="15.75" customHeight="1" x14ac:dyDescent="0.35">
      <c r="A1088" s="174">
        <f t="shared" si="261"/>
        <v>18</v>
      </c>
      <c r="B1088" s="174"/>
      <c r="C1088" s="118" t="s">
        <v>200</v>
      </c>
      <c r="D1088" s="118">
        <f t="shared" si="259"/>
        <v>359.17315200000002</v>
      </c>
      <c r="E1088" s="118">
        <v>0</v>
      </c>
      <c r="F1088" s="118">
        <f>D1088*(($F$422)+1)+(IF(E1088&lt;101,E1088,IF(E1088&lt;201,E1088/2,IF(E1088&lt;=301,E1088/3,E1088/4))))</f>
        <v>538.759728</v>
      </c>
      <c r="G1088" s="174"/>
      <c r="H1088" s="174"/>
      <c r="I1088" s="38"/>
      <c r="N1088" s="38"/>
    </row>
    <row r="1089" spans="1:14" s="107" customFormat="1" ht="15.75" customHeight="1" x14ac:dyDescent="0.35">
      <c r="A1089" s="174">
        <f t="shared" si="261"/>
        <v>19</v>
      </c>
      <c r="B1089" s="174"/>
      <c r="C1089" s="118" t="s">
        <v>200</v>
      </c>
      <c r="D1089" s="118">
        <f t="shared" si="259"/>
        <v>359.17315200000002</v>
      </c>
      <c r="E1089" s="118">
        <v>0</v>
      </c>
      <c r="F1089" s="118">
        <f t="shared" ref="F1089:F1093" si="266">D1089*(($F$422)+1)+(IF(E1089&lt;101,E1089,IF(E1089&lt;201,E1089/2,IF(E1089&lt;=301,E1089/3,E1089/4))))</f>
        <v>538.759728</v>
      </c>
      <c r="G1089" s="174"/>
      <c r="H1089" s="174"/>
      <c r="I1089" s="38"/>
      <c r="N1089" s="38"/>
    </row>
    <row r="1090" spans="1:14" s="107" customFormat="1" ht="15.75" customHeight="1" x14ac:dyDescent="0.35">
      <c r="A1090" s="174">
        <f t="shared" si="261"/>
        <v>20</v>
      </c>
      <c r="B1090" s="174"/>
      <c r="C1090" s="118" t="s">
        <v>200</v>
      </c>
      <c r="D1090" s="118">
        <f t="shared" si="259"/>
        <v>359.17315200000002</v>
      </c>
      <c r="E1090" s="118">
        <v>0</v>
      </c>
      <c r="F1090" s="118">
        <f t="shared" si="266"/>
        <v>538.759728</v>
      </c>
      <c r="G1090" s="174"/>
      <c r="H1090" s="174"/>
      <c r="I1090" s="38"/>
      <c r="N1090" s="38"/>
    </row>
    <row r="1091" spans="1:14" s="107" customFormat="1" ht="15.75" customHeight="1" x14ac:dyDescent="0.35">
      <c r="A1091" s="174">
        <f t="shared" si="261"/>
        <v>21</v>
      </c>
      <c r="B1091" s="174"/>
      <c r="C1091" s="118" t="s">
        <v>200</v>
      </c>
      <c r="D1091" s="118">
        <f t="shared" si="259"/>
        <v>359.17315200000002</v>
      </c>
      <c r="E1091" s="118">
        <v>0</v>
      </c>
      <c r="F1091" s="118">
        <f t="shared" si="266"/>
        <v>538.759728</v>
      </c>
      <c r="G1091" s="174"/>
      <c r="H1091" s="174"/>
      <c r="I1091" s="38"/>
      <c r="N1091" s="38"/>
    </row>
    <row r="1092" spans="1:14" s="107" customFormat="1" ht="15.75" customHeight="1" x14ac:dyDescent="0.35">
      <c r="A1092" s="174">
        <f t="shared" si="261"/>
        <v>22</v>
      </c>
      <c r="B1092" s="174"/>
      <c r="C1092" s="118" t="s">
        <v>200</v>
      </c>
      <c r="D1092" s="118">
        <f t="shared" si="259"/>
        <v>359.17315200000002</v>
      </c>
      <c r="E1092" s="118">
        <v>0</v>
      </c>
      <c r="F1092" s="118">
        <f t="shared" si="266"/>
        <v>538.759728</v>
      </c>
      <c r="G1092" s="174"/>
      <c r="H1092" s="174"/>
      <c r="I1092" s="38"/>
      <c r="N1092" s="38"/>
    </row>
    <row r="1093" spans="1:14" s="107" customFormat="1" ht="15.75" customHeight="1" x14ac:dyDescent="0.35">
      <c r="A1093" s="174">
        <f t="shared" si="261"/>
        <v>23</v>
      </c>
      <c r="B1093" s="174"/>
      <c r="C1093" s="118" t="s">
        <v>200</v>
      </c>
      <c r="D1093" s="118">
        <f t="shared" si="259"/>
        <v>359.17315200000002</v>
      </c>
      <c r="E1093" s="118">
        <v>0</v>
      </c>
      <c r="F1093" s="118">
        <f t="shared" si="266"/>
        <v>538.759728</v>
      </c>
      <c r="G1093" s="174"/>
      <c r="H1093" s="174"/>
      <c r="I1093" s="38"/>
      <c r="N1093" s="38"/>
    </row>
    <row r="1094" spans="1:14" s="107" customFormat="1" ht="15.75" customHeight="1" x14ac:dyDescent="0.35">
      <c r="A1094" s="174">
        <f t="shared" si="261"/>
        <v>24</v>
      </c>
      <c r="B1094" s="174"/>
      <c r="C1094" s="118" t="s">
        <v>200</v>
      </c>
      <c r="D1094" s="118">
        <f t="shared" si="259"/>
        <v>359.17315200000002</v>
      </c>
      <c r="E1094" s="118">
        <v>0</v>
      </c>
      <c r="F1094" s="118">
        <f>D1094*(($F$422)+1)+(IF(E1094&lt;101,E1094,IF(E1094&lt;201,E1094/2,IF(E1094&lt;=301,E1094/3,E1094/4))))</f>
        <v>538.759728</v>
      </c>
      <c r="G1094" s="174"/>
      <c r="H1094" s="174"/>
      <c r="I1094" s="38"/>
      <c r="N1094" s="38"/>
    </row>
    <row r="1095" spans="1:14" s="107" customFormat="1" ht="15.75" customHeight="1" x14ac:dyDescent="0.35">
      <c r="A1095" s="174">
        <f t="shared" si="261"/>
        <v>25</v>
      </c>
      <c r="B1095" s="174"/>
      <c r="C1095" s="118" t="s">
        <v>200</v>
      </c>
      <c r="D1095" s="118">
        <f t="shared" si="259"/>
        <v>359.17315200000002</v>
      </c>
      <c r="E1095" s="118">
        <v>0</v>
      </c>
      <c r="F1095" s="118">
        <f t="shared" ref="F1095:F1098" si="267">D1095*(($F$422)+1)+(IF(E1095&lt;101,E1095,IF(E1095&lt;201,E1095/2,IF(E1095&lt;=301,E1095/3,E1095/4))))</f>
        <v>538.759728</v>
      </c>
      <c r="G1095" s="174"/>
      <c r="H1095" s="174"/>
      <c r="I1095" s="38"/>
      <c r="N1095" s="38"/>
    </row>
    <row r="1096" spans="1:14" s="107" customFormat="1" ht="15.75" customHeight="1" x14ac:dyDescent="0.35">
      <c r="A1096" s="174">
        <f t="shared" si="261"/>
        <v>26</v>
      </c>
      <c r="B1096" s="174"/>
      <c r="C1096" s="118" t="s">
        <v>200</v>
      </c>
      <c r="D1096" s="118">
        <f t="shared" si="259"/>
        <v>359.17315200000002</v>
      </c>
      <c r="E1096" s="118">
        <v>0</v>
      </c>
      <c r="F1096" s="118">
        <f t="shared" si="267"/>
        <v>538.759728</v>
      </c>
      <c r="G1096" s="174"/>
      <c r="H1096" s="174"/>
      <c r="I1096" s="38"/>
      <c r="N1096" s="38"/>
    </row>
    <row r="1097" spans="1:14" s="107" customFormat="1" ht="15.75" customHeight="1" x14ac:dyDescent="0.35">
      <c r="A1097" s="174">
        <f t="shared" si="261"/>
        <v>27</v>
      </c>
      <c r="B1097" s="174"/>
      <c r="C1097" s="118" t="s">
        <v>200</v>
      </c>
      <c r="D1097" s="118">
        <f t="shared" si="259"/>
        <v>359.17315200000002</v>
      </c>
      <c r="E1097" s="118">
        <v>0</v>
      </c>
      <c r="F1097" s="118">
        <f t="shared" si="267"/>
        <v>538.759728</v>
      </c>
      <c r="G1097" s="174"/>
      <c r="H1097" s="174"/>
      <c r="I1097" s="38"/>
      <c r="N1097" s="38"/>
    </row>
    <row r="1098" spans="1:14" s="107" customFormat="1" ht="15.75" customHeight="1" x14ac:dyDescent="0.35">
      <c r="A1098" s="174">
        <f t="shared" si="261"/>
        <v>28</v>
      </c>
      <c r="B1098" s="174"/>
      <c r="C1098" s="118" t="s">
        <v>200</v>
      </c>
      <c r="D1098" s="118">
        <f t="shared" si="259"/>
        <v>359.17315200000002</v>
      </c>
      <c r="E1098" s="118">
        <v>0</v>
      </c>
      <c r="F1098" s="118">
        <f t="shared" si="267"/>
        <v>538.759728</v>
      </c>
      <c r="G1098" s="174"/>
      <c r="H1098" s="174"/>
      <c r="I1098" s="38"/>
      <c r="N1098" s="38"/>
    </row>
    <row r="1099" spans="1:14" s="107" customFormat="1" x14ac:dyDescent="0.35">
      <c r="A1099" s="183" t="s">
        <v>227</v>
      </c>
      <c r="B1099" s="183"/>
      <c r="C1099" s="183"/>
      <c r="D1099" s="183"/>
      <c r="E1099" s="183"/>
      <c r="F1099" s="183"/>
      <c r="G1099" s="183"/>
      <c r="H1099" s="183"/>
      <c r="I1099" s="38"/>
      <c r="L1099" s="182"/>
      <c r="M1099" s="182"/>
    </row>
    <row r="1100" spans="1:14" s="107" customFormat="1" ht="15.75" customHeight="1" x14ac:dyDescent="0.35">
      <c r="A1100" s="174">
        <v>1</v>
      </c>
      <c r="B1100" s="174"/>
      <c r="C1100" s="123" t="s">
        <v>200</v>
      </c>
      <c r="D1100" s="123">
        <f t="shared" si="259"/>
        <v>359.17315200000002</v>
      </c>
      <c r="E1100" s="123">
        <v>0</v>
      </c>
      <c r="F1100" s="123">
        <f t="shared" ref="F1100:F1101" si="268">D1100*(($F$422)+1)+(IF(E1100&lt;101,E1100,IF(E1100&lt;201,E1100/2,IF(E1100&lt;=301,E1100/3,E1100/4))))</f>
        <v>538.759728</v>
      </c>
      <c r="G1100" s="174" t="str">
        <f>A1099</f>
        <v>8th, 12th, 16th &amp; 20th Floor (Part Refuge Area)</v>
      </c>
      <c r="H1100" s="174"/>
      <c r="I1100" s="38">
        <f>2.44*2.9+1.68*2.24+2.42*3.13+0.95*1.22+1.14*1.84+0.9*2.1</f>
        <v>23.560399999999998</v>
      </c>
      <c r="N1100" s="38"/>
    </row>
    <row r="1101" spans="1:14" s="107" customFormat="1" ht="15.75" customHeight="1" x14ac:dyDescent="0.35">
      <c r="A1101" s="174">
        <f t="shared" ref="A1101:A1127" si="269">A1100+1</f>
        <v>2</v>
      </c>
      <c r="B1101" s="174"/>
      <c r="C1101" s="123" t="s">
        <v>200</v>
      </c>
      <c r="D1101" s="123">
        <f t="shared" si="259"/>
        <v>359.17315200000002</v>
      </c>
      <c r="E1101" s="123">
        <v>0</v>
      </c>
      <c r="F1101" s="123">
        <f t="shared" si="268"/>
        <v>538.759728</v>
      </c>
      <c r="G1101" s="174"/>
      <c r="H1101" s="174"/>
      <c r="I1101" s="38"/>
      <c r="N1101" s="38"/>
    </row>
    <row r="1102" spans="1:14" s="107" customFormat="1" ht="15.75" customHeight="1" x14ac:dyDescent="0.35">
      <c r="A1102" s="174">
        <f t="shared" si="269"/>
        <v>3</v>
      </c>
      <c r="B1102" s="174"/>
      <c r="C1102" s="123" t="s">
        <v>200</v>
      </c>
      <c r="D1102" s="123">
        <f t="shared" si="259"/>
        <v>359.17315200000002</v>
      </c>
      <c r="E1102" s="123">
        <v>0</v>
      </c>
      <c r="F1102" s="123">
        <f>D1102*(($F$422)+1)+(IF(E1102&lt;101,E1102,IF(E1102&lt;201,E1102/2,IF(E1102&lt;=301,E1102/3,E1102/4))))</f>
        <v>538.759728</v>
      </c>
      <c r="G1102" s="174"/>
      <c r="H1102" s="174"/>
      <c r="I1102" s="38"/>
      <c r="N1102" s="38"/>
    </row>
    <row r="1103" spans="1:14" s="107" customFormat="1" ht="15.75" customHeight="1" x14ac:dyDescent="0.35">
      <c r="A1103" s="174">
        <f t="shared" si="269"/>
        <v>4</v>
      </c>
      <c r="B1103" s="174"/>
      <c r="C1103" s="123" t="s">
        <v>200</v>
      </c>
      <c r="D1103" s="123">
        <f t="shared" si="259"/>
        <v>359.17315200000002</v>
      </c>
      <c r="E1103" s="123">
        <v>0</v>
      </c>
      <c r="F1103" s="123">
        <f t="shared" ref="F1103:F1106" si="270">D1103*(($F$422)+1)+(IF(E1103&lt;101,E1103,IF(E1103&lt;201,E1103/2,IF(E1103&lt;=301,E1103/3,E1103/4))))</f>
        <v>538.759728</v>
      </c>
      <c r="G1103" s="174"/>
      <c r="H1103" s="174"/>
      <c r="I1103" s="38"/>
      <c r="N1103" s="38"/>
    </row>
    <row r="1104" spans="1:14" s="107" customFormat="1" ht="15.75" customHeight="1" x14ac:dyDescent="0.35">
      <c r="A1104" s="174">
        <f t="shared" si="269"/>
        <v>5</v>
      </c>
      <c r="B1104" s="174"/>
      <c r="C1104" s="123" t="s">
        <v>200</v>
      </c>
      <c r="D1104" s="123">
        <f t="shared" si="259"/>
        <v>359.17315200000002</v>
      </c>
      <c r="E1104" s="123">
        <v>0</v>
      </c>
      <c r="F1104" s="123">
        <f t="shared" si="270"/>
        <v>538.759728</v>
      </c>
      <c r="G1104" s="174"/>
      <c r="H1104" s="174"/>
      <c r="I1104" s="38"/>
      <c r="N1104" s="38"/>
    </row>
    <row r="1105" spans="1:14" s="107" customFormat="1" ht="15.75" customHeight="1" x14ac:dyDescent="0.35">
      <c r="A1105" s="174">
        <f t="shared" si="269"/>
        <v>6</v>
      </c>
      <c r="B1105" s="174"/>
      <c r="C1105" s="123" t="s">
        <v>200</v>
      </c>
      <c r="D1105" s="123">
        <f t="shared" si="259"/>
        <v>359.17315200000002</v>
      </c>
      <c r="E1105" s="123">
        <v>0</v>
      </c>
      <c r="F1105" s="123">
        <f t="shared" si="270"/>
        <v>538.759728</v>
      </c>
      <c r="G1105" s="174"/>
      <c r="H1105" s="174"/>
      <c r="I1105" s="38"/>
      <c r="N1105" s="38"/>
    </row>
    <row r="1106" spans="1:14" s="107" customFormat="1" ht="15.75" customHeight="1" x14ac:dyDescent="0.35">
      <c r="A1106" s="174">
        <f t="shared" si="269"/>
        <v>7</v>
      </c>
      <c r="B1106" s="174"/>
      <c r="C1106" s="123" t="s">
        <v>200</v>
      </c>
      <c r="D1106" s="123">
        <f t="shared" si="259"/>
        <v>359.17315200000002</v>
      </c>
      <c r="E1106" s="123">
        <v>0</v>
      </c>
      <c r="F1106" s="123">
        <f t="shared" si="270"/>
        <v>538.759728</v>
      </c>
      <c r="G1106" s="174"/>
      <c r="H1106" s="174"/>
      <c r="I1106" s="38"/>
      <c r="N1106" s="38"/>
    </row>
    <row r="1107" spans="1:14" s="107" customFormat="1" ht="15.75" customHeight="1" x14ac:dyDescent="0.35">
      <c r="A1107" s="174">
        <f t="shared" si="269"/>
        <v>8</v>
      </c>
      <c r="B1107" s="174"/>
      <c r="C1107" s="123" t="s">
        <v>200</v>
      </c>
      <c r="D1107" s="123">
        <f t="shared" si="259"/>
        <v>359.17315200000002</v>
      </c>
      <c r="E1107" s="123">
        <v>0</v>
      </c>
      <c r="F1107" s="123">
        <f>D1107*(($F$422)+1)+(IF(E1107&lt;101,E1107,IF(E1107&lt;201,E1107/2,IF(E1107&lt;=301,E1107/3,E1107/4))))</f>
        <v>538.759728</v>
      </c>
      <c r="G1107" s="174"/>
      <c r="H1107" s="174"/>
      <c r="I1107" s="38"/>
      <c r="N1107" s="38"/>
    </row>
    <row r="1108" spans="1:14" s="107" customFormat="1" ht="15.75" customHeight="1" x14ac:dyDescent="0.35">
      <c r="A1108" s="174">
        <f t="shared" si="269"/>
        <v>9</v>
      </c>
      <c r="B1108" s="174"/>
      <c r="C1108" s="123" t="s">
        <v>200</v>
      </c>
      <c r="D1108" s="123">
        <f t="shared" si="259"/>
        <v>359.17315200000002</v>
      </c>
      <c r="E1108" s="123">
        <v>0</v>
      </c>
      <c r="F1108" s="123">
        <f t="shared" ref="F1108:F1111" si="271">D1108*(($F$422)+1)+(IF(E1108&lt;101,E1108,IF(E1108&lt;201,E1108/2,IF(E1108&lt;=301,E1108/3,E1108/4))))</f>
        <v>538.759728</v>
      </c>
      <c r="G1108" s="174"/>
      <c r="H1108" s="174"/>
      <c r="I1108" s="38"/>
      <c r="N1108" s="38"/>
    </row>
    <row r="1109" spans="1:14" s="107" customFormat="1" ht="15.75" customHeight="1" x14ac:dyDescent="0.35">
      <c r="A1109" s="174">
        <f t="shared" si="269"/>
        <v>10</v>
      </c>
      <c r="B1109" s="174"/>
      <c r="C1109" s="123" t="s">
        <v>200</v>
      </c>
      <c r="D1109" s="123">
        <f t="shared" si="259"/>
        <v>359.17315200000002</v>
      </c>
      <c r="E1109" s="123">
        <v>0</v>
      </c>
      <c r="F1109" s="123">
        <f t="shared" si="271"/>
        <v>538.759728</v>
      </c>
      <c r="G1109" s="174"/>
      <c r="H1109" s="174"/>
      <c r="I1109" s="38"/>
      <c r="N1109" s="38"/>
    </row>
    <row r="1110" spans="1:14" s="107" customFormat="1" ht="15.75" customHeight="1" x14ac:dyDescent="0.35">
      <c r="A1110" s="174">
        <f t="shared" si="269"/>
        <v>11</v>
      </c>
      <c r="B1110" s="174"/>
      <c r="C1110" s="123" t="s">
        <v>200</v>
      </c>
      <c r="D1110" s="123">
        <f t="shared" si="259"/>
        <v>359.17315200000002</v>
      </c>
      <c r="E1110" s="123">
        <v>0</v>
      </c>
      <c r="F1110" s="123">
        <f t="shared" si="271"/>
        <v>538.759728</v>
      </c>
      <c r="G1110" s="174"/>
      <c r="H1110" s="174"/>
      <c r="I1110" s="38"/>
      <c r="N1110" s="38"/>
    </row>
    <row r="1111" spans="1:14" s="107" customFormat="1" ht="15.75" customHeight="1" x14ac:dyDescent="0.35">
      <c r="A1111" s="174">
        <f t="shared" si="269"/>
        <v>12</v>
      </c>
      <c r="B1111" s="174"/>
      <c r="C1111" s="123" t="s">
        <v>200</v>
      </c>
      <c r="D1111" s="123">
        <f t="shared" si="259"/>
        <v>359.17315200000002</v>
      </c>
      <c r="E1111" s="123">
        <v>0</v>
      </c>
      <c r="F1111" s="123">
        <f t="shared" si="271"/>
        <v>538.759728</v>
      </c>
      <c r="G1111" s="174"/>
      <c r="H1111" s="174"/>
      <c r="I1111" s="38"/>
      <c r="N1111" s="38"/>
    </row>
    <row r="1112" spans="1:14" s="107" customFormat="1" ht="15.75" customHeight="1" x14ac:dyDescent="0.35">
      <c r="A1112" s="174">
        <f t="shared" si="269"/>
        <v>13</v>
      </c>
      <c r="B1112" s="174"/>
      <c r="C1112" s="174" t="s">
        <v>172</v>
      </c>
      <c r="D1112" s="174"/>
      <c r="E1112" s="174"/>
      <c r="F1112" s="174"/>
      <c r="G1112" s="174"/>
      <c r="H1112" s="174"/>
      <c r="I1112" s="38"/>
      <c r="N1112" s="38"/>
    </row>
    <row r="1113" spans="1:14" s="107" customFormat="1" ht="15.75" customHeight="1" x14ac:dyDescent="0.35">
      <c r="A1113" s="174">
        <f t="shared" si="269"/>
        <v>14</v>
      </c>
      <c r="B1113" s="174"/>
      <c r="C1113" s="174"/>
      <c r="D1113" s="174"/>
      <c r="E1113" s="174"/>
      <c r="F1113" s="174"/>
      <c r="G1113" s="174"/>
      <c r="H1113" s="174"/>
      <c r="I1113" s="38"/>
      <c r="N1113" s="38"/>
    </row>
    <row r="1114" spans="1:14" s="107" customFormat="1" ht="15.75" customHeight="1" x14ac:dyDescent="0.35">
      <c r="A1114" s="174">
        <f t="shared" si="269"/>
        <v>15</v>
      </c>
      <c r="B1114" s="174"/>
      <c r="C1114" s="174"/>
      <c r="D1114" s="174"/>
      <c r="E1114" s="174"/>
      <c r="F1114" s="174"/>
      <c r="G1114" s="174"/>
      <c r="H1114" s="174"/>
      <c r="I1114" s="38"/>
      <c r="N1114" s="38"/>
    </row>
    <row r="1115" spans="1:14" s="107" customFormat="1" ht="15.75" customHeight="1" x14ac:dyDescent="0.35">
      <c r="A1115" s="174">
        <f t="shared" si="269"/>
        <v>16</v>
      </c>
      <c r="B1115" s="174"/>
      <c r="C1115" s="123" t="s">
        <v>200</v>
      </c>
      <c r="D1115" s="123">
        <f t="shared" si="259"/>
        <v>359.17315200000002</v>
      </c>
      <c r="E1115" s="123">
        <v>0</v>
      </c>
      <c r="F1115" s="123">
        <f t="shared" ref="F1115:F1116" si="272">D1115*(($F$422)+1)+(IF(E1115&lt;101,E1115,IF(E1115&lt;201,E1115/2,IF(E1115&lt;=301,E1115/3,E1115/4))))</f>
        <v>538.759728</v>
      </c>
      <c r="G1115" s="174"/>
      <c r="H1115" s="174"/>
      <c r="I1115" s="38"/>
      <c r="N1115" s="38"/>
    </row>
    <row r="1116" spans="1:14" s="107" customFormat="1" ht="15.75" customHeight="1" x14ac:dyDescent="0.35">
      <c r="A1116" s="174">
        <f t="shared" si="269"/>
        <v>17</v>
      </c>
      <c r="B1116" s="174"/>
      <c r="C1116" s="123" t="s">
        <v>200</v>
      </c>
      <c r="D1116" s="123">
        <f t="shared" si="259"/>
        <v>359.17315200000002</v>
      </c>
      <c r="E1116" s="123">
        <v>0</v>
      </c>
      <c r="F1116" s="123">
        <f t="shared" si="272"/>
        <v>538.759728</v>
      </c>
      <c r="G1116" s="174"/>
      <c r="H1116" s="174"/>
      <c r="I1116" s="38"/>
      <c r="N1116" s="38"/>
    </row>
    <row r="1117" spans="1:14" s="107" customFormat="1" ht="15.75" customHeight="1" x14ac:dyDescent="0.35">
      <c r="A1117" s="174">
        <f t="shared" si="269"/>
        <v>18</v>
      </c>
      <c r="B1117" s="174"/>
      <c r="C1117" s="123" t="s">
        <v>200</v>
      </c>
      <c r="D1117" s="123">
        <f t="shared" si="259"/>
        <v>359.17315200000002</v>
      </c>
      <c r="E1117" s="123">
        <v>0</v>
      </c>
      <c r="F1117" s="123">
        <f>D1117*(($F$422)+1)+(IF(E1117&lt;101,E1117,IF(E1117&lt;201,E1117/2,IF(E1117&lt;=301,E1117/3,E1117/4))))</f>
        <v>538.759728</v>
      </c>
      <c r="G1117" s="174"/>
      <c r="H1117" s="174"/>
      <c r="I1117" s="38"/>
      <c r="N1117" s="38"/>
    </row>
    <row r="1118" spans="1:14" s="107" customFormat="1" ht="15.75" customHeight="1" x14ac:dyDescent="0.35">
      <c r="A1118" s="174">
        <f t="shared" si="269"/>
        <v>19</v>
      </c>
      <c r="B1118" s="174"/>
      <c r="C1118" s="123" t="s">
        <v>200</v>
      </c>
      <c r="D1118" s="123">
        <f t="shared" si="259"/>
        <v>359.17315200000002</v>
      </c>
      <c r="E1118" s="123">
        <v>0</v>
      </c>
      <c r="F1118" s="123">
        <f t="shared" ref="F1118:F1122" si="273">D1118*(($F$422)+1)+(IF(E1118&lt;101,E1118,IF(E1118&lt;201,E1118/2,IF(E1118&lt;=301,E1118/3,E1118/4))))</f>
        <v>538.759728</v>
      </c>
      <c r="G1118" s="174"/>
      <c r="H1118" s="174"/>
      <c r="I1118" s="38"/>
      <c r="N1118" s="38"/>
    </row>
    <row r="1119" spans="1:14" s="107" customFormat="1" ht="15.75" customHeight="1" x14ac:dyDescent="0.35">
      <c r="A1119" s="174">
        <f t="shared" si="269"/>
        <v>20</v>
      </c>
      <c r="B1119" s="174"/>
      <c r="C1119" s="123" t="s">
        <v>200</v>
      </c>
      <c r="D1119" s="123">
        <f t="shared" si="259"/>
        <v>359.17315200000002</v>
      </c>
      <c r="E1119" s="123">
        <v>0</v>
      </c>
      <c r="F1119" s="123">
        <f t="shared" si="273"/>
        <v>538.759728</v>
      </c>
      <c r="G1119" s="174"/>
      <c r="H1119" s="174"/>
      <c r="I1119" s="38"/>
      <c r="N1119" s="38"/>
    </row>
    <row r="1120" spans="1:14" s="107" customFormat="1" ht="15.75" customHeight="1" x14ac:dyDescent="0.35">
      <c r="A1120" s="174">
        <f t="shared" si="269"/>
        <v>21</v>
      </c>
      <c r="B1120" s="174"/>
      <c r="C1120" s="123" t="s">
        <v>200</v>
      </c>
      <c r="D1120" s="123">
        <f t="shared" si="259"/>
        <v>359.17315200000002</v>
      </c>
      <c r="E1120" s="123">
        <v>0</v>
      </c>
      <c r="F1120" s="123">
        <f t="shared" si="273"/>
        <v>538.759728</v>
      </c>
      <c r="G1120" s="174"/>
      <c r="H1120" s="174"/>
      <c r="I1120" s="38"/>
      <c r="N1120" s="38"/>
    </row>
    <row r="1121" spans="1:14" s="107" customFormat="1" ht="15.75" customHeight="1" x14ac:dyDescent="0.35">
      <c r="A1121" s="174">
        <f t="shared" si="269"/>
        <v>22</v>
      </c>
      <c r="B1121" s="174"/>
      <c r="C1121" s="123" t="s">
        <v>200</v>
      </c>
      <c r="D1121" s="123">
        <f t="shared" si="259"/>
        <v>359.17315200000002</v>
      </c>
      <c r="E1121" s="123">
        <v>0</v>
      </c>
      <c r="F1121" s="123">
        <f t="shared" si="273"/>
        <v>538.759728</v>
      </c>
      <c r="G1121" s="174"/>
      <c r="H1121" s="174"/>
      <c r="I1121" s="38"/>
      <c r="N1121" s="38"/>
    </row>
    <row r="1122" spans="1:14" s="107" customFormat="1" ht="15.75" customHeight="1" x14ac:dyDescent="0.35">
      <c r="A1122" s="174">
        <f t="shared" si="269"/>
        <v>23</v>
      </c>
      <c r="B1122" s="174"/>
      <c r="C1122" s="123" t="s">
        <v>200</v>
      </c>
      <c r="D1122" s="123">
        <f t="shared" si="259"/>
        <v>359.17315200000002</v>
      </c>
      <c r="E1122" s="123">
        <v>0</v>
      </c>
      <c r="F1122" s="123">
        <f t="shared" si="273"/>
        <v>538.759728</v>
      </c>
      <c r="G1122" s="174"/>
      <c r="H1122" s="174"/>
      <c r="I1122" s="38"/>
      <c r="N1122" s="38"/>
    </row>
    <row r="1123" spans="1:14" s="107" customFormat="1" ht="15.75" customHeight="1" x14ac:dyDescent="0.35">
      <c r="A1123" s="174">
        <f t="shared" si="269"/>
        <v>24</v>
      </c>
      <c r="B1123" s="174"/>
      <c r="C1123" s="123" t="s">
        <v>200</v>
      </c>
      <c r="D1123" s="123">
        <f t="shared" si="259"/>
        <v>359.17315200000002</v>
      </c>
      <c r="E1123" s="123">
        <v>0</v>
      </c>
      <c r="F1123" s="123">
        <f>D1123*(($F$422)+1)+(IF(E1123&lt;101,E1123,IF(E1123&lt;201,E1123/2,IF(E1123&lt;=301,E1123/3,E1123/4))))</f>
        <v>538.759728</v>
      </c>
      <c r="G1123" s="174"/>
      <c r="H1123" s="174"/>
      <c r="I1123" s="38"/>
      <c r="N1123" s="38"/>
    </row>
    <row r="1124" spans="1:14" s="107" customFormat="1" ht="15.75" customHeight="1" x14ac:dyDescent="0.35">
      <c r="A1124" s="174">
        <f t="shared" si="269"/>
        <v>25</v>
      </c>
      <c r="B1124" s="174"/>
      <c r="C1124" s="123" t="s">
        <v>200</v>
      </c>
      <c r="D1124" s="123">
        <f t="shared" si="259"/>
        <v>359.17315200000002</v>
      </c>
      <c r="E1124" s="123">
        <v>0</v>
      </c>
      <c r="F1124" s="123">
        <f t="shared" ref="F1124:F1127" si="274">D1124*(($F$422)+1)+(IF(E1124&lt;101,E1124,IF(E1124&lt;201,E1124/2,IF(E1124&lt;=301,E1124/3,E1124/4))))</f>
        <v>538.759728</v>
      </c>
      <c r="G1124" s="174"/>
      <c r="H1124" s="174"/>
      <c r="I1124" s="38"/>
      <c r="N1124" s="38"/>
    </row>
    <row r="1125" spans="1:14" s="107" customFormat="1" ht="15.75" customHeight="1" x14ac:dyDescent="0.35">
      <c r="A1125" s="174">
        <f t="shared" si="269"/>
        <v>26</v>
      </c>
      <c r="B1125" s="174"/>
      <c r="C1125" s="123" t="s">
        <v>200</v>
      </c>
      <c r="D1125" s="123">
        <f t="shared" si="259"/>
        <v>359.17315200000002</v>
      </c>
      <c r="E1125" s="123">
        <v>0</v>
      </c>
      <c r="F1125" s="123">
        <f t="shared" si="274"/>
        <v>538.759728</v>
      </c>
      <c r="G1125" s="174"/>
      <c r="H1125" s="174"/>
      <c r="I1125" s="38"/>
      <c r="N1125" s="38"/>
    </row>
    <row r="1126" spans="1:14" s="107" customFormat="1" ht="15.75" customHeight="1" x14ac:dyDescent="0.35">
      <c r="A1126" s="174">
        <f t="shared" si="269"/>
        <v>27</v>
      </c>
      <c r="B1126" s="174"/>
      <c r="C1126" s="123" t="s">
        <v>200</v>
      </c>
      <c r="D1126" s="123">
        <f t="shared" si="259"/>
        <v>359.17315200000002</v>
      </c>
      <c r="E1126" s="123">
        <v>0</v>
      </c>
      <c r="F1126" s="123">
        <f t="shared" si="274"/>
        <v>538.759728</v>
      </c>
      <c r="G1126" s="174"/>
      <c r="H1126" s="174"/>
      <c r="I1126" s="38"/>
      <c r="N1126" s="38"/>
    </row>
    <row r="1127" spans="1:14" s="107" customFormat="1" ht="15.75" customHeight="1" x14ac:dyDescent="0.35">
      <c r="A1127" s="174">
        <f t="shared" si="269"/>
        <v>28</v>
      </c>
      <c r="B1127" s="174"/>
      <c r="C1127" s="123" t="s">
        <v>200</v>
      </c>
      <c r="D1127" s="123">
        <f t="shared" si="259"/>
        <v>359.17315200000002</v>
      </c>
      <c r="E1127" s="123">
        <v>0</v>
      </c>
      <c r="F1127" s="123">
        <f t="shared" si="274"/>
        <v>538.759728</v>
      </c>
      <c r="G1127" s="174"/>
      <c r="H1127" s="174"/>
      <c r="I1127" s="38"/>
      <c r="N1127" s="38"/>
    </row>
    <row r="1128" spans="1:14" x14ac:dyDescent="0.35">
      <c r="A1128" s="184" t="s">
        <v>226</v>
      </c>
      <c r="B1128" s="184"/>
      <c r="C1128" s="184"/>
      <c r="D1128" s="184"/>
      <c r="E1128" s="184"/>
      <c r="F1128" s="184"/>
      <c r="G1128" s="184"/>
      <c r="H1128" s="184"/>
    </row>
    <row r="1129" spans="1:14" x14ac:dyDescent="0.35">
      <c r="A1129" s="177" t="s">
        <v>191</v>
      </c>
      <c r="B1129" s="177"/>
      <c r="C1129" s="177"/>
      <c r="D1129" s="177"/>
      <c r="E1129" s="177"/>
      <c r="F1129" s="177"/>
      <c r="G1129" s="177"/>
      <c r="H1129" s="177"/>
    </row>
    <row r="1130" spans="1:14" s="107" customFormat="1" x14ac:dyDescent="0.35">
      <c r="A1130" s="183" t="s">
        <v>169</v>
      </c>
      <c r="B1130" s="183"/>
      <c r="C1130" s="183"/>
      <c r="D1130" s="183"/>
      <c r="E1130" s="183"/>
      <c r="F1130" s="183"/>
      <c r="G1130" s="183"/>
      <c r="H1130" s="183"/>
      <c r="I1130" s="38"/>
      <c r="L1130" s="182"/>
      <c r="M1130" s="182"/>
    </row>
    <row r="1131" spans="1:14" s="107" customFormat="1" ht="15.75" customHeight="1" x14ac:dyDescent="0.35">
      <c r="A1131" s="174">
        <v>1</v>
      </c>
      <c r="B1131" s="174"/>
      <c r="C1131" s="123" t="s">
        <v>200</v>
      </c>
      <c r="D1131" s="123">
        <f>(27.66+1.2*1.8+3.16*0.75)*10.764</f>
        <v>346.49315999999993</v>
      </c>
      <c r="E1131" s="123">
        <f>(5*1.2+4.2*1.2)*10.764</f>
        <v>118.83455999999998</v>
      </c>
      <c r="F1131" s="123">
        <f t="shared" ref="F1131:F1132" si="275">D1131*(($F$422)+1)+(IF(E1131&lt;101,E1131,IF(E1131&lt;201,E1131/2,IF(E1131&lt;=301,E1131/3,E1131/4))))</f>
        <v>579.15701999999987</v>
      </c>
      <c r="G1131" s="174" t="str">
        <f>A1130</f>
        <v>1st Floor for Residential</v>
      </c>
      <c r="H1131" s="174"/>
      <c r="I1131" s="38"/>
      <c r="N1131" s="38"/>
    </row>
    <row r="1132" spans="1:14" s="107" customFormat="1" ht="15.75" customHeight="1" x14ac:dyDescent="0.35">
      <c r="A1132" s="174">
        <f t="shared" ref="A1132:A1171" si="276">A1131+1</f>
        <v>2</v>
      </c>
      <c r="B1132" s="174"/>
      <c r="C1132" s="123" t="s">
        <v>200</v>
      </c>
      <c r="D1132" s="123">
        <f>(27.66+1.2*1.2+3.16*0.75)*10.764</f>
        <v>338.74308000000002</v>
      </c>
      <c r="E1132" s="123">
        <f>(3.5*1.8)*10.764</f>
        <v>67.813199999999995</v>
      </c>
      <c r="F1132" s="123">
        <f t="shared" si="275"/>
        <v>575.92782000000011</v>
      </c>
      <c r="G1132" s="174"/>
      <c r="H1132" s="174"/>
      <c r="I1132" s="38"/>
      <c r="N1132" s="38"/>
    </row>
    <row r="1133" spans="1:14" s="107" customFormat="1" ht="15.75" customHeight="1" x14ac:dyDescent="0.35">
      <c r="A1133" s="174">
        <f t="shared" si="276"/>
        <v>3</v>
      </c>
      <c r="B1133" s="174"/>
      <c r="C1133" s="123" t="s">
        <v>200</v>
      </c>
      <c r="D1133" s="123">
        <f>(27.66+3.16*0.75)*10.764</f>
        <v>323.24291999999997</v>
      </c>
      <c r="E1133" s="123">
        <f>(3.5*1.8+5*1.2)*10.764</f>
        <v>132.3972</v>
      </c>
      <c r="F1133" s="123">
        <f>D1133*(($F$422)+1)+(IF(E1133&lt;101,E1133,IF(E1133&lt;201,E1133/2,IF(E1133&lt;=301,E1133/3,E1133/4))))</f>
        <v>551.06297999999992</v>
      </c>
      <c r="G1133" s="174"/>
      <c r="H1133" s="174"/>
      <c r="I1133" s="38"/>
      <c r="N1133" s="38"/>
    </row>
    <row r="1134" spans="1:14" s="107" customFormat="1" ht="15.75" customHeight="1" x14ac:dyDescent="0.35">
      <c r="A1134" s="174">
        <f t="shared" si="276"/>
        <v>4</v>
      </c>
      <c r="B1134" s="174"/>
      <c r="C1134" s="123" t="s">
        <v>200</v>
      </c>
      <c r="D1134" s="123">
        <f>(27.66+3.16*0.75)*10.764</f>
        <v>323.24291999999997</v>
      </c>
      <c r="E1134" s="123">
        <f>(6.17*1.2+2.7*1.8+4.2*1.2)*10.764</f>
        <v>186.26025599999997</v>
      </c>
      <c r="F1134" s="123">
        <f t="shared" ref="F1134:F1137" si="277">D1134*(($F$422)+1)+(IF(E1134&lt;101,E1134,IF(E1134&lt;201,E1134/2,IF(E1134&lt;=301,E1134/3,E1134/4))))</f>
        <v>577.994508</v>
      </c>
      <c r="G1134" s="174"/>
      <c r="H1134" s="174"/>
      <c r="I1134" s="38"/>
      <c r="N1134" s="38"/>
    </row>
    <row r="1135" spans="1:14" s="107" customFormat="1" ht="15.75" customHeight="1" x14ac:dyDescent="0.35">
      <c r="A1135" s="174">
        <f t="shared" si="276"/>
        <v>5</v>
      </c>
      <c r="B1135" s="174"/>
      <c r="C1135" s="123" t="s">
        <v>200</v>
      </c>
      <c r="D1135" s="123">
        <f>(27.66+3.16*0.75)*10.764</f>
        <v>323.24291999999997</v>
      </c>
      <c r="E1135" s="123">
        <f>(6.17*1.2+2.7*1.8+4.2*1.2)*10.764</f>
        <v>186.26025599999997</v>
      </c>
      <c r="F1135" s="123">
        <f t="shared" si="277"/>
        <v>577.994508</v>
      </c>
      <c r="G1135" s="174"/>
      <c r="H1135" s="174"/>
      <c r="I1135" s="38"/>
      <c r="N1135" s="38"/>
    </row>
    <row r="1136" spans="1:14" s="107" customFormat="1" ht="15.75" customHeight="1" x14ac:dyDescent="0.35">
      <c r="A1136" s="174">
        <f t="shared" si="276"/>
        <v>6</v>
      </c>
      <c r="B1136" s="174"/>
      <c r="C1136" s="123" t="s">
        <v>200</v>
      </c>
      <c r="D1136" s="123">
        <f>(27.66+1.8*1.2+3.16*0.75)*10.764</f>
        <v>346.49315999999993</v>
      </c>
      <c r="E1136" s="123">
        <f>(5*1.2)*10.764</f>
        <v>64.584000000000003</v>
      </c>
      <c r="F1136" s="123">
        <f t="shared" si="277"/>
        <v>584.32373999999982</v>
      </c>
      <c r="G1136" s="174"/>
      <c r="H1136" s="174"/>
      <c r="I1136" s="38"/>
      <c r="N1136" s="38"/>
    </row>
    <row r="1137" spans="1:14" s="107" customFormat="1" ht="15.75" customHeight="1" x14ac:dyDescent="0.35">
      <c r="A1137" s="174">
        <f t="shared" si="276"/>
        <v>7</v>
      </c>
      <c r="B1137" s="174"/>
      <c r="C1137" s="123" t="s">
        <v>200</v>
      </c>
      <c r="D1137" s="123">
        <f>(27.66+3.16*0.75)*10.764</f>
        <v>323.24291999999997</v>
      </c>
      <c r="E1137" s="123">
        <f>(6.17*1.2+2.7*1.8+4.2*1.2)*10.764</f>
        <v>186.26025599999997</v>
      </c>
      <c r="F1137" s="123">
        <f t="shared" si="277"/>
        <v>577.994508</v>
      </c>
      <c r="G1137" s="174"/>
      <c r="H1137" s="174"/>
      <c r="I1137" s="38"/>
      <c r="N1137" s="38"/>
    </row>
    <row r="1138" spans="1:14" s="107" customFormat="1" ht="15.75" customHeight="1" x14ac:dyDescent="0.35">
      <c r="A1138" s="174">
        <f t="shared" si="276"/>
        <v>8</v>
      </c>
      <c r="B1138" s="174"/>
      <c r="C1138" s="123" t="s">
        <v>200</v>
      </c>
      <c r="D1138" s="123">
        <f>(27.66+1.2*1.2+3.16*0.75)*10.764</f>
        <v>338.74308000000002</v>
      </c>
      <c r="E1138" s="123">
        <f>(5*1.2+4.2*1.2+1.9*3.12)*10.764</f>
        <v>182.643552</v>
      </c>
      <c r="F1138" s="123">
        <f>D1138*(($F$422)+1)+(IF(E1138&lt;101,E1138,IF(E1138&lt;201,E1138/2,IF(E1138&lt;=301,E1138/3,E1138/4))))</f>
        <v>599.43639600000006</v>
      </c>
      <c r="G1138" s="174"/>
      <c r="H1138" s="174"/>
      <c r="I1138" s="38"/>
      <c r="N1138" s="38"/>
    </row>
    <row r="1139" spans="1:14" s="107" customFormat="1" ht="15.75" customHeight="1" x14ac:dyDescent="0.35">
      <c r="A1139" s="174">
        <f t="shared" si="276"/>
        <v>9</v>
      </c>
      <c r="B1139" s="174"/>
      <c r="C1139" s="123" t="s">
        <v>200</v>
      </c>
      <c r="D1139" s="123">
        <f>(27.66+3.16*0.75+1.2*1.2)*10.764</f>
        <v>338.74308000000002</v>
      </c>
      <c r="E1139" s="123">
        <f>(3.5*1.8)*10.764</f>
        <v>67.813199999999995</v>
      </c>
      <c r="F1139" s="123">
        <f t="shared" ref="F1139:F1142" si="278">D1139*(($F$422)+1)+(IF(E1139&lt;101,E1139,IF(E1139&lt;201,E1139/2,IF(E1139&lt;=301,E1139/3,E1139/4))))</f>
        <v>575.92782000000011</v>
      </c>
      <c r="G1139" s="174"/>
      <c r="H1139" s="174"/>
      <c r="I1139" s="38"/>
      <c r="N1139" s="38"/>
    </row>
    <row r="1140" spans="1:14" s="107" customFormat="1" ht="15.75" customHeight="1" x14ac:dyDescent="0.35">
      <c r="A1140" s="174">
        <f t="shared" si="276"/>
        <v>10</v>
      </c>
      <c r="B1140" s="174"/>
      <c r="C1140" s="123" t="s">
        <v>200</v>
      </c>
      <c r="D1140" s="123">
        <f t="shared" ref="D1140:D1143" si="279">(27.66+3.16*0.75)*10.764</f>
        <v>323.24291999999997</v>
      </c>
      <c r="E1140" s="123">
        <f t="shared" ref="E1140:E1143" si="280">(5*1.2+3.5*1.8)*10.764</f>
        <v>132.3972</v>
      </c>
      <c r="F1140" s="123">
        <f t="shared" si="278"/>
        <v>551.06297999999992</v>
      </c>
      <c r="G1140" s="174"/>
      <c r="H1140" s="174"/>
      <c r="I1140" s="38"/>
      <c r="N1140" s="38"/>
    </row>
    <row r="1141" spans="1:14" s="107" customFormat="1" ht="15.75" customHeight="1" x14ac:dyDescent="0.35">
      <c r="A1141" s="174">
        <f t="shared" si="276"/>
        <v>11</v>
      </c>
      <c r="B1141" s="174"/>
      <c r="C1141" s="123" t="s">
        <v>200</v>
      </c>
      <c r="D1141" s="123">
        <f>(27.66+3.16*0.75+1.2*1.2)*10.764</f>
        <v>338.74308000000002</v>
      </c>
      <c r="E1141" s="123">
        <f>(3.5*1.8)*10.764</f>
        <v>67.813199999999995</v>
      </c>
      <c r="F1141" s="123">
        <f t="shared" si="278"/>
        <v>575.92782000000011</v>
      </c>
      <c r="G1141" s="174"/>
      <c r="H1141" s="174"/>
      <c r="I1141" s="38"/>
      <c r="N1141" s="38"/>
    </row>
    <row r="1142" spans="1:14" s="107" customFormat="1" ht="15.75" customHeight="1" x14ac:dyDescent="0.35">
      <c r="A1142" s="174">
        <f t="shared" si="276"/>
        <v>12</v>
      </c>
      <c r="B1142" s="174"/>
      <c r="C1142" s="123" t="s">
        <v>200</v>
      </c>
      <c r="D1142" s="123">
        <f>(27.66+3.16*0.75)*10.764</f>
        <v>323.24291999999997</v>
      </c>
      <c r="E1142" s="123">
        <f t="shared" si="280"/>
        <v>132.3972</v>
      </c>
      <c r="F1142" s="123">
        <f t="shared" si="278"/>
        <v>551.06297999999992</v>
      </c>
      <c r="G1142" s="174"/>
      <c r="H1142" s="174"/>
      <c r="I1142" s="38"/>
      <c r="N1142" s="38"/>
    </row>
    <row r="1143" spans="1:14" s="107" customFormat="1" ht="15.75" customHeight="1" x14ac:dyDescent="0.35">
      <c r="A1143" s="174">
        <f t="shared" si="276"/>
        <v>13</v>
      </c>
      <c r="B1143" s="174"/>
      <c r="C1143" s="123" t="s">
        <v>200</v>
      </c>
      <c r="D1143" s="123">
        <f t="shared" si="279"/>
        <v>323.24291999999997</v>
      </c>
      <c r="E1143" s="123">
        <f t="shared" si="280"/>
        <v>132.3972</v>
      </c>
      <c r="F1143" s="123">
        <f>D1143*(($F$422)+1)+(IF(E1143&lt;101,E1143,IF(E1143&lt;201,E1143/2,IF(E1143&lt;=301,E1143/3,E1143/4))))</f>
        <v>551.06297999999992</v>
      </c>
      <c r="G1143" s="174"/>
      <c r="H1143" s="174"/>
      <c r="I1143" s="38"/>
      <c r="N1143" s="38"/>
    </row>
    <row r="1144" spans="1:14" s="107" customFormat="1" ht="15.75" customHeight="1" x14ac:dyDescent="0.35">
      <c r="A1144" s="174">
        <f t="shared" si="276"/>
        <v>14</v>
      </c>
      <c r="B1144" s="174"/>
      <c r="C1144" s="123" t="s">
        <v>200</v>
      </c>
      <c r="D1144" s="123">
        <f>(27.66+1.2*1.2+3.16*0.75)*10.764</f>
        <v>338.74308000000002</v>
      </c>
      <c r="E1144" s="123">
        <f>(3.5*1.8)*10.764</f>
        <v>67.813199999999995</v>
      </c>
      <c r="F1144" s="123">
        <f t="shared" ref="F1144" si="281">D1144*(($F$422)+1)+(IF(E1144&lt;101,E1144,IF(E1144&lt;201,E1144/2,IF(E1144&lt;=301,E1144/3,E1144/4))))</f>
        <v>575.92782000000011</v>
      </c>
      <c r="G1144" s="174"/>
      <c r="H1144" s="174"/>
      <c r="I1144" s="38"/>
      <c r="N1144" s="38"/>
    </row>
    <row r="1145" spans="1:14" s="107" customFormat="1" ht="15.75" customHeight="1" x14ac:dyDescent="0.35">
      <c r="A1145" s="174">
        <f t="shared" si="276"/>
        <v>15</v>
      </c>
      <c r="B1145" s="174"/>
      <c r="C1145" s="123" t="s">
        <v>200</v>
      </c>
      <c r="D1145" s="123">
        <f>(27.66+1.2*1.8+3.16*0.75)*10.764</f>
        <v>346.49315999999993</v>
      </c>
      <c r="E1145" s="123">
        <f>(5*1.2)*10.764</f>
        <v>64.584000000000003</v>
      </c>
      <c r="F1145" s="123">
        <f>D1145*(($F$422)+1)+(IF(E1145&lt;101,E1145,IF(E1145&lt;201,E1145/2,IF(E1145&lt;=301,E1145/3,E1145/4))))</f>
        <v>584.32373999999982</v>
      </c>
      <c r="G1145" s="174"/>
      <c r="H1145" s="174"/>
      <c r="I1145" s="38"/>
      <c r="N1145" s="38"/>
    </row>
    <row r="1146" spans="1:14" s="107" customFormat="1" ht="15.75" customHeight="1" x14ac:dyDescent="0.35">
      <c r="A1146" s="174">
        <f t="shared" si="276"/>
        <v>16</v>
      </c>
      <c r="B1146" s="174"/>
      <c r="C1146" s="123" t="s">
        <v>200</v>
      </c>
      <c r="D1146" s="123">
        <f>(27.66+1.2*1.8+3.16*0.75)*10.764</f>
        <v>346.49315999999993</v>
      </c>
      <c r="E1146" s="123">
        <f>(5*1.2)*10.764</f>
        <v>64.584000000000003</v>
      </c>
      <c r="F1146" s="123">
        <f t="shared" ref="F1146:F1147" si="282">D1146*(($F$422)+1)+(IF(E1146&lt;101,E1146,IF(E1146&lt;201,E1146/2,IF(E1146&lt;=301,E1146/3,E1146/4))))</f>
        <v>584.32373999999982</v>
      </c>
      <c r="G1146" s="174"/>
      <c r="H1146" s="174"/>
      <c r="I1146" s="38"/>
      <c r="N1146" s="38"/>
    </row>
    <row r="1147" spans="1:14" s="107" customFormat="1" ht="15.75" customHeight="1" x14ac:dyDescent="0.35">
      <c r="A1147" s="174">
        <f t="shared" si="276"/>
        <v>17</v>
      </c>
      <c r="B1147" s="174"/>
      <c r="C1147" s="123" t="s">
        <v>200</v>
      </c>
      <c r="D1147" s="123">
        <f>(27.66+3.16*0.75+1.2*1.2)*10.764</f>
        <v>338.74308000000002</v>
      </c>
      <c r="E1147" s="123">
        <f>(3.5*1.8)*10.764</f>
        <v>67.813199999999995</v>
      </c>
      <c r="F1147" s="123">
        <f t="shared" si="282"/>
        <v>575.92782000000011</v>
      </c>
      <c r="G1147" s="174"/>
      <c r="H1147" s="174"/>
      <c r="I1147" s="38"/>
      <c r="N1147" s="38"/>
    </row>
    <row r="1148" spans="1:14" s="107" customFormat="1" ht="15.75" customHeight="1" x14ac:dyDescent="0.35">
      <c r="A1148" s="174">
        <f t="shared" si="276"/>
        <v>18</v>
      </c>
      <c r="B1148" s="174"/>
      <c r="C1148" s="123" t="s">
        <v>200</v>
      </c>
      <c r="D1148" s="123">
        <f>(27.66+3.16*0.75+1.2*1.2)*10.764</f>
        <v>338.74308000000002</v>
      </c>
      <c r="E1148" s="123">
        <f>(3.5*1.8)*10.764</f>
        <v>67.813199999999995</v>
      </c>
      <c r="F1148" s="123">
        <f>D1148*(($F$422)+1)+(IF(E1148&lt;101,E1148,IF(E1148&lt;201,E1148/2,IF(E1148&lt;=301,E1148/3,E1148/4))))</f>
        <v>575.92782000000011</v>
      </c>
      <c r="G1148" s="174"/>
      <c r="H1148" s="174"/>
      <c r="I1148" s="38"/>
      <c r="N1148" s="38"/>
    </row>
    <row r="1149" spans="1:14" s="107" customFormat="1" ht="15.75" customHeight="1" x14ac:dyDescent="0.35">
      <c r="A1149" s="174">
        <f t="shared" si="276"/>
        <v>19</v>
      </c>
      <c r="B1149" s="174"/>
      <c r="C1149" s="123" t="s">
        <v>200</v>
      </c>
      <c r="D1149" s="123">
        <f t="shared" ref="D1149:D1151" si="283">(27.66+3.16*0.75)*10.764</f>
        <v>323.24291999999997</v>
      </c>
      <c r="E1149" s="123">
        <f t="shared" ref="E1149:E1151" si="284">(5*1.2+3.5*1.8)*10.764</f>
        <v>132.3972</v>
      </c>
      <c r="F1149" s="123">
        <f t="shared" ref="F1149:F1153" si="285">D1149*(($F$422)+1)+(IF(E1149&lt;101,E1149,IF(E1149&lt;201,E1149/2,IF(E1149&lt;=301,E1149/3,E1149/4))))</f>
        <v>551.06297999999992</v>
      </c>
      <c r="G1149" s="174"/>
      <c r="H1149" s="174"/>
      <c r="I1149" s="38"/>
      <c r="N1149" s="38"/>
    </row>
    <row r="1150" spans="1:14" s="107" customFormat="1" ht="15.75" customHeight="1" x14ac:dyDescent="0.35">
      <c r="A1150" s="174">
        <f t="shared" si="276"/>
        <v>20</v>
      </c>
      <c r="B1150" s="174"/>
      <c r="C1150" s="123" t="s">
        <v>200</v>
      </c>
      <c r="D1150" s="123">
        <f>(27.66+3.16*0.75+1.2*1.2)*10.764</f>
        <v>338.74308000000002</v>
      </c>
      <c r="E1150" s="123">
        <f>(3.5*1.8)*10.764</f>
        <v>67.813199999999995</v>
      </c>
      <c r="F1150" s="123">
        <f t="shared" si="285"/>
        <v>575.92782000000011</v>
      </c>
      <c r="G1150" s="174"/>
      <c r="H1150" s="174"/>
      <c r="I1150" s="38"/>
      <c r="N1150" s="38"/>
    </row>
    <row r="1151" spans="1:14" s="107" customFormat="1" ht="15.75" customHeight="1" x14ac:dyDescent="0.35">
      <c r="A1151" s="174">
        <f t="shared" si="276"/>
        <v>21</v>
      </c>
      <c r="B1151" s="174"/>
      <c r="C1151" s="123" t="s">
        <v>200</v>
      </c>
      <c r="D1151" s="123">
        <f t="shared" si="283"/>
        <v>323.24291999999997</v>
      </c>
      <c r="E1151" s="123">
        <f t="shared" si="284"/>
        <v>132.3972</v>
      </c>
      <c r="F1151" s="123">
        <f t="shared" si="285"/>
        <v>551.06297999999992</v>
      </c>
      <c r="G1151" s="174"/>
      <c r="H1151" s="174"/>
      <c r="I1151" s="38"/>
      <c r="N1151" s="38"/>
    </row>
    <row r="1152" spans="1:14" s="107" customFormat="1" ht="15.75" customHeight="1" x14ac:dyDescent="0.35">
      <c r="A1152" s="174">
        <f t="shared" si="276"/>
        <v>22</v>
      </c>
      <c r="B1152" s="174"/>
      <c r="C1152" s="123" t="s">
        <v>200</v>
      </c>
      <c r="D1152" s="123">
        <f>(27.66+1.2*1.2+3.16*0.75)*10.764</f>
        <v>338.74308000000002</v>
      </c>
      <c r="E1152" s="123">
        <f>(3.5*1.8)*10.764</f>
        <v>67.813199999999995</v>
      </c>
      <c r="F1152" s="123">
        <f t="shared" si="285"/>
        <v>575.92782000000011</v>
      </c>
      <c r="G1152" s="174"/>
      <c r="H1152" s="174"/>
      <c r="I1152" s="38"/>
      <c r="N1152" s="38"/>
    </row>
    <row r="1153" spans="1:14" s="107" customFormat="1" ht="15.75" customHeight="1" x14ac:dyDescent="0.35">
      <c r="A1153" s="174">
        <f t="shared" si="276"/>
        <v>23</v>
      </c>
      <c r="B1153" s="174"/>
      <c r="C1153" s="123" t="s">
        <v>200</v>
      </c>
      <c r="D1153" s="123">
        <f>(27.66+3.16*0.75+1.2*1.8)*10.764</f>
        <v>346.49315999999993</v>
      </c>
      <c r="E1153" s="123">
        <f>(5*1.2)*10.764</f>
        <v>64.584000000000003</v>
      </c>
      <c r="F1153" s="123">
        <f t="shared" si="285"/>
        <v>584.32373999999982</v>
      </c>
      <c r="G1153" s="174"/>
      <c r="H1153" s="174"/>
      <c r="I1153" s="38"/>
      <c r="N1153" s="38"/>
    </row>
    <row r="1154" spans="1:14" s="107" customFormat="1" ht="15.75" customHeight="1" x14ac:dyDescent="0.35">
      <c r="A1154" s="174">
        <f t="shared" si="276"/>
        <v>24</v>
      </c>
      <c r="B1154" s="174"/>
      <c r="C1154" s="123" t="s">
        <v>200</v>
      </c>
      <c r="D1154" s="123">
        <f>(27.66+3.16*0.75+1.2*1.2)*10.764</f>
        <v>338.74308000000002</v>
      </c>
      <c r="E1154" s="123">
        <f>(3.5*1.8)*10.764</f>
        <v>67.813199999999995</v>
      </c>
      <c r="F1154" s="123">
        <f>D1154*(($F$422)+1)+(IF(E1154&lt;101,E1154,IF(E1154&lt;201,E1154/2,IF(E1154&lt;=301,E1154/3,E1154/4))))</f>
        <v>575.92782000000011</v>
      </c>
      <c r="G1154" s="174"/>
      <c r="H1154" s="174"/>
      <c r="I1154" s="38"/>
      <c r="N1154" s="38"/>
    </row>
    <row r="1155" spans="1:14" s="107" customFormat="1" ht="15.75" customHeight="1" x14ac:dyDescent="0.35">
      <c r="A1155" s="174">
        <f t="shared" si="276"/>
        <v>25</v>
      </c>
      <c r="B1155" s="174"/>
      <c r="C1155" s="123" t="s">
        <v>200</v>
      </c>
      <c r="D1155" s="123">
        <f t="shared" ref="D1155:D1156" si="286">(27.66+3.16*0.75)*10.764</f>
        <v>323.24291999999997</v>
      </c>
      <c r="E1155" s="123">
        <f>(3.5*1.8+5*1.2)*10.764</f>
        <v>132.3972</v>
      </c>
      <c r="F1155" s="123">
        <f t="shared" ref="F1155:F1161" si="287">D1155*(($F$422)+1)+(IF(E1155&lt;101,E1155,IF(E1155&lt;201,E1155/2,IF(E1155&lt;=301,E1155/3,E1155/4))))</f>
        <v>551.06297999999992</v>
      </c>
      <c r="G1155" s="174"/>
      <c r="H1155" s="174"/>
      <c r="I1155" s="38"/>
      <c r="N1155" s="38"/>
    </row>
    <row r="1156" spans="1:14" s="107" customFormat="1" ht="15.75" customHeight="1" x14ac:dyDescent="0.35">
      <c r="A1156" s="174">
        <f t="shared" si="276"/>
        <v>26</v>
      </c>
      <c r="B1156" s="174"/>
      <c r="C1156" s="123" t="s">
        <v>200</v>
      </c>
      <c r="D1156" s="123">
        <f t="shared" si="286"/>
        <v>323.24291999999997</v>
      </c>
      <c r="E1156" s="123">
        <f>(3.5*1.8+5*1.2)*10.764</f>
        <v>132.3972</v>
      </c>
      <c r="F1156" s="123">
        <f t="shared" si="287"/>
        <v>551.06297999999992</v>
      </c>
      <c r="G1156" s="174"/>
      <c r="H1156" s="174"/>
      <c r="I1156" s="38"/>
      <c r="N1156" s="38"/>
    </row>
    <row r="1157" spans="1:14" s="107" customFormat="1" ht="15.75" customHeight="1" x14ac:dyDescent="0.35">
      <c r="A1157" s="174">
        <f t="shared" si="276"/>
        <v>27</v>
      </c>
      <c r="B1157" s="174"/>
      <c r="C1157" s="123" t="s">
        <v>200</v>
      </c>
      <c r="D1157" s="123">
        <f>(27.66+1.2*1.2+3.16*0.75)*10.764</f>
        <v>338.74308000000002</v>
      </c>
      <c r="E1157" s="123">
        <f>(3.5*1.8)*10.764</f>
        <v>67.813199999999995</v>
      </c>
      <c r="F1157" s="123">
        <f t="shared" si="287"/>
        <v>575.92782000000011</v>
      </c>
      <c r="G1157" s="174"/>
      <c r="H1157" s="174"/>
      <c r="I1157" s="38"/>
      <c r="N1157" s="38"/>
    </row>
    <row r="1158" spans="1:14" s="107" customFormat="1" ht="15.75" customHeight="1" x14ac:dyDescent="0.35">
      <c r="A1158" s="174">
        <f t="shared" si="276"/>
        <v>28</v>
      </c>
      <c r="B1158" s="174"/>
      <c r="C1158" s="123" t="s">
        <v>200</v>
      </c>
      <c r="D1158" s="123">
        <f>(27.66+1.2*1.8+3.16*0.75)*10.764</f>
        <v>346.49315999999993</v>
      </c>
      <c r="E1158" s="123">
        <f>(5*1.2)*10.764</f>
        <v>64.584000000000003</v>
      </c>
      <c r="F1158" s="123">
        <f t="shared" si="287"/>
        <v>584.32373999999982</v>
      </c>
      <c r="G1158" s="174"/>
      <c r="H1158" s="174"/>
      <c r="I1158" s="38"/>
      <c r="N1158" s="38"/>
    </row>
    <row r="1159" spans="1:14" s="107" customFormat="1" ht="15.75" customHeight="1" x14ac:dyDescent="0.35">
      <c r="A1159" s="174">
        <f t="shared" si="276"/>
        <v>29</v>
      </c>
      <c r="B1159" s="174"/>
      <c r="C1159" s="123" t="s">
        <v>200</v>
      </c>
      <c r="D1159" s="123">
        <f>(27.66+1.2*1.2+3.16*0.75)*10.764</f>
        <v>338.74308000000002</v>
      </c>
      <c r="E1159" s="123">
        <f>(3.5*1.8+2.4*3.5)*10.764</f>
        <v>158.23079999999999</v>
      </c>
      <c r="F1159" s="123">
        <f t="shared" si="287"/>
        <v>587.23002000000008</v>
      </c>
      <c r="G1159" s="174"/>
      <c r="H1159" s="174"/>
      <c r="I1159" s="38"/>
      <c r="N1159" s="38"/>
    </row>
    <row r="1160" spans="1:14" s="107" customFormat="1" ht="15.75" customHeight="1" x14ac:dyDescent="0.35">
      <c r="A1160" s="174">
        <f t="shared" si="276"/>
        <v>30</v>
      </c>
      <c r="B1160" s="174"/>
      <c r="C1160" s="123" t="s">
        <v>200</v>
      </c>
      <c r="D1160" s="123">
        <f>(27.66+3.16*0.75)*10.764</f>
        <v>323.24291999999997</v>
      </c>
      <c r="E1160" s="123">
        <f>(5*1.2+3.5*1.8)*10.764</f>
        <v>132.3972</v>
      </c>
      <c r="F1160" s="123">
        <f t="shared" si="287"/>
        <v>551.06297999999992</v>
      </c>
      <c r="G1160" s="174"/>
      <c r="H1160" s="174"/>
      <c r="I1160" s="38"/>
      <c r="N1160" s="38"/>
    </row>
    <row r="1161" spans="1:14" s="107" customFormat="1" ht="15.75" customHeight="1" x14ac:dyDescent="0.35">
      <c r="A1161" s="174">
        <f t="shared" si="276"/>
        <v>31</v>
      </c>
      <c r="B1161" s="174"/>
      <c r="C1161" s="123" t="s">
        <v>200</v>
      </c>
      <c r="D1161" s="123">
        <f>(27.66+3.16*0.75+1.2*1.2)*10.764</f>
        <v>338.74308000000002</v>
      </c>
      <c r="E1161" s="123">
        <f>(2.7*3.5+3.5*1.8)*10.764</f>
        <v>169.53299999999999</v>
      </c>
      <c r="F1161" s="123">
        <f t="shared" si="287"/>
        <v>592.88112000000001</v>
      </c>
      <c r="G1161" s="174"/>
      <c r="H1161" s="174"/>
      <c r="I1161" s="38"/>
      <c r="N1161" s="38"/>
    </row>
    <row r="1162" spans="1:14" s="107" customFormat="1" ht="15.75" customHeight="1" x14ac:dyDescent="0.35">
      <c r="A1162" s="174">
        <f t="shared" si="276"/>
        <v>32</v>
      </c>
      <c r="B1162" s="174"/>
      <c r="C1162" s="123" t="s">
        <v>200</v>
      </c>
      <c r="D1162" s="123">
        <f t="shared" ref="D1162:D1163" si="288">(27.66+3.16*0.75)*10.764</f>
        <v>323.24291999999997</v>
      </c>
      <c r="E1162" s="123">
        <f>(5*1.2+3.5*1.8)*10.764</f>
        <v>132.3972</v>
      </c>
      <c r="F1162" s="123">
        <f>D1162*(($F$422)+1)+(IF(E1162&lt;101,E1162,IF(E1162&lt;201,E1162/2,IF(E1162&lt;=301,E1162/3,E1162/4))))</f>
        <v>551.06297999999992</v>
      </c>
      <c r="G1162" s="174"/>
      <c r="H1162" s="174"/>
      <c r="I1162" s="38"/>
      <c r="N1162" s="38"/>
    </row>
    <row r="1163" spans="1:14" s="107" customFormat="1" ht="15.75" customHeight="1" x14ac:dyDescent="0.35">
      <c r="A1163" s="174">
        <f t="shared" si="276"/>
        <v>33</v>
      </c>
      <c r="B1163" s="174"/>
      <c r="C1163" s="123" t="s">
        <v>200</v>
      </c>
      <c r="D1163" s="123">
        <f t="shared" si="288"/>
        <v>323.24291999999997</v>
      </c>
      <c r="E1163" s="123">
        <f>(5*1.2+3.5*1.8)*10.764</f>
        <v>132.3972</v>
      </c>
      <c r="F1163" s="123">
        <f t="shared" ref="F1163" si="289">D1163*(($F$422)+1)+(IF(E1163&lt;101,E1163,IF(E1163&lt;201,E1163/2,IF(E1163&lt;=301,E1163/3,E1163/4))))</f>
        <v>551.06297999999992</v>
      </c>
      <c r="G1163" s="174"/>
      <c r="H1163" s="174"/>
      <c r="I1163" s="38"/>
      <c r="N1163" s="38"/>
    </row>
    <row r="1164" spans="1:14" s="107" customFormat="1" ht="15.75" customHeight="1" x14ac:dyDescent="0.35">
      <c r="A1164" s="174">
        <f t="shared" si="276"/>
        <v>34</v>
      </c>
      <c r="B1164" s="174"/>
      <c r="C1164" s="123" t="s">
        <v>200</v>
      </c>
      <c r="D1164" s="123">
        <f>(27.66+3.16*0.75+1.2*1.2)*10.764</f>
        <v>338.74308000000002</v>
      </c>
      <c r="E1164" s="123">
        <f>(3.5*1.8)*10.764</f>
        <v>67.813199999999995</v>
      </c>
      <c r="F1164" s="123">
        <f>D1164*(($F$422)+1)+(IF(E1164&lt;101,E1164,IF(E1164&lt;201,E1164/2,IF(E1164&lt;=301,E1164/3,E1164/4))))</f>
        <v>575.92782000000011</v>
      </c>
      <c r="G1164" s="174"/>
      <c r="H1164" s="174"/>
      <c r="I1164" s="38"/>
      <c r="N1164" s="38"/>
    </row>
    <row r="1165" spans="1:14" s="107" customFormat="1" ht="15.75" customHeight="1" x14ac:dyDescent="0.35">
      <c r="A1165" s="174">
        <f t="shared" si="276"/>
        <v>35</v>
      </c>
      <c r="B1165" s="174"/>
      <c r="C1165" s="123" t="s">
        <v>200</v>
      </c>
      <c r="D1165" s="123">
        <f>(27.66+3.16*0.75+1.2*1.8)*10.764</f>
        <v>346.49315999999993</v>
      </c>
      <c r="E1165" s="123">
        <f>(5*1.2)*10.764</f>
        <v>64.584000000000003</v>
      </c>
      <c r="F1165" s="123">
        <f t="shared" ref="F1165:F1166" si="290">D1165*(($F$422)+1)+(IF(E1165&lt;101,E1165,IF(E1165&lt;201,E1165/2,IF(E1165&lt;=301,E1165/3,E1165/4))))</f>
        <v>584.32373999999982</v>
      </c>
      <c r="G1165" s="174"/>
      <c r="H1165" s="174"/>
      <c r="I1165" s="38"/>
      <c r="N1165" s="38"/>
    </row>
    <row r="1166" spans="1:14" s="107" customFormat="1" ht="15.75" customHeight="1" x14ac:dyDescent="0.35">
      <c r="A1166" s="174">
        <f t="shared" si="276"/>
        <v>36</v>
      </c>
      <c r="B1166" s="174"/>
      <c r="C1166" s="123" t="s">
        <v>200</v>
      </c>
      <c r="D1166" s="123">
        <f>(27.66+1.2*1.2+1.2*1.8+3.16*0.75)*10.764</f>
        <v>361.99331999999998</v>
      </c>
      <c r="E1166" s="123">
        <v>0</v>
      </c>
      <c r="F1166" s="123">
        <f t="shared" si="290"/>
        <v>542.98997999999995</v>
      </c>
      <c r="G1166" s="174"/>
      <c r="H1166" s="174"/>
      <c r="I1166" s="38"/>
      <c r="N1166" s="38"/>
    </row>
    <row r="1167" spans="1:14" s="107" customFormat="1" ht="15.75" customHeight="1" x14ac:dyDescent="0.35">
      <c r="A1167" s="174">
        <f t="shared" si="276"/>
        <v>37</v>
      </c>
      <c r="B1167" s="174"/>
      <c r="C1167" s="123" t="s">
        <v>200</v>
      </c>
      <c r="D1167" s="123">
        <f>(27.66+1.2*1.2+1.2*1.8+3.16*0.75)*10.764</f>
        <v>361.99331999999998</v>
      </c>
      <c r="E1167" s="123">
        <v>0</v>
      </c>
      <c r="F1167" s="123">
        <f>D1167*(($F$422)+1)+(IF(E1167&lt;101,E1167,IF(E1167&lt;201,E1167/2,IF(E1167&lt;=301,E1167/3,E1167/4))))</f>
        <v>542.98997999999995</v>
      </c>
      <c r="G1167" s="174"/>
      <c r="H1167" s="174"/>
      <c r="I1167" s="38"/>
      <c r="N1167" s="38"/>
    </row>
    <row r="1168" spans="1:14" s="107" customFormat="1" ht="15.75" customHeight="1" x14ac:dyDescent="0.35">
      <c r="A1168" s="174">
        <f t="shared" si="276"/>
        <v>38</v>
      </c>
      <c r="B1168" s="174"/>
      <c r="C1168" s="123" t="s">
        <v>200</v>
      </c>
      <c r="D1168" s="123">
        <f>(27.66+1.2*1.8+3.16*0.75)*10.764</f>
        <v>346.49315999999993</v>
      </c>
      <c r="E1168" s="123">
        <f>(5*1.2)*10.764</f>
        <v>64.584000000000003</v>
      </c>
      <c r="F1168" s="123">
        <f>D1168*(($F$422)+1)+(IF(E1168&lt;101,E1168,IF(E1168&lt;201,E1168/2,IF(E1168&lt;=301,E1168/3,E1168/4))))</f>
        <v>584.32373999999982</v>
      </c>
      <c r="G1168" s="174"/>
      <c r="H1168" s="174"/>
      <c r="I1168" s="38"/>
      <c r="N1168" s="38"/>
    </row>
    <row r="1169" spans="1:14" s="107" customFormat="1" ht="15.75" customHeight="1" x14ac:dyDescent="0.35">
      <c r="A1169" s="174">
        <f t="shared" si="276"/>
        <v>39</v>
      </c>
      <c r="B1169" s="174"/>
      <c r="C1169" s="123" t="s">
        <v>200</v>
      </c>
      <c r="D1169" s="123">
        <f>(27.66+1.2*1.2+3.16*0.75)*10.764</f>
        <v>338.74308000000002</v>
      </c>
      <c r="E1169" s="123">
        <f>(3.5*1.8)*10.764</f>
        <v>67.813199999999995</v>
      </c>
      <c r="F1169" s="123">
        <f>D1169*(($F$422)+1)+(IF(E1169&lt;101,E1169,IF(E1169&lt;201,E1169/2,IF(E1169&lt;=301,E1169/3,E1169/4))))</f>
        <v>575.92782000000011</v>
      </c>
      <c r="G1169" s="174"/>
      <c r="H1169" s="174"/>
      <c r="I1169" s="38"/>
      <c r="N1169" s="38"/>
    </row>
    <row r="1170" spans="1:14" s="107" customFormat="1" ht="15.75" customHeight="1" x14ac:dyDescent="0.35">
      <c r="A1170" s="174">
        <f t="shared" si="276"/>
        <v>40</v>
      </c>
      <c r="B1170" s="174"/>
      <c r="C1170" s="123" t="s">
        <v>200</v>
      </c>
      <c r="D1170" s="123">
        <f>(27.66+1.2*1.2+3.16*0.75)*10.764</f>
        <v>338.74308000000002</v>
      </c>
      <c r="E1170" s="123">
        <f>(3.5*1.8)*10.764</f>
        <v>67.813199999999995</v>
      </c>
      <c r="F1170" s="123">
        <f>D1170*(($F$422)+1)+(IF(E1170&lt;101,E1170,IF(E1170&lt;201,E1170/2,IF(E1170&lt;=301,E1170/3,E1170/4))))</f>
        <v>575.92782000000011</v>
      </c>
      <c r="G1170" s="174"/>
      <c r="H1170" s="174"/>
      <c r="I1170" s="38"/>
      <c r="N1170" s="38"/>
    </row>
    <row r="1171" spans="1:14" s="107" customFormat="1" ht="15.75" customHeight="1" x14ac:dyDescent="0.35">
      <c r="A1171" s="174">
        <f t="shared" si="276"/>
        <v>41</v>
      </c>
      <c r="B1171" s="174"/>
      <c r="C1171" s="123" t="s">
        <v>200</v>
      </c>
      <c r="D1171" s="123">
        <f>(27.66+1.2*1.8+3.16*0.75)*10.764</f>
        <v>346.49315999999993</v>
      </c>
      <c r="E1171" s="123">
        <f>(5*1.2)*10.764</f>
        <v>64.584000000000003</v>
      </c>
      <c r="F1171" s="123">
        <f>D1171*(($F$422)+1)+(IF(E1171&lt;101,E1171,IF(E1171&lt;201,E1171/2,IF(E1171&lt;=301,E1171/3,E1171/4))))</f>
        <v>584.32373999999982</v>
      </c>
      <c r="G1171" s="174"/>
      <c r="H1171" s="174"/>
      <c r="I1171" s="38"/>
      <c r="N1171" s="38"/>
    </row>
    <row r="1172" spans="1:14" s="107" customFormat="1" x14ac:dyDescent="0.35">
      <c r="A1172" s="183" t="s">
        <v>171</v>
      </c>
      <c r="B1172" s="183"/>
      <c r="C1172" s="183"/>
      <c r="D1172" s="183"/>
      <c r="E1172" s="183"/>
      <c r="F1172" s="183"/>
      <c r="G1172" s="183"/>
      <c r="H1172" s="183"/>
      <c r="I1172" s="38"/>
      <c r="L1172" s="182"/>
      <c r="M1172" s="182"/>
    </row>
    <row r="1173" spans="1:14" s="107" customFormat="1" ht="15.75" customHeight="1" x14ac:dyDescent="0.35">
      <c r="A1173" s="174">
        <v>1</v>
      </c>
      <c r="B1173" s="174"/>
      <c r="C1173" s="123" t="s">
        <v>200</v>
      </c>
      <c r="D1173" s="123">
        <f>(23.69+1.8*(1.5+1.2)+0.6*1.68+3.16*0.75+1.2*1.2)*10.764</f>
        <v>359.17315200000002</v>
      </c>
      <c r="E1173" s="123">
        <v>0</v>
      </c>
      <c r="F1173" s="123">
        <f t="shared" ref="F1173:F1174" si="291">D1173*(($F$422)+1)+(IF(E1173&lt;101,E1173,IF(E1173&lt;201,E1173/2,IF(E1173&lt;=301,E1173/3,E1173/4))))</f>
        <v>538.759728</v>
      </c>
      <c r="G1173" s="174" t="str">
        <f>A1172</f>
        <v xml:space="preserve">2nd to 7th, 9th to 11th, 13rd to 15th, 17th to 19th, 21st to 23rd Floor </v>
      </c>
      <c r="H1173" s="174"/>
      <c r="I1173" s="38"/>
      <c r="N1173" s="38"/>
    </row>
    <row r="1174" spans="1:14" s="107" customFormat="1" ht="15.75" customHeight="1" x14ac:dyDescent="0.35">
      <c r="A1174" s="174">
        <f t="shared" ref="A1174:A1213" si="292">A1173+1</f>
        <v>2</v>
      </c>
      <c r="B1174" s="174"/>
      <c r="C1174" s="123" t="s">
        <v>200</v>
      </c>
      <c r="D1174" s="123">
        <f t="shared" ref="D1174:D1213" si="293">(23.69+1.8*(1.5+1.2)+0.6*1.68+3.16*0.75+1.2*1.2)*10.764</f>
        <v>359.17315200000002</v>
      </c>
      <c r="E1174" s="123">
        <v>0</v>
      </c>
      <c r="F1174" s="123">
        <f t="shared" si="291"/>
        <v>538.759728</v>
      </c>
      <c r="G1174" s="174"/>
      <c r="H1174" s="174"/>
      <c r="I1174" s="38"/>
      <c r="N1174" s="38"/>
    </row>
    <row r="1175" spans="1:14" s="107" customFormat="1" ht="15.75" customHeight="1" x14ac:dyDescent="0.35">
      <c r="A1175" s="174">
        <f t="shared" si="292"/>
        <v>3</v>
      </c>
      <c r="B1175" s="174"/>
      <c r="C1175" s="123" t="s">
        <v>200</v>
      </c>
      <c r="D1175" s="123">
        <f t="shared" si="293"/>
        <v>359.17315200000002</v>
      </c>
      <c r="E1175" s="123">
        <v>0</v>
      </c>
      <c r="F1175" s="123">
        <f>D1175*(($F$422)+1)+(IF(E1175&lt;101,E1175,IF(E1175&lt;201,E1175/2,IF(E1175&lt;=301,E1175/3,E1175/4))))</f>
        <v>538.759728</v>
      </c>
      <c r="G1175" s="174"/>
      <c r="H1175" s="174"/>
      <c r="I1175" s="38"/>
      <c r="N1175" s="38"/>
    </row>
    <row r="1176" spans="1:14" s="107" customFormat="1" ht="15.75" customHeight="1" x14ac:dyDescent="0.35">
      <c r="A1176" s="174">
        <f t="shared" si="292"/>
        <v>4</v>
      </c>
      <c r="B1176" s="174"/>
      <c r="C1176" s="123" t="s">
        <v>200</v>
      </c>
      <c r="D1176" s="123">
        <f t="shared" si="293"/>
        <v>359.17315200000002</v>
      </c>
      <c r="E1176" s="123">
        <v>0</v>
      </c>
      <c r="F1176" s="123">
        <f t="shared" ref="F1176:F1179" si="294">D1176*(($F$422)+1)+(IF(E1176&lt;101,E1176,IF(E1176&lt;201,E1176/2,IF(E1176&lt;=301,E1176/3,E1176/4))))</f>
        <v>538.759728</v>
      </c>
      <c r="G1176" s="174"/>
      <c r="H1176" s="174"/>
      <c r="I1176" s="38"/>
      <c r="N1176" s="38"/>
    </row>
    <row r="1177" spans="1:14" s="107" customFormat="1" ht="15.75" customHeight="1" x14ac:dyDescent="0.35">
      <c r="A1177" s="174">
        <f t="shared" si="292"/>
        <v>5</v>
      </c>
      <c r="B1177" s="174"/>
      <c r="C1177" s="123" t="s">
        <v>200</v>
      </c>
      <c r="D1177" s="123">
        <f t="shared" si="293"/>
        <v>359.17315200000002</v>
      </c>
      <c r="E1177" s="123">
        <v>0</v>
      </c>
      <c r="F1177" s="123">
        <f t="shared" si="294"/>
        <v>538.759728</v>
      </c>
      <c r="G1177" s="174"/>
      <c r="H1177" s="174"/>
      <c r="I1177" s="38"/>
      <c r="N1177" s="38"/>
    </row>
    <row r="1178" spans="1:14" s="107" customFormat="1" ht="15.75" customHeight="1" x14ac:dyDescent="0.35">
      <c r="A1178" s="174">
        <f t="shared" si="292"/>
        <v>6</v>
      </c>
      <c r="B1178" s="174"/>
      <c r="C1178" s="123" t="s">
        <v>200</v>
      </c>
      <c r="D1178" s="123">
        <f t="shared" si="293"/>
        <v>359.17315200000002</v>
      </c>
      <c r="E1178" s="123">
        <v>0</v>
      </c>
      <c r="F1178" s="123">
        <f t="shared" si="294"/>
        <v>538.759728</v>
      </c>
      <c r="G1178" s="174"/>
      <c r="H1178" s="174"/>
      <c r="I1178" s="38"/>
      <c r="N1178" s="38"/>
    </row>
    <row r="1179" spans="1:14" s="107" customFormat="1" ht="15.75" customHeight="1" x14ac:dyDescent="0.35">
      <c r="A1179" s="174">
        <f t="shared" si="292"/>
        <v>7</v>
      </c>
      <c r="B1179" s="174"/>
      <c r="C1179" s="123" t="s">
        <v>200</v>
      </c>
      <c r="D1179" s="123">
        <f t="shared" si="293"/>
        <v>359.17315200000002</v>
      </c>
      <c r="E1179" s="123">
        <v>0</v>
      </c>
      <c r="F1179" s="123">
        <f t="shared" si="294"/>
        <v>538.759728</v>
      </c>
      <c r="G1179" s="174"/>
      <c r="H1179" s="174"/>
      <c r="I1179" s="38"/>
      <c r="N1179" s="38"/>
    </row>
    <row r="1180" spans="1:14" s="107" customFormat="1" ht="15.75" customHeight="1" x14ac:dyDescent="0.35">
      <c r="A1180" s="174">
        <f t="shared" si="292"/>
        <v>8</v>
      </c>
      <c r="B1180" s="174"/>
      <c r="C1180" s="123" t="s">
        <v>200</v>
      </c>
      <c r="D1180" s="123">
        <f t="shared" si="293"/>
        <v>359.17315200000002</v>
      </c>
      <c r="E1180" s="123">
        <v>0</v>
      </c>
      <c r="F1180" s="123">
        <f>D1180*(($F$422)+1)+(IF(E1180&lt;101,E1180,IF(E1180&lt;201,E1180/2,IF(E1180&lt;=301,E1180/3,E1180/4))))</f>
        <v>538.759728</v>
      </c>
      <c r="G1180" s="174"/>
      <c r="H1180" s="174"/>
      <c r="I1180" s="38"/>
      <c r="N1180" s="38"/>
    </row>
    <row r="1181" spans="1:14" s="107" customFormat="1" ht="15.75" customHeight="1" x14ac:dyDescent="0.35">
      <c r="A1181" s="174">
        <f t="shared" si="292"/>
        <v>9</v>
      </c>
      <c r="B1181" s="174"/>
      <c r="C1181" s="123" t="s">
        <v>200</v>
      </c>
      <c r="D1181" s="123">
        <f t="shared" si="293"/>
        <v>359.17315200000002</v>
      </c>
      <c r="E1181" s="123">
        <v>0</v>
      </c>
      <c r="F1181" s="123">
        <f t="shared" ref="F1181:F1184" si="295">D1181*(($F$422)+1)+(IF(E1181&lt;101,E1181,IF(E1181&lt;201,E1181/2,IF(E1181&lt;=301,E1181/3,E1181/4))))</f>
        <v>538.759728</v>
      </c>
      <c r="G1181" s="174"/>
      <c r="H1181" s="174"/>
      <c r="I1181" s="38"/>
      <c r="N1181" s="38"/>
    </row>
    <row r="1182" spans="1:14" s="107" customFormat="1" ht="15.75" customHeight="1" x14ac:dyDescent="0.35">
      <c r="A1182" s="174">
        <f t="shared" si="292"/>
        <v>10</v>
      </c>
      <c r="B1182" s="174"/>
      <c r="C1182" s="123" t="s">
        <v>200</v>
      </c>
      <c r="D1182" s="123">
        <f t="shared" si="293"/>
        <v>359.17315200000002</v>
      </c>
      <c r="E1182" s="123">
        <v>0</v>
      </c>
      <c r="F1182" s="123">
        <f t="shared" si="295"/>
        <v>538.759728</v>
      </c>
      <c r="G1182" s="174"/>
      <c r="H1182" s="174"/>
      <c r="I1182" s="38"/>
      <c r="N1182" s="38"/>
    </row>
    <row r="1183" spans="1:14" s="107" customFormat="1" ht="15.75" customHeight="1" x14ac:dyDescent="0.35">
      <c r="A1183" s="174">
        <f t="shared" si="292"/>
        <v>11</v>
      </c>
      <c r="B1183" s="174"/>
      <c r="C1183" s="123" t="s">
        <v>200</v>
      </c>
      <c r="D1183" s="123">
        <f t="shared" si="293"/>
        <v>359.17315200000002</v>
      </c>
      <c r="E1183" s="123">
        <v>0</v>
      </c>
      <c r="F1183" s="123">
        <f t="shared" si="295"/>
        <v>538.759728</v>
      </c>
      <c r="G1183" s="174"/>
      <c r="H1183" s="174"/>
      <c r="I1183" s="38"/>
      <c r="N1183" s="38"/>
    </row>
    <row r="1184" spans="1:14" s="107" customFormat="1" ht="15.75" customHeight="1" x14ac:dyDescent="0.35">
      <c r="A1184" s="174">
        <f t="shared" si="292"/>
        <v>12</v>
      </c>
      <c r="B1184" s="174"/>
      <c r="C1184" s="123" t="s">
        <v>200</v>
      </c>
      <c r="D1184" s="123">
        <f t="shared" si="293"/>
        <v>359.17315200000002</v>
      </c>
      <c r="E1184" s="123">
        <v>0</v>
      </c>
      <c r="F1184" s="123">
        <f t="shared" si="295"/>
        <v>538.759728</v>
      </c>
      <c r="G1184" s="174"/>
      <c r="H1184" s="174"/>
      <c r="I1184" s="38"/>
      <c r="N1184" s="38"/>
    </row>
    <row r="1185" spans="1:14" s="107" customFormat="1" ht="15.75" customHeight="1" x14ac:dyDescent="0.35">
      <c r="A1185" s="174">
        <f t="shared" si="292"/>
        <v>13</v>
      </c>
      <c r="B1185" s="174"/>
      <c r="C1185" s="123" t="s">
        <v>200</v>
      </c>
      <c r="D1185" s="123">
        <f t="shared" si="293"/>
        <v>359.17315200000002</v>
      </c>
      <c r="E1185" s="123">
        <v>0</v>
      </c>
      <c r="F1185" s="123">
        <f>D1185*(($F$422)+1)+(IF(E1185&lt;101,E1185,IF(E1185&lt;201,E1185/2,IF(E1185&lt;=301,E1185/3,E1185/4))))</f>
        <v>538.759728</v>
      </c>
      <c r="G1185" s="174"/>
      <c r="H1185" s="174"/>
      <c r="I1185" s="38"/>
      <c r="N1185" s="38"/>
    </row>
    <row r="1186" spans="1:14" s="107" customFormat="1" ht="15.75" customHeight="1" x14ac:dyDescent="0.35">
      <c r="A1186" s="174">
        <f t="shared" si="292"/>
        <v>14</v>
      </c>
      <c r="B1186" s="174"/>
      <c r="C1186" s="123" t="s">
        <v>200</v>
      </c>
      <c r="D1186" s="123">
        <f t="shared" si="293"/>
        <v>359.17315200000002</v>
      </c>
      <c r="E1186" s="123">
        <v>0</v>
      </c>
      <c r="F1186" s="123">
        <f t="shared" ref="F1186" si="296">D1186*(($F$422)+1)+(IF(E1186&lt;101,E1186,IF(E1186&lt;201,E1186/2,IF(E1186&lt;=301,E1186/3,E1186/4))))</f>
        <v>538.759728</v>
      </c>
      <c r="G1186" s="174"/>
      <c r="H1186" s="174"/>
      <c r="I1186" s="38"/>
      <c r="N1186" s="38"/>
    </row>
    <row r="1187" spans="1:14" s="107" customFormat="1" ht="15.75" customHeight="1" x14ac:dyDescent="0.35">
      <c r="A1187" s="174">
        <f t="shared" si="292"/>
        <v>15</v>
      </c>
      <c r="B1187" s="174"/>
      <c r="C1187" s="123" t="s">
        <v>200</v>
      </c>
      <c r="D1187" s="123">
        <f t="shared" si="293"/>
        <v>359.17315200000002</v>
      </c>
      <c r="E1187" s="123">
        <v>0</v>
      </c>
      <c r="F1187" s="123">
        <f>D1187*(($F$422)+1)+(IF(E1187&lt;101,E1187,IF(E1187&lt;201,E1187/2,IF(E1187&lt;=301,E1187/3,E1187/4))))</f>
        <v>538.759728</v>
      </c>
      <c r="G1187" s="174"/>
      <c r="H1187" s="174"/>
      <c r="I1187" s="38"/>
      <c r="N1187" s="38"/>
    </row>
    <row r="1188" spans="1:14" s="107" customFormat="1" ht="15.75" customHeight="1" x14ac:dyDescent="0.35">
      <c r="A1188" s="174">
        <f t="shared" si="292"/>
        <v>16</v>
      </c>
      <c r="B1188" s="174"/>
      <c r="C1188" s="123" t="s">
        <v>200</v>
      </c>
      <c r="D1188" s="123">
        <f t="shared" si="293"/>
        <v>359.17315200000002</v>
      </c>
      <c r="E1188" s="123">
        <v>0</v>
      </c>
      <c r="F1188" s="123">
        <f t="shared" ref="F1188:F1189" si="297">D1188*(($F$422)+1)+(IF(E1188&lt;101,E1188,IF(E1188&lt;201,E1188/2,IF(E1188&lt;=301,E1188/3,E1188/4))))</f>
        <v>538.759728</v>
      </c>
      <c r="G1188" s="174"/>
      <c r="H1188" s="174"/>
      <c r="I1188" s="38"/>
      <c r="N1188" s="38"/>
    </row>
    <row r="1189" spans="1:14" s="107" customFormat="1" ht="15.75" customHeight="1" x14ac:dyDescent="0.35">
      <c r="A1189" s="174">
        <f t="shared" si="292"/>
        <v>17</v>
      </c>
      <c r="B1189" s="174"/>
      <c r="C1189" s="123" t="s">
        <v>200</v>
      </c>
      <c r="D1189" s="123">
        <f t="shared" si="293"/>
        <v>359.17315200000002</v>
      </c>
      <c r="E1189" s="123">
        <v>0</v>
      </c>
      <c r="F1189" s="123">
        <f t="shared" si="297"/>
        <v>538.759728</v>
      </c>
      <c r="G1189" s="174"/>
      <c r="H1189" s="174"/>
      <c r="I1189" s="38"/>
      <c r="N1189" s="38"/>
    </row>
    <row r="1190" spans="1:14" s="107" customFormat="1" ht="15.75" customHeight="1" x14ac:dyDescent="0.35">
      <c r="A1190" s="174">
        <f t="shared" si="292"/>
        <v>18</v>
      </c>
      <c r="B1190" s="174"/>
      <c r="C1190" s="123" t="s">
        <v>200</v>
      </c>
      <c r="D1190" s="123">
        <f t="shared" si="293"/>
        <v>359.17315200000002</v>
      </c>
      <c r="E1190" s="123">
        <v>0</v>
      </c>
      <c r="F1190" s="123">
        <f>D1190*(($F$422)+1)+(IF(E1190&lt;101,E1190,IF(E1190&lt;201,E1190/2,IF(E1190&lt;=301,E1190/3,E1190/4))))</f>
        <v>538.759728</v>
      </c>
      <c r="G1190" s="174"/>
      <c r="H1190" s="174"/>
      <c r="I1190" s="38"/>
      <c r="N1190" s="38"/>
    </row>
    <row r="1191" spans="1:14" s="107" customFormat="1" ht="15.75" customHeight="1" x14ac:dyDescent="0.35">
      <c r="A1191" s="174">
        <f t="shared" si="292"/>
        <v>19</v>
      </c>
      <c r="B1191" s="174"/>
      <c r="C1191" s="123" t="s">
        <v>200</v>
      </c>
      <c r="D1191" s="123">
        <f t="shared" si="293"/>
        <v>359.17315200000002</v>
      </c>
      <c r="E1191" s="123">
        <v>0</v>
      </c>
      <c r="F1191" s="123">
        <f t="shared" ref="F1191:F1195" si="298">D1191*(($F$422)+1)+(IF(E1191&lt;101,E1191,IF(E1191&lt;201,E1191/2,IF(E1191&lt;=301,E1191/3,E1191/4))))</f>
        <v>538.759728</v>
      </c>
      <c r="G1191" s="174"/>
      <c r="H1191" s="174"/>
      <c r="I1191" s="38"/>
      <c r="N1191" s="38"/>
    </row>
    <row r="1192" spans="1:14" s="107" customFormat="1" ht="15.75" customHeight="1" x14ac:dyDescent="0.35">
      <c r="A1192" s="174">
        <f t="shared" si="292"/>
        <v>20</v>
      </c>
      <c r="B1192" s="174"/>
      <c r="C1192" s="123" t="s">
        <v>200</v>
      </c>
      <c r="D1192" s="123">
        <f t="shared" si="293"/>
        <v>359.17315200000002</v>
      </c>
      <c r="E1192" s="123">
        <v>0</v>
      </c>
      <c r="F1192" s="123">
        <f t="shared" si="298"/>
        <v>538.759728</v>
      </c>
      <c r="G1192" s="174"/>
      <c r="H1192" s="174"/>
      <c r="I1192" s="38"/>
      <c r="N1192" s="38"/>
    </row>
    <row r="1193" spans="1:14" s="107" customFormat="1" ht="15.75" customHeight="1" x14ac:dyDescent="0.35">
      <c r="A1193" s="174">
        <f t="shared" si="292"/>
        <v>21</v>
      </c>
      <c r="B1193" s="174"/>
      <c r="C1193" s="123" t="s">
        <v>200</v>
      </c>
      <c r="D1193" s="123">
        <f t="shared" si="293"/>
        <v>359.17315200000002</v>
      </c>
      <c r="E1193" s="123">
        <v>0</v>
      </c>
      <c r="F1193" s="123">
        <f t="shared" si="298"/>
        <v>538.759728</v>
      </c>
      <c r="G1193" s="174"/>
      <c r="H1193" s="174"/>
      <c r="I1193" s="38"/>
      <c r="N1193" s="38"/>
    </row>
    <row r="1194" spans="1:14" s="107" customFormat="1" ht="15.75" customHeight="1" x14ac:dyDescent="0.35">
      <c r="A1194" s="174">
        <f t="shared" si="292"/>
        <v>22</v>
      </c>
      <c r="B1194" s="174"/>
      <c r="C1194" s="123" t="s">
        <v>200</v>
      </c>
      <c r="D1194" s="123">
        <f t="shared" si="293"/>
        <v>359.17315200000002</v>
      </c>
      <c r="E1194" s="123">
        <v>0</v>
      </c>
      <c r="F1194" s="123">
        <f t="shared" si="298"/>
        <v>538.759728</v>
      </c>
      <c r="G1194" s="174"/>
      <c r="H1194" s="174"/>
      <c r="I1194" s="38"/>
      <c r="N1194" s="38"/>
    </row>
    <row r="1195" spans="1:14" s="107" customFormat="1" ht="15.75" customHeight="1" x14ac:dyDescent="0.35">
      <c r="A1195" s="174">
        <f t="shared" si="292"/>
        <v>23</v>
      </c>
      <c r="B1195" s="174"/>
      <c r="C1195" s="123" t="s">
        <v>200</v>
      </c>
      <c r="D1195" s="123">
        <f t="shared" si="293"/>
        <v>359.17315200000002</v>
      </c>
      <c r="E1195" s="123">
        <v>0</v>
      </c>
      <c r="F1195" s="123">
        <f t="shared" si="298"/>
        <v>538.759728</v>
      </c>
      <c r="G1195" s="174"/>
      <c r="H1195" s="174"/>
      <c r="I1195" s="38"/>
      <c r="N1195" s="38"/>
    </row>
    <row r="1196" spans="1:14" s="107" customFormat="1" ht="15.75" customHeight="1" x14ac:dyDescent="0.35">
      <c r="A1196" s="174">
        <f t="shared" si="292"/>
        <v>24</v>
      </c>
      <c r="B1196" s="174"/>
      <c r="C1196" s="123" t="s">
        <v>200</v>
      </c>
      <c r="D1196" s="123">
        <f t="shared" si="293"/>
        <v>359.17315200000002</v>
      </c>
      <c r="E1196" s="123">
        <v>0</v>
      </c>
      <c r="F1196" s="123">
        <f>D1196*(($F$422)+1)+(IF(E1196&lt;101,E1196,IF(E1196&lt;201,E1196/2,IF(E1196&lt;=301,E1196/3,E1196/4))))</f>
        <v>538.759728</v>
      </c>
      <c r="G1196" s="174"/>
      <c r="H1196" s="174"/>
      <c r="I1196" s="38"/>
      <c r="N1196" s="38"/>
    </row>
    <row r="1197" spans="1:14" s="107" customFormat="1" ht="15.75" customHeight="1" x14ac:dyDescent="0.35">
      <c r="A1197" s="174">
        <f t="shared" si="292"/>
        <v>25</v>
      </c>
      <c r="B1197" s="174"/>
      <c r="C1197" s="123" t="s">
        <v>200</v>
      </c>
      <c r="D1197" s="123">
        <f t="shared" si="293"/>
        <v>359.17315200000002</v>
      </c>
      <c r="E1197" s="123">
        <v>0</v>
      </c>
      <c r="F1197" s="123">
        <f t="shared" ref="F1197:F1203" si="299">D1197*(($F$422)+1)+(IF(E1197&lt;101,E1197,IF(E1197&lt;201,E1197/2,IF(E1197&lt;=301,E1197/3,E1197/4))))</f>
        <v>538.759728</v>
      </c>
      <c r="G1197" s="174"/>
      <c r="H1197" s="174"/>
      <c r="I1197" s="38"/>
      <c r="N1197" s="38"/>
    </row>
    <row r="1198" spans="1:14" s="107" customFormat="1" ht="15.75" customHeight="1" x14ac:dyDescent="0.35">
      <c r="A1198" s="174">
        <f t="shared" si="292"/>
        <v>26</v>
      </c>
      <c r="B1198" s="174"/>
      <c r="C1198" s="123" t="s">
        <v>200</v>
      </c>
      <c r="D1198" s="123">
        <f t="shared" si="293"/>
        <v>359.17315200000002</v>
      </c>
      <c r="E1198" s="123">
        <v>0</v>
      </c>
      <c r="F1198" s="123">
        <f t="shared" si="299"/>
        <v>538.759728</v>
      </c>
      <c r="G1198" s="174"/>
      <c r="H1198" s="174"/>
      <c r="I1198" s="38"/>
      <c r="N1198" s="38"/>
    </row>
    <row r="1199" spans="1:14" s="107" customFormat="1" ht="15.75" customHeight="1" x14ac:dyDescent="0.35">
      <c r="A1199" s="174">
        <f t="shared" si="292"/>
        <v>27</v>
      </c>
      <c r="B1199" s="174"/>
      <c r="C1199" s="123" t="s">
        <v>200</v>
      </c>
      <c r="D1199" s="123">
        <f t="shared" si="293"/>
        <v>359.17315200000002</v>
      </c>
      <c r="E1199" s="123">
        <v>0</v>
      </c>
      <c r="F1199" s="123">
        <f t="shared" si="299"/>
        <v>538.759728</v>
      </c>
      <c r="G1199" s="174"/>
      <c r="H1199" s="174"/>
      <c r="I1199" s="38"/>
      <c r="N1199" s="38"/>
    </row>
    <row r="1200" spans="1:14" s="107" customFormat="1" ht="15.75" customHeight="1" x14ac:dyDescent="0.35">
      <c r="A1200" s="174">
        <f t="shared" si="292"/>
        <v>28</v>
      </c>
      <c r="B1200" s="174"/>
      <c r="C1200" s="123" t="s">
        <v>200</v>
      </c>
      <c r="D1200" s="123">
        <f t="shared" si="293"/>
        <v>359.17315200000002</v>
      </c>
      <c r="E1200" s="123">
        <v>0</v>
      </c>
      <c r="F1200" s="123">
        <f t="shared" si="299"/>
        <v>538.759728</v>
      </c>
      <c r="G1200" s="174"/>
      <c r="H1200" s="174"/>
      <c r="I1200" s="38"/>
      <c r="N1200" s="38"/>
    </row>
    <row r="1201" spans="1:14" s="107" customFormat="1" ht="15.75" customHeight="1" x14ac:dyDescent="0.35">
      <c r="A1201" s="174">
        <f t="shared" si="292"/>
        <v>29</v>
      </c>
      <c r="B1201" s="174"/>
      <c r="C1201" s="123" t="s">
        <v>200</v>
      </c>
      <c r="D1201" s="123">
        <f t="shared" si="293"/>
        <v>359.17315200000002</v>
      </c>
      <c r="E1201" s="123">
        <v>0</v>
      </c>
      <c r="F1201" s="123">
        <f t="shared" si="299"/>
        <v>538.759728</v>
      </c>
      <c r="G1201" s="174"/>
      <c r="H1201" s="174"/>
      <c r="I1201" s="38"/>
      <c r="N1201" s="38"/>
    </row>
    <row r="1202" spans="1:14" s="107" customFormat="1" ht="15.75" customHeight="1" x14ac:dyDescent="0.35">
      <c r="A1202" s="174">
        <f t="shared" si="292"/>
        <v>30</v>
      </c>
      <c r="B1202" s="174"/>
      <c r="C1202" s="123" t="s">
        <v>200</v>
      </c>
      <c r="D1202" s="123">
        <f t="shared" si="293"/>
        <v>359.17315200000002</v>
      </c>
      <c r="E1202" s="123">
        <v>0</v>
      </c>
      <c r="F1202" s="123">
        <f t="shared" si="299"/>
        <v>538.759728</v>
      </c>
      <c r="G1202" s="174"/>
      <c r="H1202" s="174"/>
      <c r="I1202" s="38"/>
      <c r="N1202" s="38"/>
    </row>
    <row r="1203" spans="1:14" s="107" customFormat="1" ht="15.75" customHeight="1" x14ac:dyDescent="0.35">
      <c r="A1203" s="174">
        <f t="shared" si="292"/>
        <v>31</v>
      </c>
      <c r="B1203" s="174"/>
      <c r="C1203" s="123" t="s">
        <v>200</v>
      </c>
      <c r="D1203" s="123">
        <f t="shared" si="293"/>
        <v>359.17315200000002</v>
      </c>
      <c r="E1203" s="123">
        <v>0</v>
      </c>
      <c r="F1203" s="123">
        <f t="shared" si="299"/>
        <v>538.759728</v>
      </c>
      <c r="G1203" s="174"/>
      <c r="H1203" s="174"/>
      <c r="I1203" s="38"/>
      <c r="N1203" s="38"/>
    </row>
    <row r="1204" spans="1:14" s="107" customFormat="1" ht="15.75" customHeight="1" x14ac:dyDescent="0.35">
      <c r="A1204" s="174">
        <f t="shared" si="292"/>
        <v>32</v>
      </c>
      <c r="B1204" s="174"/>
      <c r="C1204" s="123" t="s">
        <v>200</v>
      </c>
      <c r="D1204" s="123">
        <f t="shared" si="293"/>
        <v>359.17315200000002</v>
      </c>
      <c r="E1204" s="123">
        <v>0</v>
      </c>
      <c r="F1204" s="123">
        <f>D1204*(($F$422)+1)+(IF(E1204&lt;101,E1204,IF(E1204&lt;201,E1204/2,IF(E1204&lt;=301,E1204/3,E1204/4))))</f>
        <v>538.759728</v>
      </c>
      <c r="G1204" s="174"/>
      <c r="H1204" s="174"/>
      <c r="I1204" s="38"/>
      <c r="N1204" s="38"/>
    </row>
    <row r="1205" spans="1:14" s="107" customFormat="1" ht="15.75" customHeight="1" x14ac:dyDescent="0.35">
      <c r="A1205" s="174">
        <f t="shared" si="292"/>
        <v>33</v>
      </c>
      <c r="B1205" s="174"/>
      <c r="C1205" s="123" t="s">
        <v>200</v>
      </c>
      <c r="D1205" s="123">
        <f t="shared" si="293"/>
        <v>359.17315200000002</v>
      </c>
      <c r="E1205" s="123">
        <v>0</v>
      </c>
      <c r="F1205" s="123">
        <f t="shared" ref="F1205" si="300">D1205*(($F$422)+1)+(IF(E1205&lt;101,E1205,IF(E1205&lt;201,E1205/2,IF(E1205&lt;=301,E1205/3,E1205/4))))</f>
        <v>538.759728</v>
      </c>
      <c r="G1205" s="174"/>
      <c r="H1205" s="174"/>
      <c r="I1205" s="38"/>
      <c r="N1205" s="38"/>
    </row>
    <row r="1206" spans="1:14" s="107" customFormat="1" ht="15.75" customHeight="1" x14ac:dyDescent="0.35">
      <c r="A1206" s="174">
        <f t="shared" si="292"/>
        <v>34</v>
      </c>
      <c r="B1206" s="174"/>
      <c r="C1206" s="123" t="s">
        <v>200</v>
      </c>
      <c r="D1206" s="123">
        <f t="shared" si="293"/>
        <v>359.17315200000002</v>
      </c>
      <c r="E1206" s="123">
        <v>0</v>
      </c>
      <c r="F1206" s="123">
        <f>D1206*(($F$422)+1)+(IF(E1206&lt;101,E1206,IF(E1206&lt;201,E1206/2,IF(E1206&lt;=301,E1206/3,E1206/4))))</f>
        <v>538.759728</v>
      </c>
      <c r="G1206" s="174"/>
      <c r="H1206" s="174"/>
      <c r="I1206" s="38"/>
      <c r="N1206" s="38"/>
    </row>
    <row r="1207" spans="1:14" s="107" customFormat="1" ht="15.75" customHeight="1" x14ac:dyDescent="0.35">
      <c r="A1207" s="174">
        <f t="shared" si="292"/>
        <v>35</v>
      </c>
      <c r="B1207" s="174"/>
      <c r="C1207" s="123" t="s">
        <v>200</v>
      </c>
      <c r="D1207" s="123">
        <f t="shared" si="293"/>
        <v>359.17315200000002</v>
      </c>
      <c r="E1207" s="123">
        <v>0</v>
      </c>
      <c r="F1207" s="123">
        <f t="shared" ref="F1207:F1208" si="301">D1207*(($F$422)+1)+(IF(E1207&lt;101,E1207,IF(E1207&lt;201,E1207/2,IF(E1207&lt;=301,E1207/3,E1207/4))))</f>
        <v>538.759728</v>
      </c>
      <c r="G1207" s="174"/>
      <c r="H1207" s="174"/>
      <c r="I1207" s="38"/>
      <c r="N1207" s="38"/>
    </row>
    <row r="1208" spans="1:14" s="107" customFormat="1" ht="15.75" customHeight="1" x14ac:dyDescent="0.35">
      <c r="A1208" s="174">
        <f t="shared" si="292"/>
        <v>36</v>
      </c>
      <c r="B1208" s="174"/>
      <c r="C1208" s="123" t="s">
        <v>200</v>
      </c>
      <c r="D1208" s="123">
        <f t="shared" si="293"/>
        <v>359.17315200000002</v>
      </c>
      <c r="E1208" s="123">
        <v>0</v>
      </c>
      <c r="F1208" s="123">
        <f t="shared" si="301"/>
        <v>538.759728</v>
      </c>
      <c r="G1208" s="174"/>
      <c r="H1208" s="174"/>
      <c r="I1208" s="38"/>
      <c r="N1208" s="38"/>
    </row>
    <row r="1209" spans="1:14" s="107" customFormat="1" ht="15.75" customHeight="1" x14ac:dyDescent="0.35">
      <c r="A1209" s="174">
        <f t="shared" si="292"/>
        <v>37</v>
      </c>
      <c r="B1209" s="174"/>
      <c r="C1209" s="123" t="s">
        <v>200</v>
      </c>
      <c r="D1209" s="123">
        <f t="shared" si="293"/>
        <v>359.17315200000002</v>
      </c>
      <c r="E1209" s="123">
        <v>0</v>
      </c>
      <c r="F1209" s="123">
        <f>D1209*(($F$422)+1)+(IF(E1209&lt;101,E1209,IF(E1209&lt;201,E1209/2,IF(E1209&lt;=301,E1209/3,E1209/4))))</f>
        <v>538.759728</v>
      </c>
      <c r="G1209" s="174"/>
      <c r="H1209" s="174"/>
      <c r="I1209" s="38"/>
      <c r="N1209" s="38"/>
    </row>
    <row r="1210" spans="1:14" s="107" customFormat="1" ht="15.75" customHeight="1" x14ac:dyDescent="0.35">
      <c r="A1210" s="174">
        <f t="shared" si="292"/>
        <v>38</v>
      </c>
      <c r="B1210" s="174"/>
      <c r="C1210" s="123" t="s">
        <v>200</v>
      </c>
      <c r="D1210" s="123">
        <f t="shared" si="293"/>
        <v>359.17315200000002</v>
      </c>
      <c r="E1210" s="123">
        <v>0</v>
      </c>
      <c r="F1210" s="123">
        <f t="shared" ref="F1210:F1213" si="302">D1210*(($F$422)+1)+(IF(E1210&lt;101,E1210,IF(E1210&lt;201,E1210/2,IF(E1210&lt;=301,E1210/3,E1210/4))))</f>
        <v>538.759728</v>
      </c>
      <c r="G1210" s="174"/>
      <c r="H1210" s="174"/>
      <c r="I1210" s="38"/>
      <c r="N1210" s="38"/>
    </row>
    <row r="1211" spans="1:14" s="107" customFormat="1" ht="15.75" customHeight="1" x14ac:dyDescent="0.35">
      <c r="A1211" s="174">
        <f t="shared" si="292"/>
        <v>39</v>
      </c>
      <c r="B1211" s="174"/>
      <c r="C1211" s="123" t="s">
        <v>200</v>
      </c>
      <c r="D1211" s="123">
        <f t="shared" si="293"/>
        <v>359.17315200000002</v>
      </c>
      <c r="E1211" s="123">
        <v>0</v>
      </c>
      <c r="F1211" s="123">
        <f t="shared" si="302"/>
        <v>538.759728</v>
      </c>
      <c r="G1211" s="174"/>
      <c r="H1211" s="174"/>
      <c r="I1211" s="38"/>
      <c r="N1211" s="38"/>
    </row>
    <row r="1212" spans="1:14" s="107" customFormat="1" ht="15.75" customHeight="1" x14ac:dyDescent="0.35">
      <c r="A1212" s="174">
        <f t="shared" si="292"/>
        <v>40</v>
      </c>
      <c r="B1212" s="174"/>
      <c r="C1212" s="123" t="s">
        <v>200</v>
      </c>
      <c r="D1212" s="123">
        <f t="shared" si="293"/>
        <v>359.17315200000002</v>
      </c>
      <c r="E1212" s="123">
        <v>0</v>
      </c>
      <c r="F1212" s="123">
        <f t="shared" si="302"/>
        <v>538.759728</v>
      </c>
      <c r="G1212" s="174"/>
      <c r="H1212" s="174"/>
      <c r="I1212" s="38"/>
      <c r="N1212" s="38"/>
    </row>
    <row r="1213" spans="1:14" s="107" customFormat="1" ht="15.75" customHeight="1" x14ac:dyDescent="0.35">
      <c r="A1213" s="174">
        <f t="shared" si="292"/>
        <v>41</v>
      </c>
      <c r="B1213" s="174"/>
      <c r="C1213" s="123" t="s">
        <v>200</v>
      </c>
      <c r="D1213" s="123">
        <f t="shared" si="293"/>
        <v>359.17315200000002</v>
      </c>
      <c r="E1213" s="123">
        <v>0</v>
      </c>
      <c r="F1213" s="123">
        <f t="shared" si="302"/>
        <v>538.759728</v>
      </c>
      <c r="G1213" s="174"/>
      <c r="H1213" s="174"/>
      <c r="I1213" s="38"/>
      <c r="N1213" s="38"/>
    </row>
    <row r="1214" spans="1:14" s="107" customFormat="1" x14ac:dyDescent="0.35">
      <c r="A1214" s="183" t="s">
        <v>173</v>
      </c>
      <c r="B1214" s="183"/>
      <c r="C1214" s="183"/>
      <c r="D1214" s="183"/>
      <c r="E1214" s="183"/>
      <c r="F1214" s="183"/>
      <c r="G1214" s="183"/>
      <c r="H1214" s="183"/>
      <c r="I1214" s="38"/>
      <c r="L1214" s="182"/>
      <c r="M1214" s="182"/>
    </row>
    <row r="1215" spans="1:14" s="107" customFormat="1" ht="15.75" customHeight="1" x14ac:dyDescent="0.35">
      <c r="A1215" s="174">
        <v>1</v>
      </c>
      <c r="B1215" s="174"/>
      <c r="C1215" s="123" t="s">
        <v>200</v>
      </c>
      <c r="D1215" s="123">
        <f>(23.69+1.8*(1.5+1.2)+0.6*1.68+3.16*0.75+1.2*1.2)*10.764</f>
        <v>359.17315200000002</v>
      </c>
      <c r="E1215" s="123">
        <v>0</v>
      </c>
      <c r="F1215" s="123">
        <f t="shared" ref="F1215:F1216" si="303">D1215*(($F$422)+1)+(IF(E1215&lt;101,E1215,IF(E1215&lt;201,E1215/2,IF(E1215&lt;=301,E1215/3,E1215/4))))</f>
        <v>538.759728</v>
      </c>
      <c r="G1215" s="174" t="str">
        <f>A1214</f>
        <v>8th, 12th, 16th &amp; 20th Floor (Part refuge area)</v>
      </c>
      <c r="H1215" s="174"/>
      <c r="I1215" s="38"/>
      <c r="N1215" s="38"/>
    </row>
    <row r="1216" spans="1:14" s="107" customFormat="1" ht="15.75" customHeight="1" x14ac:dyDescent="0.35">
      <c r="A1216" s="174">
        <f t="shared" ref="A1216:A1255" si="304">A1215+1</f>
        <v>2</v>
      </c>
      <c r="B1216" s="174"/>
      <c r="C1216" s="123" t="s">
        <v>200</v>
      </c>
      <c r="D1216" s="123">
        <f t="shared" ref="D1216:D1255" si="305">(23.69+1.8*(1.5+1.2)+0.6*1.68+3.16*0.75+1.2*1.2)*10.764</f>
        <v>359.17315200000002</v>
      </c>
      <c r="E1216" s="123">
        <v>0</v>
      </c>
      <c r="F1216" s="123">
        <f t="shared" si="303"/>
        <v>538.759728</v>
      </c>
      <c r="G1216" s="174"/>
      <c r="H1216" s="174"/>
      <c r="I1216" s="38"/>
      <c r="N1216" s="38"/>
    </row>
    <row r="1217" spans="1:14" s="107" customFormat="1" ht="15.75" customHeight="1" x14ac:dyDescent="0.35">
      <c r="A1217" s="174">
        <f t="shared" si="304"/>
        <v>3</v>
      </c>
      <c r="B1217" s="174"/>
      <c r="C1217" s="123" t="s">
        <v>200</v>
      </c>
      <c r="D1217" s="123">
        <f t="shared" si="305"/>
        <v>359.17315200000002</v>
      </c>
      <c r="E1217" s="123">
        <v>0</v>
      </c>
      <c r="F1217" s="123">
        <f>D1217*(($F$422)+1)+(IF(E1217&lt;101,E1217,IF(E1217&lt;201,E1217/2,IF(E1217&lt;=301,E1217/3,E1217/4))))</f>
        <v>538.759728</v>
      </c>
      <c r="G1217" s="174"/>
      <c r="H1217" s="174"/>
      <c r="I1217" s="38"/>
      <c r="N1217" s="38"/>
    </row>
    <row r="1218" spans="1:14" s="107" customFormat="1" ht="15.75" customHeight="1" x14ac:dyDescent="0.35">
      <c r="A1218" s="174">
        <f t="shared" si="304"/>
        <v>4</v>
      </c>
      <c r="B1218" s="174"/>
      <c r="C1218" s="123" t="s">
        <v>200</v>
      </c>
      <c r="D1218" s="123">
        <f t="shared" si="305"/>
        <v>359.17315200000002</v>
      </c>
      <c r="E1218" s="123">
        <v>0</v>
      </c>
      <c r="F1218" s="123">
        <f t="shared" ref="F1218:F1221" si="306">D1218*(($F$422)+1)+(IF(E1218&lt;101,E1218,IF(E1218&lt;201,E1218/2,IF(E1218&lt;=301,E1218/3,E1218/4))))</f>
        <v>538.759728</v>
      </c>
      <c r="G1218" s="174"/>
      <c r="H1218" s="174"/>
      <c r="I1218" s="38"/>
      <c r="N1218" s="38"/>
    </row>
    <row r="1219" spans="1:14" s="107" customFormat="1" ht="15.75" customHeight="1" x14ac:dyDescent="0.35">
      <c r="A1219" s="174">
        <f t="shared" si="304"/>
        <v>5</v>
      </c>
      <c r="B1219" s="174"/>
      <c r="C1219" s="123" t="s">
        <v>200</v>
      </c>
      <c r="D1219" s="123">
        <f t="shared" si="305"/>
        <v>359.17315200000002</v>
      </c>
      <c r="E1219" s="123">
        <v>0</v>
      </c>
      <c r="F1219" s="123">
        <f t="shared" si="306"/>
        <v>538.759728</v>
      </c>
      <c r="G1219" s="174"/>
      <c r="H1219" s="174"/>
      <c r="I1219" s="38"/>
      <c r="N1219" s="38"/>
    </row>
    <row r="1220" spans="1:14" s="107" customFormat="1" ht="15.75" customHeight="1" x14ac:dyDescent="0.35">
      <c r="A1220" s="174">
        <f t="shared" si="304"/>
        <v>6</v>
      </c>
      <c r="B1220" s="174"/>
      <c r="C1220" s="123" t="s">
        <v>200</v>
      </c>
      <c r="D1220" s="123">
        <f t="shared" si="305"/>
        <v>359.17315200000002</v>
      </c>
      <c r="E1220" s="123">
        <v>0</v>
      </c>
      <c r="F1220" s="123">
        <f t="shared" si="306"/>
        <v>538.759728</v>
      </c>
      <c r="G1220" s="174"/>
      <c r="H1220" s="174"/>
      <c r="I1220" s="38"/>
      <c r="N1220" s="38"/>
    </row>
    <row r="1221" spans="1:14" s="107" customFormat="1" ht="15.75" customHeight="1" x14ac:dyDescent="0.35">
      <c r="A1221" s="174">
        <f t="shared" si="304"/>
        <v>7</v>
      </c>
      <c r="B1221" s="174"/>
      <c r="C1221" s="123" t="s">
        <v>200</v>
      </c>
      <c r="D1221" s="123">
        <f t="shared" si="305"/>
        <v>359.17315200000002</v>
      </c>
      <c r="E1221" s="123">
        <v>0</v>
      </c>
      <c r="F1221" s="123">
        <f t="shared" si="306"/>
        <v>538.759728</v>
      </c>
      <c r="G1221" s="174"/>
      <c r="H1221" s="174"/>
      <c r="I1221" s="38"/>
      <c r="N1221" s="38"/>
    </row>
    <row r="1222" spans="1:14" s="107" customFormat="1" ht="15.75" customHeight="1" x14ac:dyDescent="0.35">
      <c r="A1222" s="174">
        <f t="shared" si="304"/>
        <v>8</v>
      </c>
      <c r="B1222" s="174"/>
      <c r="C1222" s="123" t="s">
        <v>200</v>
      </c>
      <c r="D1222" s="123">
        <f t="shared" si="305"/>
        <v>359.17315200000002</v>
      </c>
      <c r="E1222" s="123">
        <v>0</v>
      </c>
      <c r="F1222" s="123">
        <f>D1222*(($F$422)+1)+(IF(E1222&lt;101,E1222,IF(E1222&lt;201,E1222/2,IF(E1222&lt;=301,E1222/3,E1222/4))))</f>
        <v>538.759728</v>
      </c>
      <c r="G1222" s="174"/>
      <c r="H1222" s="174"/>
      <c r="I1222" s="38"/>
      <c r="N1222" s="38"/>
    </row>
    <row r="1223" spans="1:14" s="107" customFormat="1" ht="15.75" customHeight="1" x14ac:dyDescent="0.35">
      <c r="A1223" s="174">
        <f t="shared" si="304"/>
        <v>9</v>
      </c>
      <c r="B1223" s="174"/>
      <c r="C1223" s="174" t="s">
        <v>172</v>
      </c>
      <c r="D1223" s="174"/>
      <c r="E1223" s="174"/>
      <c r="F1223" s="174"/>
      <c r="G1223" s="174"/>
      <c r="H1223" s="174"/>
      <c r="I1223" s="38"/>
      <c r="N1223" s="38"/>
    </row>
    <row r="1224" spans="1:14" s="107" customFormat="1" ht="15.75" customHeight="1" x14ac:dyDescent="0.35">
      <c r="A1224" s="174">
        <f t="shared" si="304"/>
        <v>10</v>
      </c>
      <c r="B1224" s="174"/>
      <c r="C1224" s="123" t="s">
        <v>200</v>
      </c>
      <c r="D1224" s="123">
        <f t="shared" si="305"/>
        <v>359.17315200000002</v>
      </c>
      <c r="E1224" s="123">
        <v>0</v>
      </c>
      <c r="F1224" s="123">
        <f>D1224*(($F$422)+1)+(IF(E1224&lt;101,E1224,IF(E1224&lt;201,E1224/2,IF(E1224&lt;=301,E1224/3,E1224/4))))</f>
        <v>538.759728</v>
      </c>
      <c r="G1224" s="174"/>
      <c r="H1224" s="174"/>
      <c r="I1224" s="38"/>
      <c r="N1224" s="38"/>
    </row>
    <row r="1225" spans="1:14" s="107" customFormat="1" ht="15.75" customHeight="1" x14ac:dyDescent="0.35">
      <c r="A1225" s="174">
        <f t="shared" si="304"/>
        <v>11</v>
      </c>
      <c r="B1225" s="174"/>
      <c r="C1225" s="123" t="s">
        <v>200</v>
      </c>
      <c r="D1225" s="123">
        <f t="shared" si="305"/>
        <v>359.17315200000002</v>
      </c>
      <c r="E1225" s="123">
        <v>0</v>
      </c>
      <c r="F1225" s="123">
        <f>D1225*(($F$422)+1)+(IF(E1225&lt;101,E1225,IF(E1225&lt;201,E1225/2,IF(E1225&lt;=301,E1225/3,E1225/4))))</f>
        <v>538.759728</v>
      </c>
      <c r="G1225" s="174"/>
      <c r="H1225" s="174"/>
      <c r="I1225" s="38"/>
      <c r="N1225" s="38"/>
    </row>
    <row r="1226" spans="1:14" s="107" customFormat="1" ht="15.75" customHeight="1" x14ac:dyDescent="0.35">
      <c r="A1226" s="174">
        <f t="shared" si="304"/>
        <v>12</v>
      </c>
      <c r="B1226" s="174"/>
      <c r="C1226" s="123" t="s">
        <v>200</v>
      </c>
      <c r="D1226" s="123">
        <f t="shared" si="305"/>
        <v>359.17315200000002</v>
      </c>
      <c r="E1226" s="123">
        <v>0</v>
      </c>
      <c r="F1226" s="123">
        <f>D1226*(($F$422)+1)+(IF(E1226&lt;101,E1226,IF(E1226&lt;201,E1226/2,IF(E1226&lt;=301,E1226/3,E1226/4))))</f>
        <v>538.759728</v>
      </c>
      <c r="G1226" s="174"/>
      <c r="H1226" s="174"/>
      <c r="I1226" s="38"/>
      <c r="N1226" s="38"/>
    </row>
    <row r="1227" spans="1:14" s="107" customFormat="1" ht="15.75" customHeight="1" x14ac:dyDescent="0.35">
      <c r="A1227" s="174">
        <f t="shared" si="304"/>
        <v>13</v>
      </c>
      <c r="B1227" s="174"/>
      <c r="C1227" s="123" t="s">
        <v>200</v>
      </c>
      <c r="D1227" s="123">
        <f t="shared" si="305"/>
        <v>359.17315200000002</v>
      </c>
      <c r="E1227" s="123">
        <v>0</v>
      </c>
      <c r="F1227" s="123">
        <f>D1227*(($F$422)+1)+(IF(E1227&lt;101,E1227,IF(E1227&lt;201,E1227/2,IF(E1227&lt;=301,E1227/3,E1227/4))))</f>
        <v>538.759728</v>
      </c>
      <c r="G1227" s="174"/>
      <c r="H1227" s="174"/>
      <c r="I1227" s="38"/>
      <c r="N1227" s="38"/>
    </row>
    <row r="1228" spans="1:14" s="107" customFormat="1" ht="15.75" customHeight="1" x14ac:dyDescent="0.35">
      <c r="A1228" s="174">
        <f t="shared" si="304"/>
        <v>14</v>
      </c>
      <c r="B1228" s="174"/>
      <c r="C1228" s="123" t="s">
        <v>200</v>
      </c>
      <c r="D1228" s="123">
        <f t="shared" si="305"/>
        <v>359.17315200000002</v>
      </c>
      <c r="E1228" s="123">
        <v>0</v>
      </c>
      <c r="F1228" s="123">
        <f t="shared" ref="F1228" si="307">D1228*(($F$422)+1)+(IF(E1228&lt;101,E1228,IF(E1228&lt;201,E1228/2,IF(E1228&lt;=301,E1228/3,E1228/4))))</f>
        <v>538.759728</v>
      </c>
      <c r="G1228" s="174"/>
      <c r="H1228" s="174"/>
      <c r="I1228" s="38"/>
      <c r="N1228" s="38"/>
    </row>
    <row r="1229" spans="1:14" s="107" customFormat="1" ht="15.75" customHeight="1" x14ac:dyDescent="0.35">
      <c r="A1229" s="174">
        <f t="shared" si="304"/>
        <v>15</v>
      </c>
      <c r="B1229" s="174"/>
      <c r="C1229" s="123" t="s">
        <v>200</v>
      </c>
      <c r="D1229" s="123">
        <f t="shared" si="305"/>
        <v>359.17315200000002</v>
      </c>
      <c r="E1229" s="123">
        <v>0</v>
      </c>
      <c r="F1229" s="123">
        <f>D1229*(($F$422)+1)+(IF(E1229&lt;101,E1229,IF(E1229&lt;201,E1229/2,IF(E1229&lt;=301,E1229/3,E1229/4))))</f>
        <v>538.759728</v>
      </c>
      <c r="G1229" s="174"/>
      <c r="H1229" s="174"/>
      <c r="I1229" s="38"/>
      <c r="N1229" s="38"/>
    </row>
    <row r="1230" spans="1:14" s="107" customFormat="1" ht="15.75" customHeight="1" x14ac:dyDescent="0.35">
      <c r="A1230" s="174">
        <f t="shared" si="304"/>
        <v>16</v>
      </c>
      <c r="B1230" s="174"/>
      <c r="C1230" s="123" t="s">
        <v>200</v>
      </c>
      <c r="D1230" s="123">
        <f t="shared" si="305"/>
        <v>359.17315200000002</v>
      </c>
      <c r="E1230" s="123">
        <v>0</v>
      </c>
      <c r="F1230" s="123">
        <f t="shared" ref="F1230:F1231" si="308">D1230*(($F$422)+1)+(IF(E1230&lt;101,E1230,IF(E1230&lt;201,E1230/2,IF(E1230&lt;=301,E1230/3,E1230/4))))</f>
        <v>538.759728</v>
      </c>
      <c r="G1230" s="174"/>
      <c r="H1230" s="174"/>
      <c r="I1230" s="38"/>
      <c r="N1230" s="38"/>
    </row>
    <row r="1231" spans="1:14" s="107" customFormat="1" ht="15.75" customHeight="1" x14ac:dyDescent="0.35">
      <c r="A1231" s="174">
        <f t="shared" si="304"/>
        <v>17</v>
      </c>
      <c r="B1231" s="174"/>
      <c r="C1231" s="123" t="s">
        <v>200</v>
      </c>
      <c r="D1231" s="123">
        <f t="shared" si="305"/>
        <v>359.17315200000002</v>
      </c>
      <c r="E1231" s="123">
        <v>0</v>
      </c>
      <c r="F1231" s="123">
        <f t="shared" si="308"/>
        <v>538.759728</v>
      </c>
      <c r="G1231" s="174"/>
      <c r="H1231" s="174"/>
      <c r="I1231" s="38"/>
      <c r="N1231" s="38"/>
    </row>
    <row r="1232" spans="1:14" s="107" customFormat="1" ht="15.75" customHeight="1" x14ac:dyDescent="0.35">
      <c r="A1232" s="174">
        <f t="shared" si="304"/>
        <v>18</v>
      </c>
      <c r="B1232" s="174"/>
      <c r="C1232" s="123" t="s">
        <v>200</v>
      </c>
      <c r="D1232" s="123">
        <f t="shared" si="305"/>
        <v>359.17315200000002</v>
      </c>
      <c r="E1232" s="123">
        <v>0</v>
      </c>
      <c r="F1232" s="123">
        <f>D1232*(($F$422)+1)+(IF(E1232&lt;101,E1232,IF(E1232&lt;201,E1232/2,IF(E1232&lt;=301,E1232/3,E1232/4))))</f>
        <v>538.759728</v>
      </c>
      <c r="G1232" s="174"/>
      <c r="H1232" s="174"/>
      <c r="I1232" s="38"/>
      <c r="N1232" s="38"/>
    </row>
    <row r="1233" spans="1:14" s="107" customFormat="1" ht="15.75" customHeight="1" x14ac:dyDescent="0.35">
      <c r="A1233" s="174">
        <f t="shared" si="304"/>
        <v>19</v>
      </c>
      <c r="B1233" s="174"/>
      <c r="C1233" s="123" t="s">
        <v>200</v>
      </c>
      <c r="D1233" s="123">
        <f t="shared" si="305"/>
        <v>359.17315200000002</v>
      </c>
      <c r="E1233" s="123">
        <v>0</v>
      </c>
      <c r="F1233" s="123">
        <f>D1233*(($F$422)+1)+(IF(E1233&lt;101,E1233,IF(E1233&lt;201,E1233/2,IF(E1233&lt;=301,E1233/3,E1233/4))))</f>
        <v>538.759728</v>
      </c>
      <c r="G1233" s="174"/>
      <c r="H1233" s="174"/>
      <c r="I1233" s="38"/>
      <c r="N1233" s="38"/>
    </row>
    <row r="1234" spans="1:14" s="107" customFormat="1" ht="15.75" customHeight="1" x14ac:dyDescent="0.35">
      <c r="A1234" s="174">
        <f t="shared" si="304"/>
        <v>20</v>
      </c>
      <c r="B1234" s="174"/>
      <c r="C1234" s="123" t="s">
        <v>200</v>
      </c>
      <c r="D1234" s="123">
        <f t="shared" si="305"/>
        <v>359.17315200000002</v>
      </c>
      <c r="E1234" s="123">
        <v>0</v>
      </c>
      <c r="F1234" s="123">
        <f>D1234*(($F$422)+1)+(IF(E1234&lt;101,E1234,IF(E1234&lt;201,E1234/2,IF(E1234&lt;=301,E1234/3,E1234/4))))</f>
        <v>538.759728</v>
      </c>
      <c r="G1234" s="174"/>
      <c r="H1234" s="174"/>
      <c r="I1234" s="38"/>
      <c r="N1234" s="38"/>
    </row>
    <row r="1235" spans="1:14" s="107" customFormat="1" ht="15.75" customHeight="1" x14ac:dyDescent="0.35">
      <c r="A1235" s="174">
        <f t="shared" si="304"/>
        <v>21</v>
      </c>
      <c r="B1235" s="174"/>
      <c r="C1235" s="123" t="s">
        <v>200</v>
      </c>
      <c r="D1235" s="123">
        <f t="shared" si="305"/>
        <v>359.17315200000002</v>
      </c>
      <c r="E1235" s="123">
        <v>0</v>
      </c>
      <c r="F1235" s="123">
        <f>D1235*(($F$422)+1)+(IF(E1235&lt;101,E1235,IF(E1235&lt;201,E1235/2,IF(E1235&lt;=301,E1235/3,E1235/4))))</f>
        <v>538.759728</v>
      </c>
      <c r="G1235" s="174"/>
      <c r="H1235" s="174"/>
      <c r="I1235" s="38"/>
      <c r="N1235" s="38"/>
    </row>
    <row r="1236" spans="1:14" s="107" customFormat="1" ht="15.75" customHeight="1" x14ac:dyDescent="0.35">
      <c r="A1236" s="174">
        <f t="shared" si="304"/>
        <v>22</v>
      </c>
      <c r="B1236" s="174"/>
      <c r="C1236" s="174" t="s">
        <v>172</v>
      </c>
      <c r="D1236" s="174"/>
      <c r="E1236" s="174"/>
      <c r="F1236" s="174"/>
      <c r="G1236" s="174"/>
      <c r="H1236" s="174"/>
      <c r="I1236" s="38"/>
      <c r="N1236" s="38"/>
    </row>
    <row r="1237" spans="1:14" s="107" customFormat="1" ht="15.75" customHeight="1" x14ac:dyDescent="0.35">
      <c r="A1237" s="174">
        <f t="shared" si="304"/>
        <v>23</v>
      </c>
      <c r="B1237" s="174"/>
      <c r="C1237" s="123" t="s">
        <v>200</v>
      </c>
      <c r="D1237" s="123">
        <f t="shared" si="305"/>
        <v>359.17315200000002</v>
      </c>
      <c r="E1237" s="123">
        <v>0</v>
      </c>
      <c r="F1237" s="123">
        <f t="shared" ref="F1237:F1242" si="309">D1237*(($F$422)+1)+(IF(E1237&lt;101,E1237,IF(E1237&lt;201,E1237/2,IF(E1237&lt;=301,E1237/3,E1237/4))))</f>
        <v>538.759728</v>
      </c>
      <c r="G1237" s="174"/>
      <c r="H1237" s="174"/>
      <c r="I1237" s="38"/>
      <c r="N1237" s="38"/>
    </row>
    <row r="1238" spans="1:14" s="107" customFormat="1" ht="15.75" customHeight="1" x14ac:dyDescent="0.35">
      <c r="A1238" s="174">
        <f t="shared" si="304"/>
        <v>24</v>
      </c>
      <c r="B1238" s="174"/>
      <c r="C1238" s="123" t="s">
        <v>200</v>
      </c>
      <c r="D1238" s="123">
        <f t="shared" si="305"/>
        <v>359.17315200000002</v>
      </c>
      <c r="E1238" s="123">
        <v>0</v>
      </c>
      <c r="F1238" s="123">
        <f t="shared" si="309"/>
        <v>538.759728</v>
      </c>
      <c r="G1238" s="174"/>
      <c r="H1238" s="174"/>
      <c r="I1238" s="38"/>
      <c r="N1238" s="38"/>
    </row>
    <row r="1239" spans="1:14" s="107" customFormat="1" ht="15.75" customHeight="1" x14ac:dyDescent="0.35">
      <c r="A1239" s="174">
        <f t="shared" si="304"/>
        <v>25</v>
      </c>
      <c r="B1239" s="174"/>
      <c r="C1239" s="123" t="s">
        <v>200</v>
      </c>
      <c r="D1239" s="123">
        <f t="shared" si="305"/>
        <v>359.17315200000002</v>
      </c>
      <c r="E1239" s="123">
        <v>0</v>
      </c>
      <c r="F1239" s="123">
        <f t="shared" si="309"/>
        <v>538.759728</v>
      </c>
      <c r="G1239" s="174"/>
      <c r="H1239" s="174"/>
      <c r="I1239" s="38"/>
      <c r="N1239" s="38"/>
    </row>
    <row r="1240" spans="1:14" s="107" customFormat="1" ht="15.75" customHeight="1" x14ac:dyDescent="0.35">
      <c r="A1240" s="174">
        <f t="shared" si="304"/>
        <v>26</v>
      </c>
      <c r="B1240" s="174"/>
      <c r="C1240" s="123" t="s">
        <v>200</v>
      </c>
      <c r="D1240" s="123">
        <f t="shared" si="305"/>
        <v>359.17315200000002</v>
      </c>
      <c r="E1240" s="123">
        <v>0</v>
      </c>
      <c r="F1240" s="123">
        <f t="shared" si="309"/>
        <v>538.759728</v>
      </c>
      <c r="G1240" s="174"/>
      <c r="H1240" s="174"/>
      <c r="I1240" s="38"/>
      <c r="N1240" s="38"/>
    </row>
    <row r="1241" spans="1:14" s="107" customFormat="1" ht="15.75" customHeight="1" x14ac:dyDescent="0.35">
      <c r="A1241" s="174">
        <f t="shared" si="304"/>
        <v>27</v>
      </c>
      <c r="B1241" s="174"/>
      <c r="C1241" s="123" t="s">
        <v>200</v>
      </c>
      <c r="D1241" s="123">
        <f t="shared" si="305"/>
        <v>359.17315200000002</v>
      </c>
      <c r="E1241" s="123">
        <v>0</v>
      </c>
      <c r="F1241" s="123">
        <f t="shared" si="309"/>
        <v>538.759728</v>
      </c>
      <c r="G1241" s="174"/>
      <c r="H1241" s="174"/>
      <c r="I1241" s="38"/>
      <c r="N1241" s="38"/>
    </row>
    <row r="1242" spans="1:14" s="107" customFormat="1" ht="15.75" customHeight="1" x14ac:dyDescent="0.35">
      <c r="A1242" s="174">
        <f t="shared" si="304"/>
        <v>28</v>
      </c>
      <c r="B1242" s="174"/>
      <c r="C1242" s="123" t="s">
        <v>200</v>
      </c>
      <c r="D1242" s="123">
        <f t="shared" si="305"/>
        <v>359.17315200000002</v>
      </c>
      <c r="E1242" s="123">
        <v>0</v>
      </c>
      <c r="F1242" s="123">
        <f t="shared" si="309"/>
        <v>538.759728</v>
      </c>
      <c r="G1242" s="174"/>
      <c r="H1242" s="174"/>
      <c r="I1242" s="38"/>
      <c r="N1242" s="38"/>
    </row>
    <row r="1243" spans="1:14" s="107" customFormat="1" ht="15.75" customHeight="1" x14ac:dyDescent="0.35">
      <c r="A1243" s="174">
        <f t="shared" si="304"/>
        <v>29</v>
      </c>
      <c r="B1243" s="174"/>
      <c r="C1243" s="174" t="s">
        <v>172</v>
      </c>
      <c r="D1243" s="174"/>
      <c r="E1243" s="174"/>
      <c r="F1243" s="174"/>
      <c r="G1243" s="174"/>
      <c r="H1243" s="174"/>
      <c r="I1243" s="38"/>
      <c r="N1243" s="38"/>
    </row>
    <row r="1244" spans="1:14" s="107" customFormat="1" ht="15.75" customHeight="1" x14ac:dyDescent="0.35">
      <c r="A1244" s="174">
        <f t="shared" si="304"/>
        <v>30</v>
      </c>
      <c r="B1244" s="174"/>
      <c r="C1244" s="123" t="s">
        <v>200</v>
      </c>
      <c r="D1244" s="123">
        <f t="shared" si="305"/>
        <v>359.17315200000002</v>
      </c>
      <c r="E1244" s="123">
        <v>0</v>
      </c>
      <c r="F1244" s="123">
        <f>D1244*(($F$422)+1)+(IF(E1244&lt;101,E1244,IF(E1244&lt;201,E1244/2,IF(E1244&lt;=301,E1244/3,E1244/4))))</f>
        <v>538.759728</v>
      </c>
      <c r="G1244" s="174"/>
      <c r="H1244" s="174"/>
      <c r="I1244" s="38"/>
      <c r="N1244" s="38"/>
    </row>
    <row r="1245" spans="1:14" s="107" customFormat="1" ht="15.75" customHeight="1" x14ac:dyDescent="0.35">
      <c r="A1245" s="174">
        <f t="shared" si="304"/>
        <v>31</v>
      </c>
      <c r="B1245" s="174"/>
      <c r="C1245" s="123" t="s">
        <v>200</v>
      </c>
      <c r="D1245" s="123">
        <f t="shared" si="305"/>
        <v>359.17315200000002</v>
      </c>
      <c r="E1245" s="123">
        <v>0</v>
      </c>
      <c r="F1245" s="123">
        <f>D1245*(($F$422)+1)+(IF(E1245&lt;101,E1245,IF(E1245&lt;201,E1245/2,IF(E1245&lt;=301,E1245/3,E1245/4))))</f>
        <v>538.759728</v>
      </c>
      <c r="G1245" s="174"/>
      <c r="H1245" s="174"/>
      <c r="I1245" s="38"/>
      <c r="N1245" s="38"/>
    </row>
    <row r="1246" spans="1:14" s="107" customFormat="1" ht="15.75" customHeight="1" x14ac:dyDescent="0.35">
      <c r="A1246" s="174">
        <f t="shared" si="304"/>
        <v>32</v>
      </c>
      <c r="B1246" s="174"/>
      <c r="C1246" s="123" t="s">
        <v>200</v>
      </c>
      <c r="D1246" s="123">
        <f t="shared" si="305"/>
        <v>359.17315200000002</v>
      </c>
      <c r="E1246" s="123">
        <v>0</v>
      </c>
      <c r="F1246" s="123">
        <f>D1246*(($F$422)+1)+(IF(E1246&lt;101,E1246,IF(E1246&lt;201,E1246/2,IF(E1246&lt;=301,E1246/3,E1246/4))))</f>
        <v>538.759728</v>
      </c>
      <c r="G1246" s="174"/>
      <c r="H1246" s="174"/>
      <c r="I1246" s="38"/>
      <c r="N1246" s="38"/>
    </row>
    <row r="1247" spans="1:14" s="107" customFormat="1" ht="15.75" customHeight="1" x14ac:dyDescent="0.35">
      <c r="A1247" s="174">
        <f t="shared" si="304"/>
        <v>33</v>
      </c>
      <c r="B1247" s="174"/>
      <c r="C1247" s="123" t="s">
        <v>200</v>
      </c>
      <c r="D1247" s="123">
        <f t="shared" si="305"/>
        <v>359.17315200000002</v>
      </c>
      <c r="E1247" s="123">
        <v>0</v>
      </c>
      <c r="F1247" s="123">
        <f t="shared" ref="F1247" si="310">D1247*(($F$422)+1)+(IF(E1247&lt;101,E1247,IF(E1247&lt;201,E1247/2,IF(E1247&lt;=301,E1247/3,E1247/4))))</f>
        <v>538.759728</v>
      </c>
      <c r="G1247" s="174"/>
      <c r="H1247" s="174"/>
      <c r="I1247" s="38"/>
      <c r="N1247" s="38"/>
    </row>
    <row r="1248" spans="1:14" s="107" customFormat="1" ht="15.75" customHeight="1" x14ac:dyDescent="0.35">
      <c r="A1248" s="174">
        <f t="shared" si="304"/>
        <v>34</v>
      </c>
      <c r="B1248" s="174"/>
      <c r="C1248" s="123" t="s">
        <v>200</v>
      </c>
      <c r="D1248" s="123">
        <f t="shared" si="305"/>
        <v>359.17315200000002</v>
      </c>
      <c r="E1248" s="123">
        <v>0</v>
      </c>
      <c r="F1248" s="123">
        <f>D1248*(($F$422)+1)+(IF(E1248&lt;101,E1248,IF(E1248&lt;201,E1248/2,IF(E1248&lt;=301,E1248/3,E1248/4))))</f>
        <v>538.759728</v>
      </c>
      <c r="G1248" s="174"/>
      <c r="H1248" s="174"/>
      <c r="I1248" s="38"/>
      <c r="N1248" s="38"/>
    </row>
    <row r="1249" spans="1:14" s="107" customFormat="1" ht="15.75" customHeight="1" x14ac:dyDescent="0.35">
      <c r="A1249" s="174">
        <f t="shared" si="304"/>
        <v>35</v>
      </c>
      <c r="B1249" s="174"/>
      <c r="C1249" s="123" t="s">
        <v>200</v>
      </c>
      <c r="D1249" s="123">
        <f t="shared" si="305"/>
        <v>359.17315200000002</v>
      </c>
      <c r="E1249" s="123">
        <v>0</v>
      </c>
      <c r="F1249" s="123">
        <f t="shared" ref="F1249:F1250" si="311">D1249*(($F$422)+1)+(IF(E1249&lt;101,E1249,IF(E1249&lt;201,E1249/2,IF(E1249&lt;=301,E1249/3,E1249/4))))</f>
        <v>538.759728</v>
      </c>
      <c r="G1249" s="174"/>
      <c r="H1249" s="174"/>
      <c r="I1249" s="38"/>
      <c r="N1249" s="38"/>
    </row>
    <row r="1250" spans="1:14" s="107" customFormat="1" ht="15.75" customHeight="1" x14ac:dyDescent="0.35">
      <c r="A1250" s="174">
        <f t="shared" si="304"/>
        <v>36</v>
      </c>
      <c r="B1250" s="174"/>
      <c r="C1250" s="123" t="s">
        <v>200</v>
      </c>
      <c r="D1250" s="123">
        <f t="shared" si="305"/>
        <v>359.17315200000002</v>
      </c>
      <c r="E1250" s="123">
        <v>0</v>
      </c>
      <c r="F1250" s="123">
        <f t="shared" si="311"/>
        <v>538.759728</v>
      </c>
      <c r="G1250" s="174"/>
      <c r="H1250" s="174"/>
      <c r="I1250" s="38"/>
      <c r="N1250" s="38"/>
    </row>
    <row r="1251" spans="1:14" s="107" customFormat="1" ht="15.75" customHeight="1" x14ac:dyDescent="0.35">
      <c r="A1251" s="174">
        <f t="shared" si="304"/>
        <v>37</v>
      </c>
      <c r="B1251" s="174"/>
      <c r="C1251" s="123" t="s">
        <v>200</v>
      </c>
      <c r="D1251" s="123">
        <f t="shared" si="305"/>
        <v>359.17315200000002</v>
      </c>
      <c r="E1251" s="123">
        <v>0</v>
      </c>
      <c r="F1251" s="123">
        <f>D1251*(($F$422)+1)+(IF(E1251&lt;101,E1251,IF(E1251&lt;201,E1251/2,IF(E1251&lt;=301,E1251/3,E1251/4))))</f>
        <v>538.759728</v>
      </c>
      <c r="G1251" s="174"/>
      <c r="H1251" s="174"/>
      <c r="I1251" s="38"/>
      <c r="N1251" s="38"/>
    </row>
    <row r="1252" spans="1:14" s="107" customFormat="1" ht="15.75" customHeight="1" x14ac:dyDescent="0.35">
      <c r="A1252" s="174">
        <f t="shared" si="304"/>
        <v>38</v>
      </c>
      <c r="B1252" s="174"/>
      <c r="C1252" s="174" t="s">
        <v>172</v>
      </c>
      <c r="D1252" s="174"/>
      <c r="E1252" s="174"/>
      <c r="F1252" s="174"/>
      <c r="G1252" s="174"/>
      <c r="H1252" s="174"/>
      <c r="I1252" s="38"/>
      <c r="N1252" s="38"/>
    </row>
    <row r="1253" spans="1:14" s="107" customFormat="1" ht="15.75" customHeight="1" x14ac:dyDescent="0.35">
      <c r="A1253" s="174">
        <f t="shared" si="304"/>
        <v>39</v>
      </c>
      <c r="B1253" s="174"/>
      <c r="C1253" s="123" t="s">
        <v>200</v>
      </c>
      <c r="D1253" s="123">
        <f t="shared" si="305"/>
        <v>359.17315200000002</v>
      </c>
      <c r="E1253" s="123">
        <v>0</v>
      </c>
      <c r="F1253" s="123">
        <f>D1253*(($F$422)+1)+(IF(E1253&lt;101,E1253,IF(E1253&lt;201,E1253/2,IF(E1253&lt;=301,E1253/3,E1253/4))))</f>
        <v>538.759728</v>
      </c>
      <c r="G1253" s="174"/>
      <c r="H1253" s="174"/>
      <c r="I1253" s="38"/>
      <c r="N1253" s="38"/>
    </row>
    <row r="1254" spans="1:14" s="107" customFormat="1" ht="15.75" customHeight="1" x14ac:dyDescent="0.35">
      <c r="A1254" s="174">
        <f t="shared" si="304"/>
        <v>40</v>
      </c>
      <c r="B1254" s="174"/>
      <c r="C1254" s="123" t="s">
        <v>200</v>
      </c>
      <c r="D1254" s="123">
        <f t="shared" si="305"/>
        <v>359.17315200000002</v>
      </c>
      <c r="E1254" s="123">
        <v>0</v>
      </c>
      <c r="F1254" s="123">
        <f>D1254*(($F$422)+1)+(IF(E1254&lt;101,E1254,IF(E1254&lt;201,E1254/2,IF(E1254&lt;=301,E1254/3,E1254/4))))</f>
        <v>538.759728</v>
      </c>
      <c r="G1254" s="174"/>
      <c r="H1254" s="174"/>
      <c r="I1254" s="38"/>
      <c r="N1254" s="38"/>
    </row>
    <row r="1255" spans="1:14" s="107" customFormat="1" ht="15.75" customHeight="1" x14ac:dyDescent="0.35">
      <c r="A1255" s="174">
        <f t="shared" si="304"/>
        <v>41</v>
      </c>
      <c r="B1255" s="174"/>
      <c r="C1255" s="123" t="s">
        <v>200</v>
      </c>
      <c r="D1255" s="123">
        <f t="shared" si="305"/>
        <v>359.17315200000002</v>
      </c>
      <c r="E1255" s="123">
        <v>0</v>
      </c>
      <c r="F1255" s="123">
        <f>D1255*(($F$422)+1)+(IF(E1255&lt;101,E1255,IF(E1255&lt;201,E1255/2,IF(E1255&lt;=301,E1255/3,E1255/4))))</f>
        <v>538.759728</v>
      </c>
      <c r="G1255" s="174"/>
      <c r="H1255" s="174"/>
      <c r="I1255" s="38"/>
      <c r="N1255" s="38"/>
    </row>
    <row r="1256" spans="1:14" x14ac:dyDescent="0.35">
      <c r="A1256" s="177" t="s">
        <v>192</v>
      </c>
      <c r="B1256" s="177"/>
      <c r="C1256" s="177"/>
      <c r="D1256" s="177"/>
      <c r="E1256" s="177"/>
      <c r="F1256" s="177"/>
      <c r="G1256" s="177"/>
      <c r="H1256" s="177"/>
    </row>
    <row r="1257" spans="1:14" s="94" customFormat="1" x14ac:dyDescent="0.35">
      <c r="A1257" s="183" t="s">
        <v>169</v>
      </c>
      <c r="B1257" s="183"/>
      <c r="C1257" s="183"/>
      <c r="D1257" s="183"/>
      <c r="E1257" s="183"/>
      <c r="F1257" s="183"/>
      <c r="G1257" s="183"/>
      <c r="H1257" s="183"/>
      <c r="I1257" s="38"/>
      <c r="L1257" s="182"/>
      <c r="M1257" s="182"/>
    </row>
    <row r="1258" spans="1:14" s="94" customFormat="1" ht="15.75" customHeight="1" x14ac:dyDescent="0.35">
      <c r="A1258" s="174">
        <v>1</v>
      </c>
      <c r="B1258" s="174"/>
      <c r="C1258" s="93" t="s">
        <v>200</v>
      </c>
      <c r="D1258" s="109">
        <f>(23.69+1.5*1.8+1.2*1.8+3.18*0.75+0.45*1.67)*10.764</f>
        <v>341.073486</v>
      </c>
      <c r="E1258" s="93">
        <f>(5*1.2)*10.764</f>
        <v>64.584000000000003</v>
      </c>
      <c r="F1258" s="93">
        <f t="shared" ref="F1258:F1259" si="312">D1258*(($F$422)+1)+(IF(E1258&lt;101,E1258,IF(E1258&lt;201,E1258/2,IF(E1258&lt;=301,E1258/3,E1258/4))))</f>
        <v>576.19422899999995</v>
      </c>
      <c r="G1258" s="168" t="str">
        <f>A1257</f>
        <v>1st Floor for Residential</v>
      </c>
      <c r="H1258" s="169"/>
      <c r="I1258" s="38"/>
      <c r="N1258" s="38"/>
    </row>
    <row r="1259" spans="1:14" s="94" customFormat="1" ht="15.75" customHeight="1" x14ac:dyDescent="0.35">
      <c r="A1259" s="174">
        <f t="shared" ref="A1259:A1285" si="313">A1258+1</f>
        <v>2</v>
      </c>
      <c r="B1259" s="174"/>
      <c r="C1259" s="93" t="s">
        <v>200</v>
      </c>
      <c r="D1259" s="109">
        <f>(23.69+1.5*1.8+1.2*1.2+0.45*1.67+0.75*3.16)*10.764</f>
        <v>333.161946</v>
      </c>
      <c r="E1259" s="93">
        <f>(3.5*1.8)*10.764</f>
        <v>67.813199999999995</v>
      </c>
      <c r="F1259" s="93">
        <f t="shared" si="312"/>
        <v>567.55611900000008</v>
      </c>
      <c r="G1259" s="170" t="str">
        <f t="shared" ref="G1259:G1285" si="314">G1258</f>
        <v>1st Floor for Residential</v>
      </c>
      <c r="H1259" s="171"/>
      <c r="I1259" s="38"/>
      <c r="N1259" s="38"/>
    </row>
    <row r="1260" spans="1:14" s="94" customFormat="1" ht="15.75" customHeight="1" x14ac:dyDescent="0.35">
      <c r="A1260" s="174">
        <f t="shared" si="313"/>
        <v>3</v>
      </c>
      <c r="B1260" s="174"/>
      <c r="C1260" s="93" t="s">
        <v>200</v>
      </c>
      <c r="D1260" s="109">
        <f>(23.69+1.5*1.8+1.2*1.2+0.45*1.67+0.75*3.16)*10.764</f>
        <v>333.161946</v>
      </c>
      <c r="E1260" s="93">
        <f>(3.5*1.8+5*1.2+1.4*2.7)*10.764</f>
        <v>173.08512000000002</v>
      </c>
      <c r="F1260" s="93">
        <f>D1260*(($F$422)+1)+(IF(E1260&lt;101,E1260,IF(E1260&lt;201,E1260/2,IF(E1260&lt;=301,E1260/3,E1260/4))))</f>
        <v>586.28547900000001</v>
      </c>
      <c r="G1260" s="170" t="str">
        <f t="shared" si="314"/>
        <v>1st Floor for Residential</v>
      </c>
      <c r="H1260" s="171"/>
      <c r="I1260" s="38"/>
      <c r="N1260" s="38"/>
    </row>
    <row r="1261" spans="1:14" s="94" customFormat="1" ht="15.75" customHeight="1" x14ac:dyDescent="0.35">
      <c r="A1261" s="174">
        <f t="shared" si="313"/>
        <v>4</v>
      </c>
      <c r="B1261" s="174"/>
      <c r="C1261" s="93" t="s">
        <v>200</v>
      </c>
      <c r="D1261" s="109">
        <f>(23.69+1.5*1.8+1.2*1.8+3.18*0.75+0.45*1.67)*10.764</f>
        <v>341.073486</v>
      </c>
      <c r="E1261" s="93">
        <f>(5*1.2)*10.764</f>
        <v>64.584000000000003</v>
      </c>
      <c r="F1261" s="93">
        <f t="shared" ref="F1261:F1264" si="315">D1261*(($F$422)+1)+(IF(E1261&lt;101,E1261,IF(E1261&lt;201,E1261/2,IF(E1261&lt;=301,E1261/3,E1261/4))))</f>
        <v>576.19422899999995</v>
      </c>
      <c r="G1261" s="170" t="str">
        <f t="shared" si="314"/>
        <v>1st Floor for Residential</v>
      </c>
      <c r="H1261" s="171"/>
      <c r="I1261" s="38"/>
      <c r="N1261" s="38"/>
    </row>
    <row r="1262" spans="1:14" s="94" customFormat="1" ht="15.75" customHeight="1" x14ac:dyDescent="0.35">
      <c r="A1262" s="174">
        <f t="shared" si="313"/>
        <v>5</v>
      </c>
      <c r="B1262" s="174"/>
      <c r="C1262" s="93" t="s">
        <v>200</v>
      </c>
      <c r="D1262" s="109">
        <f>(23.69+1.5*1.8+1.2*1.8+3.18*0.75+0.45*1.67)*10.764</f>
        <v>341.073486</v>
      </c>
      <c r="E1262" s="93">
        <f>(5*1.2)*10.764</f>
        <v>64.584000000000003</v>
      </c>
      <c r="F1262" s="93">
        <f t="shared" si="315"/>
        <v>576.19422899999995</v>
      </c>
      <c r="G1262" s="170" t="str">
        <f t="shared" si="314"/>
        <v>1st Floor for Residential</v>
      </c>
      <c r="H1262" s="171"/>
      <c r="I1262" s="38"/>
      <c r="N1262" s="38"/>
    </row>
    <row r="1263" spans="1:14" s="94" customFormat="1" ht="15.75" customHeight="1" x14ac:dyDescent="0.35">
      <c r="A1263" s="174">
        <f t="shared" si="313"/>
        <v>6</v>
      </c>
      <c r="B1263" s="174"/>
      <c r="C1263" s="93" t="s">
        <v>200</v>
      </c>
      <c r="D1263" s="109">
        <f>(23.69+1.5*1.8+0.45*1.67+1.2*1.2)*10.764</f>
        <v>307.65126600000002</v>
      </c>
      <c r="E1263" s="93">
        <f>(1.2*5+1.8*2.7)*10.764</f>
        <v>116.89703999999999</v>
      </c>
      <c r="F1263" s="93">
        <f t="shared" si="315"/>
        <v>519.92541900000003</v>
      </c>
      <c r="G1263" s="170" t="str">
        <f t="shared" si="314"/>
        <v>1st Floor for Residential</v>
      </c>
      <c r="H1263" s="171"/>
      <c r="I1263" s="38"/>
      <c r="N1263" s="38"/>
    </row>
    <row r="1264" spans="1:14" s="94" customFormat="1" ht="15.75" customHeight="1" x14ac:dyDescent="0.35">
      <c r="A1264" s="174">
        <f t="shared" si="313"/>
        <v>7</v>
      </c>
      <c r="B1264" s="174"/>
      <c r="C1264" s="93" t="s">
        <v>200</v>
      </c>
      <c r="D1264" s="109">
        <f>(23.69+1.5*1.8+0.45*1.67)*10.764</f>
        <v>292.15110599999997</v>
      </c>
      <c r="E1264" s="93">
        <f>(6.4*1.2+2.7*1.8+4.5*1.2)*10.764</f>
        <v>193.10615999999996</v>
      </c>
      <c r="F1264" s="93">
        <f t="shared" si="315"/>
        <v>534.77973899999995</v>
      </c>
      <c r="G1264" s="170" t="str">
        <f t="shared" si="314"/>
        <v>1st Floor for Residential</v>
      </c>
      <c r="H1264" s="171"/>
      <c r="I1264" s="38"/>
      <c r="N1264" s="38"/>
    </row>
    <row r="1265" spans="1:14" s="94" customFormat="1" ht="15.75" customHeight="1" x14ac:dyDescent="0.35">
      <c r="A1265" s="174">
        <f t="shared" si="313"/>
        <v>8</v>
      </c>
      <c r="B1265" s="174"/>
      <c r="C1265" s="93" t="s">
        <v>200</v>
      </c>
      <c r="D1265" s="109">
        <f>(23.69+1.5*1.8+0.45*1.67+3.16*0.75)*10.764</f>
        <v>317.66178600000001</v>
      </c>
      <c r="E1265" s="93">
        <f>(1.2*5+1.8*3.5+0.6*1)*10.764</f>
        <v>138.85559999999998</v>
      </c>
      <c r="F1265" s="93">
        <f>D1265*(($F$422)+1)+(IF(E1265&lt;101,E1265,IF(E1265&lt;201,E1265/2,IF(E1265&lt;=301,E1265/3,E1265/4))))</f>
        <v>545.920479</v>
      </c>
      <c r="G1265" s="170" t="str">
        <f t="shared" si="314"/>
        <v>1st Floor for Residential</v>
      </c>
      <c r="H1265" s="171"/>
      <c r="I1265" s="38"/>
      <c r="N1265" s="38"/>
    </row>
    <row r="1266" spans="1:14" s="94" customFormat="1" ht="15.75" customHeight="1" x14ac:dyDescent="0.35">
      <c r="A1266" s="174">
        <f t="shared" si="313"/>
        <v>9</v>
      </c>
      <c r="B1266" s="174"/>
      <c r="C1266" s="93" t="s">
        <v>200</v>
      </c>
      <c r="D1266" s="109">
        <f>(23.69+1.5*1.8+0.45*1.67)*10.764</f>
        <v>292.15110599999997</v>
      </c>
      <c r="E1266" s="93">
        <f>(6.4*1.2+2.7*1.8+4.5*1.2)*10.764</f>
        <v>193.10615999999996</v>
      </c>
      <c r="F1266" s="93">
        <f t="shared" ref="F1266:F1269" si="316">D1266*(($F$422)+1)+(IF(E1266&lt;101,E1266,IF(E1266&lt;201,E1266/2,IF(E1266&lt;=301,E1266/3,E1266/4))))</f>
        <v>534.77973899999995</v>
      </c>
      <c r="G1266" s="170" t="str">
        <f t="shared" si="314"/>
        <v>1st Floor for Residential</v>
      </c>
      <c r="H1266" s="171"/>
      <c r="I1266" s="38"/>
      <c r="N1266" s="38"/>
    </row>
    <row r="1267" spans="1:14" s="94" customFormat="1" ht="15.75" customHeight="1" x14ac:dyDescent="0.35">
      <c r="A1267" s="174">
        <f t="shared" si="313"/>
        <v>10</v>
      </c>
      <c r="B1267" s="174"/>
      <c r="C1267" s="93" t="s">
        <v>200</v>
      </c>
      <c r="D1267" s="109">
        <f>(23.69+1.5*1.8+0.45*1.67)*10.764</f>
        <v>292.15110599999997</v>
      </c>
      <c r="E1267" s="93">
        <f>(6.4*1.2+2.7*1.8+4.5*1.2)*10.764</f>
        <v>193.10615999999996</v>
      </c>
      <c r="F1267" s="93">
        <f t="shared" si="316"/>
        <v>534.77973899999995</v>
      </c>
      <c r="G1267" s="170" t="str">
        <f t="shared" si="314"/>
        <v>1st Floor for Residential</v>
      </c>
      <c r="H1267" s="171"/>
      <c r="I1267" s="38"/>
      <c r="N1267" s="38"/>
    </row>
    <row r="1268" spans="1:14" s="94" customFormat="1" ht="15.75" customHeight="1" x14ac:dyDescent="0.35">
      <c r="A1268" s="174">
        <f t="shared" si="313"/>
        <v>11</v>
      </c>
      <c r="B1268" s="174"/>
      <c r="C1268" s="93" t="s">
        <v>200</v>
      </c>
      <c r="D1268" s="109">
        <f>(23.69+1.5*1.8+0.45*1.67+0.6*2.24)*10.764</f>
        <v>306.61792200000002</v>
      </c>
      <c r="E1268" s="102">
        <f>(6.4*1.2+4.5*1.5)*10.764</f>
        <v>155.32451999999998</v>
      </c>
      <c r="F1268" s="93">
        <f t="shared" si="316"/>
        <v>537.58914300000004</v>
      </c>
      <c r="G1268" s="170" t="str">
        <f t="shared" si="314"/>
        <v>1st Floor for Residential</v>
      </c>
      <c r="H1268" s="171"/>
      <c r="I1268" s="38"/>
      <c r="N1268" s="38"/>
    </row>
    <row r="1269" spans="1:14" s="94" customFormat="1" ht="15.75" customHeight="1" x14ac:dyDescent="0.35">
      <c r="A1269" s="174">
        <f t="shared" si="313"/>
        <v>12</v>
      </c>
      <c r="B1269" s="174"/>
      <c r="C1269" s="93" t="s">
        <v>200</v>
      </c>
      <c r="D1269" s="109">
        <f>(23.69+1.5*1.8+3.16*0.75+1.2*1.2+0.45*1.67)*10.764</f>
        <v>333.161946</v>
      </c>
      <c r="E1269" s="93">
        <f>(3.5*1.8)*10.764</f>
        <v>67.813199999999995</v>
      </c>
      <c r="F1269" s="93">
        <f t="shared" si="316"/>
        <v>567.55611900000008</v>
      </c>
      <c r="G1269" s="170" t="str">
        <f t="shared" si="314"/>
        <v>1st Floor for Residential</v>
      </c>
      <c r="H1269" s="171"/>
      <c r="I1269" s="38"/>
      <c r="N1269" s="38"/>
    </row>
    <row r="1270" spans="1:14" s="94" customFormat="1" ht="15.75" customHeight="1" x14ac:dyDescent="0.35">
      <c r="A1270" s="174">
        <f t="shared" si="313"/>
        <v>13</v>
      </c>
      <c r="B1270" s="174"/>
      <c r="C1270" s="93" t="s">
        <v>200</v>
      </c>
      <c r="D1270" s="109">
        <f>(23.69+1.5*1.8+0.45*1.67)*10.764</f>
        <v>292.15110599999997</v>
      </c>
      <c r="E1270" s="93">
        <f>(1.8*2.5+4.5*1.2+4.2*1.2)*10.764</f>
        <v>160.81415999999996</v>
      </c>
      <c r="F1270" s="93">
        <f>D1270*(($F$422)+1)+(IF(E1270&lt;101,E1270,IF(E1270&lt;201,E1270/2,IF(E1270&lt;=301,E1270/3,E1270/4))))</f>
        <v>518.63373899999988</v>
      </c>
      <c r="G1270" s="170" t="str">
        <f t="shared" si="314"/>
        <v>1st Floor for Residential</v>
      </c>
      <c r="H1270" s="171"/>
      <c r="I1270" s="38"/>
      <c r="N1270" s="38"/>
    </row>
    <row r="1271" spans="1:14" s="94" customFormat="1" ht="15.75" customHeight="1" x14ac:dyDescent="0.35">
      <c r="A1271" s="174">
        <f t="shared" si="313"/>
        <v>14</v>
      </c>
      <c r="B1271" s="174"/>
      <c r="C1271" s="93" t="s">
        <v>200</v>
      </c>
      <c r="D1271" s="109">
        <f>(23.69+1.5*1.8+0.45*1.67)*10.764</f>
        <v>292.15110599999997</v>
      </c>
      <c r="E1271" s="93">
        <f>(1.8*2.5+4.5*1.2+4.2*1.2)*10.764</f>
        <v>160.81415999999996</v>
      </c>
      <c r="F1271" s="93">
        <f t="shared" ref="F1271:F1274" si="317">D1271*(($F$422)+1)+(IF(E1271&lt;101,E1271,IF(E1271&lt;201,E1271/2,IF(E1271&lt;=301,E1271/3,E1271/4))))</f>
        <v>518.63373899999988</v>
      </c>
      <c r="G1271" s="170" t="str">
        <f t="shared" si="314"/>
        <v>1st Floor for Residential</v>
      </c>
      <c r="H1271" s="171"/>
      <c r="I1271" s="38"/>
      <c r="N1271" s="38"/>
    </row>
    <row r="1272" spans="1:14" s="94" customFormat="1" ht="15.75" customHeight="1" x14ac:dyDescent="0.35">
      <c r="A1272" s="174">
        <f t="shared" si="313"/>
        <v>15</v>
      </c>
      <c r="B1272" s="174"/>
      <c r="C1272" s="93" t="s">
        <v>200</v>
      </c>
      <c r="D1272" s="109">
        <f>(23.69+1.5*1.8+3.16*0.75+1.2*1.2+0.45*1.67)*10.764</f>
        <v>333.161946</v>
      </c>
      <c r="E1272" s="93">
        <f>(3.5*1.8)*10.764</f>
        <v>67.813199999999995</v>
      </c>
      <c r="F1272" s="93">
        <f>D1272*(($F$422)+1)+(IF(E1272&lt;101,E1272,IF(E1272&lt;201,E1272/2,IF(E1272&lt;=301,E1272/3,E1272/4))))</f>
        <v>567.55611900000008</v>
      </c>
      <c r="G1272" s="170" t="str">
        <f t="shared" si="314"/>
        <v>1st Floor for Residential</v>
      </c>
      <c r="H1272" s="171"/>
      <c r="I1272" s="38"/>
      <c r="N1272" s="38"/>
    </row>
    <row r="1273" spans="1:14" s="94" customFormat="1" ht="15.75" customHeight="1" x14ac:dyDescent="0.35">
      <c r="A1273" s="174">
        <f t="shared" si="313"/>
        <v>16</v>
      </c>
      <c r="B1273" s="174"/>
      <c r="C1273" s="93" t="s">
        <v>200</v>
      </c>
      <c r="D1273" s="109">
        <f>(23.69+1.5*1.8+0.45*1.67+0.6*2.24)*10.764</f>
        <v>306.61792200000002</v>
      </c>
      <c r="E1273" s="93">
        <f>(6.4*1.2+4.5*1.5)*10.764</f>
        <v>155.32451999999998</v>
      </c>
      <c r="F1273" s="93">
        <f t="shared" si="317"/>
        <v>537.58914300000004</v>
      </c>
      <c r="G1273" s="170" t="str">
        <f t="shared" si="314"/>
        <v>1st Floor for Residential</v>
      </c>
      <c r="H1273" s="171"/>
      <c r="I1273" s="38"/>
      <c r="N1273" s="38"/>
    </row>
    <row r="1274" spans="1:14" s="94" customFormat="1" ht="15.75" customHeight="1" x14ac:dyDescent="0.35">
      <c r="A1274" s="174">
        <f t="shared" si="313"/>
        <v>17</v>
      </c>
      <c r="B1274" s="174"/>
      <c r="C1274" s="93" t="s">
        <v>200</v>
      </c>
      <c r="D1274" s="109">
        <f>(23.69+1.5*1.8+0.45*1.67)*10.764</f>
        <v>292.15110599999997</v>
      </c>
      <c r="E1274" s="93">
        <f>(6.4*1.2+2.7*1.8+4.5*1.2)*10.764</f>
        <v>193.10615999999996</v>
      </c>
      <c r="F1274" s="93">
        <f t="shared" si="317"/>
        <v>534.77973899999995</v>
      </c>
      <c r="G1274" s="170" t="str">
        <f t="shared" si="314"/>
        <v>1st Floor for Residential</v>
      </c>
      <c r="H1274" s="171"/>
      <c r="I1274" s="38"/>
      <c r="N1274" s="38"/>
    </row>
    <row r="1275" spans="1:14" s="94" customFormat="1" ht="15.75" customHeight="1" x14ac:dyDescent="0.35">
      <c r="A1275" s="174">
        <f t="shared" si="313"/>
        <v>18</v>
      </c>
      <c r="B1275" s="174"/>
      <c r="C1275" s="93" t="s">
        <v>200</v>
      </c>
      <c r="D1275" s="109">
        <f>(23.69+1.5*1.8+0.45*1.67)*10.764</f>
        <v>292.15110599999997</v>
      </c>
      <c r="E1275" s="93">
        <f>(6.4*1.2+2.7*1.8+4.5*1.2)*10.764</f>
        <v>193.10615999999996</v>
      </c>
      <c r="F1275" s="93">
        <f>D1275*(($F$422)+1)+(IF(E1275&lt;101,E1275,IF(E1275&lt;201,E1275/2,IF(E1275&lt;=301,E1275/3,E1275/4))))</f>
        <v>534.77973899999995</v>
      </c>
      <c r="G1275" s="170" t="str">
        <f t="shared" si="314"/>
        <v>1st Floor for Residential</v>
      </c>
      <c r="H1275" s="171"/>
      <c r="I1275" s="38"/>
      <c r="N1275" s="38"/>
    </row>
    <row r="1276" spans="1:14" s="94" customFormat="1" ht="15.75" customHeight="1" x14ac:dyDescent="0.35">
      <c r="A1276" s="174">
        <f t="shared" si="313"/>
        <v>19</v>
      </c>
      <c r="B1276" s="174"/>
      <c r="C1276" s="93" t="s">
        <v>200</v>
      </c>
      <c r="D1276" s="109">
        <f>(23.69+1.5*1.8+0.45*1.67+3.16*0.75)*10.764</f>
        <v>317.66178600000001</v>
      </c>
      <c r="E1276" s="93">
        <f>(1.2*5+1.8*3.5+0.6*1)*10.764</f>
        <v>138.85559999999998</v>
      </c>
      <c r="F1276" s="93">
        <f t="shared" ref="F1276:F1280" si="318">D1276*(($F$422)+1)+(IF(E1276&lt;101,E1276,IF(E1276&lt;201,E1276/2,IF(E1276&lt;=301,E1276/3,E1276/4))))</f>
        <v>545.920479</v>
      </c>
      <c r="G1276" s="170" t="str">
        <f t="shared" si="314"/>
        <v>1st Floor for Residential</v>
      </c>
      <c r="H1276" s="171"/>
      <c r="I1276" s="38"/>
      <c r="N1276" s="38"/>
    </row>
    <row r="1277" spans="1:14" s="94" customFormat="1" ht="15.75" customHeight="1" x14ac:dyDescent="0.35">
      <c r="A1277" s="174">
        <f t="shared" si="313"/>
        <v>20</v>
      </c>
      <c r="B1277" s="174"/>
      <c r="C1277" s="93" t="s">
        <v>200</v>
      </c>
      <c r="D1277" s="109">
        <f>(23.69+1.5*1.8+0.45*1.67)*10.764</f>
        <v>292.15110599999997</v>
      </c>
      <c r="E1277" s="93">
        <f>(6.4*1.2+2.7*1.8+4.5*1.2)*10.764</f>
        <v>193.10615999999996</v>
      </c>
      <c r="F1277" s="93">
        <f t="shared" si="318"/>
        <v>534.77973899999995</v>
      </c>
      <c r="G1277" s="170" t="str">
        <f t="shared" si="314"/>
        <v>1st Floor for Residential</v>
      </c>
      <c r="H1277" s="171"/>
      <c r="I1277" s="38"/>
      <c r="N1277" s="38"/>
    </row>
    <row r="1278" spans="1:14" s="94" customFormat="1" ht="15.75" customHeight="1" x14ac:dyDescent="0.35">
      <c r="A1278" s="174">
        <f t="shared" si="313"/>
        <v>21</v>
      </c>
      <c r="B1278" s="174"/>
      <c r="C1278" s="93" t="s">
        <v>200</v>
      </c>
      <c r="D1278" s="109">
        <f>(23.69+1.5*1.8+0.45*1.67+1.2*1.2)*10.764</f>
        <v>307.65126600000002</v>
      </c>
      <c r="E1278" s="93">
        <f>(1.2*5+1.8*2.7)*10.764</f>
        <v>116.89703999999999</v>
      </c>
      <c r="F1278" s="93">
        <f t="shared" si="318"/>
        <v>519.92541900000003</v>
      </c>
      <c r="G1278" s="170" t="str">
        <f t="shared" si="314"/>
        <v>1st Floor for Residential</v>
      </c>
      <c r="H1278" s="171"/>
      <c r="I1278" s="38"/>
      <c r="N1278" s="38"/>
    </row>
    <row r="1279" spans="1:14" s="94" customFormat="1" ht="15.75" customHeight="1" x14ac:dyDescent="0.35">
      <c r="A1279" s="174">
        <f t="shared" si="313"/>
        <v>22</v>
      </c>
      <c r="B1279" s="174"/>
      <c r="C1279" s="93" t="s">
        <v>200</v>
      </c>
      <c r="D1279" s="109">
        <f>(23.69+1.5*1.8+0.45*1.67+1.2*1.2)*10.764</f>
        <v>307.65126600000002</v>
      </c>
      <c r="E1279" s="93">
        <f>(1.2*5+1.8*2.7)*10.764</f>
        <v>116.89703999999999</v>
      </c>
      <c r="F1279" s="93">
        <f t="shared" si="318"/>
        <v>519.92541900000003</v>
      </c>
      <c r="G1279" s="170" t="str">
        <f t="shared" si="314"/>
        <v>1st Floor for Residential</v>
      </c>
      <c r="H1279" s="171"/>
      <c r="I1279" s="38"/>
      <c r="N1279" s="38"/>
    </row>
    <row r="1280" spans="1:14" s="94" customFormat="1" ht="15.75" customHeight="1" x14ac:dyDescent="0.35">
      <c r="A1280" s="174">
        <f t="shared" si="313"/>
        <v>23</v>
      </c>
      <c r="B1280" s="174"/>
      <c r="C1280" s="93" t="s">
        <v>200</v>
      </c>
      <c r="D1280" s="109">
        <f>(23.69+1.5*1.8+0.45*1.67)*10.764</f>
        <v>292.15110599999997</v>
      </c>
      <c r="E1280" s="93">
        <f>(6.4*1.2+2.7*1.8+4.5*1.2)*10.764</f>
        <v>193.10615999999996</v>
      </c>
      <c r="F1280" s="93">
        <f t="shared" si="318"/>
        <v>534.77973899999995</v>
      </c>
      <c r="G1280" s="170" t="str">
        <f t="shared" si="314"/>
        <v>1st Floor for Residential</v>
      </c>
      <c r="H1280" s="171"/>
      <c r="I1280" s="38"/>
      <c r="N1280" s="38"/>
    </row>
    <row r="1281" spans="1:14" s="94" customFormat="1" ht="15.75" customHeight="1" x14ac:dyDescent="0.35">
      <c r="A1281" s="174">
        <f t="shared" si="313"/>
        <v>24</v>
      </c>
      <c r="B1281" s="174"/>
      <c r="C1281" s="93" t="s">
        <v>200</v>
      </c>
      <c r="D1281" s="109">
        <f>(23.69+1.5*1.8+0.45*1.68+3.16*0.75)*10.764</f>
        <v>317.71022399999998</v>
      </c>
      <c r="E1281" s="93">
        <f>(3.5*1.8+1.5*3.5+1.5*1.2+2.8*1.2)*10.764</f>
        <v>179.86644000000001</v>
      </c>
      <c r="F1281" s="93">
        <f>D1281*(($F$422)+1)+(IF(E1281&lt;101,E1281,IF(E1281&lt;201,E1281/2,IF(E1281&lt;=301,E1281/3,E1281/4))))</f>
        <v>566.49855600000001</v>
      </c>
      <c r="G1281" s="170" t="str">
        <f t="shared" si="314"/>
        <v>1st Floor for Residential</v>
      </c>
      <c r="H1281" s="171"/>
      <c r="I1281" s="38"/>
      <c r="N1281" s="38"/>
    </row>
    <row r="1282" spans="1:14" s="94" customFormat="1" ht="15.75" customHeight="1" x14ac:dyDescent="0.35">
      <c r="A1282" s="174">
        <f t="shared" si="313"/>
        <v>25</v>
      </c>
      <c r="B1282" s="174"/>
      <c r="C1282" s="93" t="s">
        <v>200</v>
      </c>
      <c r="D1282" s="109">
        <f>(23.69+1.5*1.8+0.45*1.68+3.16*0.75)*10.764</f>
        <v>317.71022399999998</v>
      </c>
      <c r="E1282" s="93">
        <f>(3.5*1.8+5*1.2)*10.764</f>
        <v>132.3972</v>
      </c>
      <c r="F1282" s="93">
        <f t="shared" ref="F1282:F1285" si="319">D1282*(($F$422)+1)+(IF(E1282&lt;101,E1282,IF(E1282&lt;201,E1282/2,IF(E1282&lt;=301,E1282/3,E1282/4))))</f>
        <v>542.76393600000006</v>
      </c>
      <c r="G1282" s="170" t="str">
        <f t="shared" si="314"/>
        <v>1st Floor for Residential</v>
      </c>
      <c r="H1282" s="171"/>
      <c r="I1282" s="38"/>
      <c r="N1282" s="38"/>
    </row>
    <row r="1283" spans="1:14" s="94" customFormat="1" ht="15.75" customHeight="1" x14ac:dyDescent="0.35">
      <c r="A1283" s="174">
        <f t="shared" si="313"/>
        <v>26</v>
      </c>
      <c r="B1283" s="174"/>
      <c r="C1283" s="93" t="s">
        <v>200</v>
      </c>
      <c r="D1283" s="109">
        <f>(23.69+1.5*1.8+0.45*1.67)*10.764</f>
        <v>292.15110599999997</v>
      </c>
      <c r="E1283" s="93">
        <f>(6.4*1.2+2.7*1.8+4.5*1.2)*10.764</f>
        <v>193.10615999999996</v>
      </c>
      <c r="F1283" s="93">
        <f t="shared" si="319"/>
        <v>534.77973899999995</v>
      </c>
      <c r="G1283" s="170" t="str">
        <f t="shared" si="314"/>
        <v>1st Floor for Residential</v>
      </c>
      <c r="H1283" s="171"/>
      <c r="I1283" s="38"/>
      <c r="N1283" s="38"/>
    </row>
    <row r="1284" spans="1:14" s="94" customFormat="1" ht="15.75" customHeight="1" x14ac:dyDescent="0.35">
      <c r="A1284" s="174">
        <f t="shared" si="313"/>
        <v>27</v>
      </c>
      <c r="B1284" s="174"/>
      <c r="C1284" s="93" t="s">
        <v>200</v>
      </c>
      <c r="D1284" s="109">
        <f>(23.69+1.5*1.8+0.45*1.67+1.2*1.2)*10.764</f>
        <v>307.65126600000002</v>
      </c>
      <c r="E1284" s="93">
        <f>(1.2*5+1.8*2.7)*10.764</f>
        <v>116.89703999999999</v>
      </c>
      <c r="F1284" s="93">
        <f t="shared" si="319"/>
        <v>519.92541900000003</v>
      </c>
      <c r="G1284" s="170" t="str">
        <f t="shared" si="314"/>
        <v>1st Floor for Residential</v>
      </c>
      <c r="H1284" s="171"/>
      <c r="I1284" s="38"/>
      <c r="N1284" s="38"/>
    </row>
    <row r="1285" spans="1:14" s="94" customFormat="1" ht="15.75" customHeight="1" x14ac:dyDescent="0.35">
      <c r="A1285" s="174">
        <f t="shared" si="313"/>
        <v>28</v>
      </c>
      <c r="B1285" s="174"/>
      <c r="C1285" s="93" t="s">
        <v>200</v>
      </c>
      <c r="D1285" s="109">
        <f>(23.69+1.8*(1.5+1.2)+0.45*1.68+3.16*0.75)*10.764</f>
        <v>340.960464</v>
      </c>
      <c r="E1285" s="93">
        <f>(5*1.2)*10.764</f>
        <v>64.584000000000003</v>
      </c>
      <c r="F1285" s="93">
        <f t="shared" si="319"/>
        <v>576.02469599999995</v>
      </c>
      <c r="G1285" s="172" t="str">
        <f t="shared" si="314"/>
        <v>1st Floor for Residential</v>
      </c>
      <c r="H1285" s="173"/>
      <c r="I1285" s="38"/>
      <c r="N1285" s="38"/>
    </row>
    <row r="1286" spans="1:14" s="94" customFormat="1" x14ac:dyDescent="0.35">
      <c r="A1286" s="183" t="s">
        <v>171</v>
      </c>
      <c r="B1286" s="183"/>
      <c r="C1286" s="183"/>
      <c r="D1286" s="183"/>
      <c r="E1286" s="183"/>
      <c r="F1286" s="183"/>
      <c r="G1286" s="183"/>
      <c r="H1286" s="183"/>
      <c r="I1286" s="38"/>
      <c r="L1286" s="182"/>
      <c r="M1286" s="182"/>
    </row>
    <row r="1287" spans="1:14" s="94" customFormat="1" ht="15.75" customHeight="1" x14ac:dyDescent="0.35">
      <c r="A1287" s="174">
        <v>1</v>
      </c>
      <c r="B1287" s="174"/>
      <c r="C1287" s="123" t="s">
        <v>200</v>
      </c>
      <c r="D1287" s="123">
        <f t="shared" ref="D1287:D1292" si="320">(23.69+1.8*(1.5+1.2)+0.45*1.68+3.16*0.75+1.2*1.2)*10.764</f>
        <v>356.460624</v>
      </c>
      <c r="E1287" s="123">
        <v>0</v>
      </c>
      <c r="F1287" s="123">
        <f t="shared" ref="F1287:F1288" si="321">D1287*(($F$422)+1)+(IF(E1287&lt;101,E1287,IF(E1287&lt;201,E1287/2,IF(E1287&lt;=301,E1287/3,E1287/4))))</f>
        <v>534.69093599999997</v>
      </c>
      <c r="G1287" s="174" t="str">
        <f>A1286</f>
        <v xml:space="preserve">2nd to 7th, 9th to 11th, 13rd to 15th, 17th to 19th, 21st to 23rd Floor </v>
      </c>
      <c r="H1287" s="174"/>
      <c r="I1287" s="38"/>
      <c r="N1287" s="38"/>
    </row>
    <row r="1288" spans="1:14" s="94" customFormat="1" ht="15.75" customHeight="1" x14ac:dyDescent="0.35">
      <c r="A1288" s="174">
        <f t="shared" ref="A1288:A1314" si="322">A1287+1</f>
        <v>2</v>
      </c>
      <c r="B1288" s="174"/>
      <c r="C1288" s="123" t="s">
        <v>200</v>
      </c>
      <c r="D1288" s="123">
        <f t="shared" si="320"/>
        <v>356.460624</v>
      </c>
      <c r="E1288" s="123">
        <v>0</v>
      </c>
      <c r="F1288" s="123">
        <f t="shared" si="321"/>
        <v>534.69093599999997</v>
      </c>
      <c r="G1288" s="174" t="str">
        <f t="shared" ref="G1288:G1314" si="323">G1287</f>
        <v xml:space="preserve">2nd to 7th, 9th to 11th, 13rd to 15th, 17th to 19th, 21st to 23rd Floor </v>
      </c>
      <c r="H1288" s="174"/>
      <c r="I1288" s="38"/>
      <c r="N1288" s="38"/>
    </row>
    <row r="1289" spans="1:14" s="94" customFormat="1" ht="15.75" customHeight="1" x14ac:dyDescent="0.35">
      <c r="A1289" s="174">
        <f t="shared" si="322"/>
        <v>3</v>
      </c>
      <c r="B1289" s="174"/>
      <c r="C1289" s="123" t="s">
        <v>200</v>
      </c>
      <c r="D1289" s="123">
        <f t="shared" si="320"/>
        <v>356.460624</v>
      </c>
      <c r="E1289" s="123">
        <v>0</v>
      </c>
      <c r="F1289" s="123">
        <f>D1289*(($F$422)+1)+(IF(E1289&lt;101,E1289,IF(E1289&lt;201,E1289/2,IF(E1289&lt;=301,E1289/3,E1289/4))))</f>
        <v>534.69093599999997</v>
      </c>
      <c r="G1289" s="174" t="str">
        <f t="shared" si="323"/>
        <v xml:space="preserve">2nd to 7th, 9th to 11th, 13rd to 15th, 17th to 19th, 21st to 23rd Floor </v>
      </c>
      <c r="H1289" s="174"/>
      <c r="I1289" s="38"/>
      <c r="N1289" s="38"/>
    </row>
    <row r="1290" spans="1:14" s="94" customFormat="1" ht="15.75" customHeight="1" x14ac:dyDescent="0.35">
      <c r="A1290" s="174">
        <f t="shared" si="322"/>
        <v>4</v>
      </c>
      <c r="B1290" s="174"/>
      <c r="C1290" s="123" t="s">
        <v>200</v>
      </c>
      <c r="D1290" s="123">
        <f t="shared" si="320"/>
        <v>356.460624</v>
      </c>
      <c r="E1290" s="123">
        <v>0</v>
      </c>
      <c r="F1290" s="123">
        <f t="shared" ref="F1290:F1293" si="324">D1290*(($F$422)+1)+(IF(E1290&lt;101,E1290,IF(E1290&lt;201,E1290/2,IF(E1290&lt;=301,E1290/3,E1290/4))))</f>
        <v>534.69093599999997</v>
      </c>
      <c r="G1290" s="174" t="str">
        <f t="shared" si="323"/>
        <v xml:space="preserve">2nd to 7th, 9th to 11th, 13rd to 15th, 17th to 19th, 21st to 23rd Floor </v>
      </c>
      <c r="H1290" s="174"/>
      <c r="I1290" s="38"/>
      <c r="N1290" s="38"/>
    </row>
    <row r="1291" spans="1:14" s="94" customFormat="1" ht="15.75" customHeight="1" x14ac:dyDescent="0.35">
      <c r="A1291" s="174">
        <f t="shared" si="322"/>
        <v>5</v>
      </c>
      <c r="B1291" s="174"/>
      <c r="C1291" s="123" t="s">
        <v>200</v>
      </c>
      <c r="D1291" s="123">
        <f t="shared" si="320"/>
        <v>356.460624</v>
      </c>
      <c r="E1291" s="123">
        <v>0</v>
      </c>
      <c r="F1291" s="123">
        <f t="shared" si="324"/>
        <v>534.69093599999997</v>
      </c>
      <c r="G1291" s="174" t="str">
        <f t="shared" si="323"/>
        <v xml:space="preserve">2nd to 7th, 9th to 11th, 13rd to 15th, 17th to 19th, 21st to 23rd Floor </v>
      </c>
      <c r="H1291" s="174"/>
      <c r="I1291" s="38"/>
      <c r="N1291" s="38"/>
    </row>
    <row r="1292" spans="1:14" s="94" customFormat="1" ht="15.75" customHeight="1" x14ac:dyDescent="0.35">
      <c r="A1292" s="174">
        <f t="shared" si="322"/>
        <v>6</v>
      </c>
      <c r="B1292" s="174"/>
      <c r="C1292" s="123" t="s">
        <v>200</v>
      </c>
      <c r="D1292" s="123">
        <f t="shared" si="320"/>
        <v>356.460624</v>
      </c>
      <c r="E1292" s="123">
        <v>0</v>
      </c>
      <c r="F1292" s="123">
        <f t="shared" si="324"/>
        <v>534.69093599999997</v>
      </c>
      <c r="G1292" s="174" t="str">
        <f t="shared" si="323"/>
        <v xml:space="preserve">2nd to 7th, 9th to 11th, 13rd to 15th, 17th to 19th, 21st to 23rd Floor </v>
      </c>
      <c r="H1292" s="174"/>
      <c r="I1292" s="38"/>
      <c r="N1292" s="38"/>
    </row>
    <row r="1293" spans="1:14" s="94" customFormat="1" ht="15.75" customHeight="1" x14ac:dyDescent="0.35">
      <c r="A1293" s="174">
        <f t="shared" si="322"/>
        <v>7</v>
      </c>
      <c r="B1293" s="174"/>
      <c r="C1293" s="123" t="s">
        <v>200</v>
      </c>
      <c r="D1293" s="123">
        <f t="shared" ref="D1293:D1314" si="325">(23.69+1.8*(1.5+1.2)+0.45*1.68+3.16*0.75+1.2*1.2)*10.764</f>
        <v>356.460624</v>
      </c>
      <c r="E1293" s="123">
        <v>0</v>
      </c>
      <c r="F1293" s="123">
        <f t="shared" si="324"/>
        <v>534.69093599999997</v>
      </c>
      <c r="G1293" s="174" t="str">
        <f t="shared" si="323"/>
        <v xml:space="preserve">2nd to 7th, 9th to 11th, 13rd to 15th, 17th to 19th, 21st to 23rd Floor </v>
      </c>
      <c r="H1293" s="174"/>
      <c r="I1293" s="38"/>
      <c r="N1293" s="38"/>
    </row>
    <row r="1294" spans="1:14" s="94" customFormat="1" ht="15.75" customHeight="1" x14ac:dyDescent="0.35">
      <c r="A1294" s="174">
        <f t="shared" si="322"/>
        <v>8</v>
      </c>
      <c r="B1294" s="174"/>
      <c r="C1294" s="123" t="s">
        <v>200</v>
      </c>
      <c r="D1294" s="123">
        <f t="shared" si="325"/>
        <v>356.460624</v>
      </c>
      <c r="E1294" s="123">
        <v>0</v>
      </c>
      <c r="F1294" s="123">
        <f>D1294*(($F$422)+1)+(IF(E1294&lt;101,E1294,IF(E1294&lt;201,E1294/2,IF(E1294&lt;=301,E1294/3,E1294/4))))</f>
        <v>534.69093599999997</v>
      </c>
      <c r="G1294" s="174" t="str">
        <f t="shared" si="323"/>
        <v xml:space="preserve">2nd to 7th, 9th to 11th, 13rd to 15th, 17th to 19th, 21st to 23rd Floor </v>
      </c>
      <c r="H1294" s="174"/>
      <c r="I1294" s="38"/>
      <c r="N1294" s="38"/>
    </row>
    <row r="1295" spans="1:14" s="94" customFormat="1" ht="15.75" customHeight="1" x14ac:dyDescent="0.35">
      <c r="A1295" s="174">
        <f t="shared" si="322"/>
        <v>9</v>
      </c>
      <c r="B1295" s="174"/>
      <c r="C1295" s="123" t="s">
        <v>200</v>
      </c>
      <c r="D1295" s="123">
        <f t="shared" si="325"/>
        <v>356.460624</v>
      </c>
      <c r="E1295" s="123">
        <v>0</v>
      </c>
      <c r="F1295" s="123">
        <f t="shared" ref="F1295:F1298" si="326">D1295*(($F$422)+1)+(IF(E1295&lt;101,E1295,IF(E1295&lt;201,E1295/2,IF(E1295&lt;=301,E1295/3,E1295/4))))</f>
        <v>534.69093599999997</v>
      </c>
      <c r="G1295" s="174" t="str">
        <f t="shared" si="323"/>
        <v xml:space="preserve">2nd to 7th, 9th to 11th, 13rd to 15th, 17th to 19th, 21st to 23rd Floor </v>
      </c>
      <c r="H1295" s="174"/>
      <c r="I1295" s="38"/>
      <c r="N1295" s="38"/>
    </row>
    <row r="1296" spans="1:14" s="94" customFormat="1" ht="15.75" customHeight="1" x14ac:dyDescent="0.35">
      <c r="A1296" s="174">
        <f t="shared" si="322"/>
        <v>10</v>
      </c>
      <c r="B1296" s="174"/>
      <c r="C1296" s="123" t="s">
        <v>200</v>
      </c>
      <c r="D1296" s="123">
        <f t="shared" si="325"/>
        <v>356.460624</v>
      </c>
      <c r="E1296" s="123">
        <v>0</v>
      </c>
      <c r="F1296" s="123">
        <f t="shared" si="326"/>
        <v>534.69093599999997</v>
      </c>
      <c r="G1296" s="174" t="str">
        <f t="shared" si="323"/>
        <v xml:space="preserve">2nd to 7th, 9th to 11th, 13rd to 15th, 17th to 19th, 21st to 23rd Floor </v>
      </c>
      <c r="H1296" s="174"/>
      <c r="I1296" s="38"/>
      <c r="N1296" s="38"/>
    </row>
    <row r="1297" spans="1:14" s="94" customFormat="1" ht="15.75" customHeight="1" x14ac:dyDescent="0.35">
      <c r="A1297" s="174">
        <f t="shared" si="322"/>
        <v>11</v>
      </c>
      <c r="B1297" s="174"/>
      <c r="C1297" s="123" t="s">
        <v>200</v>
      </c>
      <c r="D1297" s="123">
        <f t="shared" si="325"/>
        <v>356.460624</v>
      </c>
      <c r="E1297" s="123">
        <v>0</v>
      </c>
      <c r="F1297" s="123">
        <f t="shared" si="326"/>
        <v>534.69093599999997</v>
      </c>
      <c r="G1297" s="174" t="str">
        <f t="shared" si="323"/>
        <v xml:space="preserve">2nd to 7th, 9th to 11th, 13rd to 15th, 17th to 19th, 21st to 23rd Floor </v>
      </c>
      <c r="H1297" s="174"/>
      <c r="I1297" s="38"/>
      <c r="N1297" s="38"/>
    </row>
    <row r="1298" spans="1:14" s="94" customFormat="1" ht="15.75" customHeight="1" x14ac:dyDescent="0.35">
      <c r="A1298" s="174">
        <f t="shared" si="322"/>
        <v>12</v>
      </c>
      <c r="B1298" s="174"/>
      <c r="C1298" s="123" t="s">
        <v>200</v>
      </c>
      <c r="D1298" s="123">
        <f t="shared" si="325"/>
        <v>356.460624</v>
      </c>
      <c r="E1298" s="123">
        <v>0</v>
      </c>
      <c r="F1298" s="123">
        <f t="shared" si="326"/>
        <v>534.69093599999997</v>
      </c>
      <c r="G1298" s="174" t="str">
        <f t="shared" si="323"/>
        <v xml:space="preserve">2nd to 7th, 9th to 11th, 13rd to 15th, 17th to 19th, 21st to 23rd Floor </v>
      </c>
      <c r="H1298" s="174"/>
      <c r="I1298" s="38"/>
      <c r="N1298" s="38"/>
    </row>
    <row r="1299" spans="1:14" s="94" customFormat="1" ht="15.75" customHeight="1" x14ac:dyDescent="0.35">
      <c r="A1299" s="174">
        <f t="shared" si="322"/>
        <v>13</v>
      </c>
      <c r="B1299" s="174"/>
      <c r="C1299" s="123" t="s">
        <v>200</v>
      </c>
      <c r="D1299" s="123">
        <f t="shared" si="325"/>
        <v>356.460624</v>
      </c>
      <c r="E1299" s="123">
        <v>0</v>
      </c>
      <c r="F1299" s="123">
        <f>D1299*(($F$422)+1)+(IF(E1299&lt;101,E1299,IF(E1299&lt;201,E1299/2,IF(E1299&lt;=301,E1299/3,E1299/4))))</f>
        <v>534.69093599999997</v>
      </c>
      <c r="G1299" s="174" t="str">
        <f t="shared" si="323"/>
        <v xml:space="preserve">2nd to 7th, 9th to 11th, 13rd to 15th, 17th to 19th, 21st to 23rd Floor </v>
      </c>
      <c r="H1299" s="174"/>
      <c r="I1299" s="38"/>
      <c r="N1299" s="38"/>
    </row>
    <row r="1300" spans="1:14" s="94" customFormat="1" ht="15.75" customHeight="1" x14ac:dyDescent="0.35">
      <c r="A1300" s="174">
        <f t="shared" si="322"/>
        <v>14</v>
      </c>
      <c r="B1300" s="174"/>
      <c r="C1300" s="123" t="s">
        <v>200</v>
      </c>
      <c r="D1300" s="123">
        <f t="shared" si="325"/>
        <v>356.460624</v>
      </c>
      <c r="E1300" s="123">
        <v>0</v>
      </c>
      <c r="F1300" s="123">
        <f t="shared" ref="F1300" si="327">D1300*(($F$422)+1)+(IF(E1300&lt;101,E1300,IF(E1300&lt;201,E1300/2,IF(E1300&lt;=301,E1300/3,E1300/4))))</f>
        <v>534.69093599999997</v>
      </c>
      <c r="G1300" s="174" t="str">
        <f t="shared" si="323"/>
        <v xml:space="preserve">2nd to 7th, 9th to 11th, 13rd to 15th, 17th to 19th, 21st to 23rd Floor </v>
      </c>
      <c r="H1300" s="174"/>
      <c r="I1300" s="38"/>
      <c r="N1300" s="38"/>
    </row>
    <row r="1301" spans="1:14" s="94" customFormat="1" ht="15.75" customHeight="1" x14ac:dyDescent="0.35">
      <c r="A1301" s="174">
        <f t="shared" si="322"/>
        <v>15</v>
      </c>
      <c r="B1301" s="174"/>
      <c r="C1301" s="123" t="s">
        <v>200</v>
      </c>
      <c r="D1301" s="123">
        <f t="shared" si="325"/>
        <v>356.460624</v>
      </c>
      <c r="E1301" s="123">
        <v>0</v>
      </c>
      <c r="F1301" s="123">
        <f>D1301*(($F$422)+1)+(IF(E1301&lt;101,E1301,IF(E1301&lt;201,E1301/2,IF(E1301&lt;=301,E1301/3,E1301/4))))</f>
        <v>534.69093599999997</v>
      </c>
      <c r="G1301" s="174" t="str">
        <f t="shared" si="323"/>
        <v xml:space="preserve">2nd to 7th, 9th to 11th, 13rd to 15th, 17th to 19th, 21st to 23rd Floor </v>
      </c>
      <c r="H1301" s="174"/>
      <c r="I1301" s="38"/>
      <c r="N1301" s="38"/>
    </row>
    <row r="1302" spans="1:14" s="94" customFormat="1" ht="15.75" customHeight="1" x14ac:dyDescent="0.35">
      <c r="A1302" s="174">
        <f t="shared" si="322"/>
        <v>16</v>
      </c>
      <c r="B1302" s="174"/>
      <c r="C1302" s="123" t="s">
        <v>200</v>
      </c>
      <c r="D1302" s="123">
        <f t="shared" si="325"/>
        <v>356.460624</v>
      </c>
      <c r="E1302" s="123">
        <v>0</v>
      </c>
      <c r="F1302" s="123">
        <f t="shared" ref="F1302:F1303" si="328">D1302*(($F$422)+1)+(IF(E1302&lt;101,E1302,IF(E1302&lt;201,E1302/2,IF(E1302&lt;=301,E1302/3,E1302/4))))</f>
        <v>534.69093599999997</v>
      </c>
      <c r="G1302" s="174" t="str">
        <f t="shared" si="323"/>
        <v xml:space="preserve">2nd to 7th, 9th to 11th, 13rd to 15th, 17th to 19th, 21st to 23rd Floor </v>
      </c>
      <c r="H1302" s="174"/>
      <c r="I1302" s="38"/>
      <c r="N1302" s="38"/>
    </row>
    <row r="1303" spans="1:14" s="94" customFormat="1" ht="15.75" customHeight="1" x14ac:dyDescent="0.35">
      <c r="A1303" s="174">
        <f t="shared" si="322"/>
        <v>17</v>
      </c>
      <c r="B1303" s="174"/>
      <c r="C1303" s="123" t="s">
        <v>200</v>
      </c>
      <c r="D1303" s="123">
        <f t="shared" si="325"/>
        <v>356.460624</v>
      </c>
      <c r="E1303" s="123">
        <v>0</v>
      </c>
      <c r="F1303" s="123">
        <f t="shared" si="328"/>
        <v>534.69093599999997</v>
      </c>
      <c r="G1303" s="174" t="str">
        <f t="shared" si="323"/>
        <v xml:space="preserve">2nd to 7th, 9th to 11th, 13rd to 15th, 17th to 19th, 21st to 23rd Floor </v>
      </c>
      <c r="H1303" s="174"/>
      <c r="I1303" s="38"/>
      <c r="N1303" s="38"/>
    </row>
    <row r="1304" spans="1:14" s="94" customFormat="1" ht="15.75" customHeight="1" x14ac:dyDescent="0.35">
      <c r="A1304" s="174">
        <f t="shared" si="322"/>
        <v>18</v>
      </c>
      <c r="B1304" s="174"/>
      <c r="C1304" s="123" t="s">
        <v>200</v>
      </c>
      <c r="D1304" s="123">
        <f t="shared" si="325"/>
        <v>356.460624</v>
      </c>
      <c r="E1304" s="123">
        <v>0</v>
      </c>
      <c r="F1304" s="123">
        <f>D1304*(($F$422)+1)+(IF(E1304&lt;101,E1304,IF(E1304&lt;201,E1304/2,IF(E1304&lt;=301,E1304/3,E1304/4))))</f>
        <v>534.69093599999997</v>
      </c>
      <c r="G1304" s="174" t="str">
        <f t="shared" si="323"/>
        <v xml:space="preserve">2nd to 7th, 9th to 11th, 13rd to 15th, 17th to 19th, 21st to 23rd Floor </v>
      </c>
      <c r="H1304" s="174"/>
      <c r="I1304" s="38"/>
      <c r="N1304" s="38"/>
    </row>
    <row r="1305" spans="1:14" s="94" customFormat="1" ht="15.75" customHeight="1" x14ac:dyDescent="0.35">
      <c r="A1305" s="174">
        <f t="shared" si="322"/>
        <v>19</v>
      </c>
      <c r="B1305" s="174"/>
      <c r="C1305" s="123" t="s">
        <v>200</v>
      </c>
      <c r="D1305" s="123">
        <f t="shared" si="325"/>
        <v>356.460624</v>
      </c>
      <c r="E1305" s="123">
        <v>0</v>
      </c>
      <c r="F1305" s="123">
        <f t="shared" ref="F1305:F1309" si="329">D1305*(($F$422)+1)+(IF(E1305&lt;101,E1305,IF(E1305&lt;201,E1305/2,IF(E1305&lt;=301,E1305/3,E1305/4))))</f>
        <v>534.69093599999997</v>
      </c>
      <c r="G1305" s="174" t="str">
        <f t="shared" si="323"/>
        <v xml:space="preserve">2nd to 7th, 9th to 11th, 13rd to 15th, 17th to 19th, 21st to 23rd Floor </v>
      </c>
      <c r="H1305" s="174"/>
      <c r="I1305" s="38"/>
      <c r="N1305" s="38"/>
    </row>
    <row r="1306" spans="1:14" s="94" customFormat="1" ht="15.75" customHeight="1" x14ac:dyDescent="0.35">
      <c r="A1306" s="174">
        <f t="shared" si="322"/>
        <v>20</v>
      </c>
      <c r="B1306" s="174"/>
      <c r="C1306" s="123" t="s">
        <v>200</v>
      </c>
      <c r="D1306" s="123">
        <f t="shared" si="325"/>
        <v>356.460624</v>
      </c>
      <c r="E1306" s="123">
        <v>0</v>
      </c>
      <c r="F1306" s="123">
        <f t="shared" si="329"/>
        <v>534.69093599999997</v>
      </c>
      <c r="G1306" s="174" t="str">
        <f t="shared" si="323"/>
        <v xml:space="preserve">2nd to 7th, 9th to 11th, 13rd to 15th, 17th to 19th, 21st to 23rd Floor </v>
      </c>
      <c r="H1306" s="174"/>
      <c r="I1306" s="38"/>
      <c r="N1306" s="38"/>
    </row>
    <row r="1307" spans="1:14" s="94" customFormat="1" ht="15.75" customHeight="1" x14ac:dyDescent="0.35">
      <c r="A1307" s="174">
        <f t="shared" si="322"/>
        <v>21</v>
      </c>
      <c r="B1307" s="174"/>
      <c r="C1307" s="123" t="s">
        <v>200</v>
      </c>
      <c r="D1307" s="123">
        <f t="shared" si="325"/>
        <v>356.460624</v>
      </c>
      <c r="E1307" s="123">
        <v>0</v>
      </c>
      <c r="F1307" s="123">
        <f t="shared" si="329"/>
        <v>534.69093599999997</v>
      </c>
      <c r="G1307" s="174" t="str">
        <f t="shared" si="323"/>
        <v xml:space="preserve">2nd to 7th, 9th to 11th, 13rd to 15th, 17th to 19th, 21st to 23rd Floor </v>
      </c>
      <c r="H1307" s="174"/>
      <c r="I1307" s="38"/>
      <c r="N1307" s="38"/>
    </row>
    <row r="1308" spans="1:14" s="94" customFormat="1" ht="15.75" customHeight="1" x14ac:dyDescent="0.35">
      <c r="A1308" s="174">
        <f t="shared" si="322"/>
        <v>22</v>
      </c>
      <c r="B1308" s="174"/>
      <c r="C1308" s="123" t="s">
        <v>200</v>
      </c>
      <c r="D1308" s="123">
        <f t="shared" si="325"/>
        <v>356.460624</v>
      </c>
      <c r="E1308" s="123">
        <v>0</v>
      </c>
      <c r="F1308" s="123">
        <f t="shared" si="329"/>
        <v>534.69093599999997</v>
      </c>
      <c r="G1308" s="174" t="str">
        <f t="shared" si="323"/>
        <v xml:space="preserve">2nd to 7th, 9th to 11th, 13rd to 15th, 17th to 19th, 21st to 23rd Floor </v>
      </c>
      <c r="H1308" s="174"/>
      <c r="I1308" s="38"/>
      <c r="N1308" s="38"/>
    </row>
    <row r="1309" spans="1:14" s="94" customFormat="1" ht="15.75" customHeight="1" x14ac:dyDescent="0.35">
      <c r="A1309" s="174">
        <f t="shared" si="322"/>
        <v>23</v>
      </c>
      <c r="B1309" s="174"/>
      <c r="C1309" s="123" t="s">
        <v>200</v>
      </c>
      <c r="D1309" s="123">
        <f t="shared" si="325"/>
        <v>356.460624</v>
      </c>
      <c r="E1309" s="123">
        <v>0</v>
      </c>
      <c r="F1309" s="123">
        <f t="shared" si="329"/>
        <v>534.69093599999997</v>
      </c>
      <c r="G1309" s="174" t="str">
        <f t="shared" si="323"/>
        <v xml:space="preserve">2nd to 7th, 9th to 11th, 13rd to 15th, 17th to 19th, 21st to 23rd Floor </v>
      </c>
      <c r="H1309" s="174"/>
      <c r="I1309" s="38"/>
      <c r="N1309" s="38"/>
    </row>
    <row r="1310" spans="1:14" s="94" customFormat="1" ht="15.75" customHeight="1" x14ac:dyDescent="0.35">
      <c r="A1310" s="174">
        <f t="shared" si="322"/>
        <v>24</v>
      </c>
      <c r="B1310" s="174"/>
      <c r="C1310" s="123" t="s">
        <v>200</v>
      </c>
      <c r="D1310" s="123">
        <f t="shared" si="325"/>
        <v>356.460624</v>
      </c>
      <c r="E1310" s="123">
        <v>0</v>
      </c>
      <c r="F1310" s="123">
        <f>D1310*(($F$422)+1)+(IF(E1310&lt;101,E1310,IF(E1310&lt;201,E1310/2,IF(E1310&lt;=301,E1310/3,E1310/4))))</f>
        <v>534.69093599999997</v>
      </c>
      <c r="G1310" s="174" t="str">
        <f t="shared" si="323"/>
        <v xml:space="preserve">2nd to 7th, 9th to 11th, 13rd to 15th, 17th to 19th, 21st to 23rd Floor </v>
      </c>
      <c r="H1310" s="174"/>
      <c r="I1310" s="38"/>
      <c r="N1310" s="38"/>
    </row>
    <row r="1311" spans="1:14" s="94" customFormat="1" ht="15.75" customHeight="1" x14ac:dyDescent="0.35">
      <c r="A1311" s="174">
        <f t="shared" si="322"/>
        <v>25</v>
      </c>
      <c r="B1311" s="174"/>
      <c r="C1311" s="123" t="s">
        <v>200</v>
      </c>
      <c r="D1311" s="123">
        <f t="shared" si="325"/>
        <v>356.460624</v>
      </c>
      <c r="E1311" s="123">
        <v>0</v>
      </c>
      <c r="F1311" s="123">
        <f t="shared" ref="F1311:F1314" si="330">D1311*(($F$422)+1)+(IF(E1311&lt;101,E1311,IF(E1311&lt;201,E1311/2,IF(E1311&lt;=301,E1311/3,E1311/4))))</f>
        <v>534.69093599999997</v>
      </c>
      <c r="G1311" s="174" t="str">
        <f t="shared" si="323"/>
        <v xml:space="preserve">2nd to 7th, 9th to 11th, 13rd to 15th, 17th to 19th, 21st to 23rd Floor </v>
      </c>
      <c r="H1311" s="174"/>
      <c r="I1311" s="38"/>
      <c r="N1311" s="38"/>
    </row>
    <row r="1312" spans="1:14" s="94" customFormat="1" ht="15.75" customHeight="1" x14ac:dyDescent="0.35">
      <c r="A1312" s="174">
        <f t="shared" si="322"/>
        <v>26</v>
      </c>
      <c r="B1312" s="174"/>
      <c r="C1312" s="123" t="s">
        <v>200</v>
      </c>
      <c r="D1312" s="123">
        <f t="shared" si="325"/>
        <v>356.460624</v>
      </c>
      <c r="E1312" s="123">
        <v>0</v>
      </c>
      <c r="F1312" s="123">
        <f t="shared" si="330"/>
        <v>534.69093599999997</v>
      </c>
      <c r="G1312" s="174" t="str">
        <f t="shared" si="323"/>
        <v xml:space="preserve">2nd to 7th, 9th to 11th, 13rd to 15th, 17th to 19th, 21st to 23rd Floor </v>
      </c>
      <c r="H1312" s="174"/>
      <c r="I1312" s="38"/>
      <c r="N1312" s="38"/>
    </row>
    <row r="1313" spans="1:14" s="94" customFormat="1" ht="15.75" customHeight="1" x14ac:dyDescent="0.35">
      <c r="A1313" s="174">
        <f t="shared" si="322"/>
        <v>27</v>
      </c>
      <c r="B1313" s="174"/>
      <c r="C1313" s="123" t="s">
        <v>200</v>
      </c>
      <c r="D1313" s="123">
        <f t="shared" si="325"/>
        <v>356.460624</v>
      </c>
      <c r="E1313" s="123">
        <v>0</v>
      </c>
      <c r="F1313" s="123">
        <f t="shared" si="330"/>
        <v>534.69093599999997</v>
      </c>
      <c r="G1313" s="174" t="str">
        <f t="shared" si="323"/>
        <v xml:space="preserve">2nd to 7th, 9th to 11th, 13rd to 15th, 17th to 19th, 21st to 23rd Floor </v>
      </c>
      <c r="H1313" s="174"/>
      <c r="I1313" s="38"/>
      <c r="N1313" s="38"/>
    </row>
    <row r="1314" spans="1:14" s="94" customFormat="1" ht="15.75" customHeight="1" x14ac:dyDescent="0.35">
      <c r="A1314" s="174">
        <f t="shared" si="322"/>
        <v>28</v>
      </c>
      <c r="B1314" s="174"/>
      <c r="C1314" s="123" t="s">
        <v>200</v>
      </c>
      <c r="D1314" s="123">
        <f t="shared" si="325"/>
        <v>356.460624</v>
      </c>
      <c r="E1314" s="123">
        <v>0</v>
      </c>
      <c r="F1314" s="123">
        <f t="shared" si="330"/>
        <v>534.69093599999997</v>
      </c>
      <c r="G1314" s="174" t="str">
        <f t="shared" si="323"/>
        <v xml:space="preserve">2nd to 7th, 9th to 11th, 13rd to 15th, 17th to 19th, 21st to 23rd Floor </v>
      </c>
      <c r="H1314" s="174"/>
      <c r="I1314" s="38"/>
      <c r="N1314" s="38"/>
    </row>
    <row r="1315" spans="1:14" s="94" customFormat="1" x14ac:dyDescent="0.35">
      <c r="A1315" s="183" t="s">
        <v>173</v>
      </c>
      <c r="B1315" s="183"/>
      <c r="C1315" s="183"/>
      <c r="D1315" s="183"/>
      <c r="E1315" s="183"/>
      <c r="F1315" s="183"/>
      <c r="G1315" s="183"/>
      <c r="H1315" s="183"/>
      <c r="I1315" s="38"/>
      <c r="L1315" s="182"/>
      <c r="M1315" s="182"/>
    </row>
    <row r="1316" spans="1:14" s="94" customFormat="1" ht="15.75" customHeight="1" x14ac:dyDescent="0.35">
      <c r="A1316" s="174">
        <v>1</v>
      </c>
      <c r="B1316" s="174"/>
      <c r="C1316" s="123" t="s">
        <v>200</v>
      </c>
      <c r="D1316" s="123">
        <f t="shared" ref="D1316:D1321" si="331">(23.69+1.8*(1.5+1.2)+0.45*1.68+3.16*0.75+1.2*1.2)*10.764</f>
        <v>356.460624</v>
      </c>
      <c r="E1316" s="123">
        <v>0</v>
      </c>
      <c r="F1316" s="123">
        <f t="shared" ref="F1316:F1317" si="332">D1316*(($F$422)+1)+(IF(E1316&lt;101,E1316,IF(E1316&lt;201,E1316/2,IF(E1316&lt;=301,E1316/3,E1316/4))))</f>
        <v>534.69093599999997</v>
      </c>
      <c r="G1316" s="174" t="str">
        <f>A1315</f>
        <v>8th, 12th, 16th &amp; 20th Floor (Part refuge area)</v>
      </c>
      <c r="H1316" s="174"/>
      <c r="I1316" s="38"/>
      <c r="N1316" s="38"/>
    </row>
    <row r="1317" spans="1:14" s="94" customFormat="1" ht="15.75" customHeight="1" x14ac:dyDescent="0.35">
      <c r="A1317" s="174">
        <f t="shared" ref="A1317:A1343" si="333">A1316+1</f>
        <v>2</v>
      </c>
      <c r="B1317" s="174"/>
      <c r="C1317" s="123" t="s">
        <v>200</v>
      </c>
      <c r="D1317" s="123">
        <f t="shared" si="331"/>
        <v>356.460624</v>
      </c>
      <c r="E1317" s="123">
        <v>0</v>
      </c>
      <c r="F1317" s="123">
        <f t="shared" si="332"/>
        <v>534.69093599999997</v>
      </c>
      <c r="G1317" s="174" t="str">
        <f t="shared" ref="G1317:G1343" si="334">G1316</f>
        <v>8th, 12th, 16th &amp; 20th Floor (Part refuge area)</v>
      </c>
      <c r="H1317" s="174"/>
      <c r="I1317" s="38"/>
      <c r="N1317" s="38"/>
    </row>
    <row r="1318" spans="1:14" s="94" customFormat="1" ht="15.75" customHeight="1" x14ac:dyDescent="0.35">
      <c r="A1318" s="174">
        <f t="shared" si="333"/>
        <v>3</v>
      </c>
      <c r="B1318" s="174"/>
      <c r="C1318" s="123" t="s">
        <v>200</v>
      </c>
      <c r="D1318" s="123">
        <f t="shared" si="331"/>
        <v>356.460624</v>
      </c>
      <c r="E1318" s="123">
        <v>0</v>
      </c>
      <c r="F1318" s="123">
        <f>D1318*(($F$422)+1)+(IF(E1318&lt;101,E1318,IF(E1318&lt;201,E1318/2,IF(E1318&lt;=301,E1318/3,E1318/4))))</f>
        <v>534.69093599999997</v>
      </c>
      <c r="G1318" s="174" t="str">
        <f t="shared" si="334"/>
        <v>8th, 12th, 16th &amp; 20th Floor (Part refuge area)</v>
      </c>
      <c r="H1318" s="174"/>
      <c r="I1318" s="38"/>
      <c r="N1318" s="38"/>
    </row>
    <row r="1319" spans="1:14" s="94" customFormat="1" ht="15.75" customHeight="1" x14ac:dyDescent="0.35">
      <c r="A1319" s="174">
        <f t="shared" si="333"/>
        <v>4</v>
      </c>
      <c r="B1319" s="174"/>
      <c r="C1319" s="123" t="s">
        <v>200</v>
      </c>
      <c r="D1319" s="123">
        <f t="shared" si="331"/>
        <v>356.460624</v>
      </c>
      <c r="E1319" s="123">
        <v>0</v>
      </c>
      <c r="F1319" s="123">
        <f t="shared" ref="F1319:F1322" si="335">D1319*(($F$422)+1)+(IF(E1319&lt;101,E1319,IF(E1319&lt;201,E1319/2,IF(E1319&lt;=301,E1319/3,E1319/4))))</f>
        <v>534.69093599999997</v>
      </c>
      <c r="G1319" s="174" t="str">
        <f t="shared" si="334"/>
        <v>8th, 12th, 16th &amp; 20th Floor (Part refuge area)</v>
      </c>
      <c r="H1319" s="174"/>
      <c r="I1319" s="38"/>
      <c r="N1319" s="38"/>
    </row>
    <row r="1320" spans="1:14" s="94" customFormat="1" ht="15.75" customHeight="1" x14ac:dyDescent="0.35">
      <c r="A1320" s="174">
        <f t="shared" si="333"/>
        <v>5</v>
      </c>
      <c r="B1320" s="174"/>
      <c r="C1320" s="123" t="s">
        <v>200</v>
      </c>
      <c r="D1320" s="123">
        <f t="shared" si="331"/>
        <v>356.460624</v>
      </c>
      <c r="E1320" s="123">
        <v>0</v>
      </c>
      <c r="F1320" s="123">
        <f t="shared" si="335"/>
        <v>534.69093599999997</v>
      </c>
      <c r="G1320" s="174" t="str">
        <f t="shared" si="334"/>
        <v>8th, 12th, 16th &amp; 20th Floor (Part refuge area)</v>
      </c>
      <c r="H1320" s="174"/>
      <c r="I1320" s="38"/>
      <c r="N1320" s="38"/>
    </row>
    <row r="1321" spans="1:14" s="94" customFormat="1" ht="15.75" customHeight="1" x14ac:dyDescent="0.35">
      <c r="A1321" s="174">
        <f t="shared" si="333"/>
        <v>6</v>
      </c>
      <c r="B1321" s="174"/>
      <c r="C1321" s="123" t="s">
        <v>200</v>
      </c>
      <c r="D1321" s="123">
        <f t="shared" si="331"/>
        <v>356.460624</v>
      </c>
      <c r="E1321" s="123">
        <v>0</v>
      </c>
      <c r="F1321" s="123">
        <f t="shared" si="335"/>
        <v>534.69093599999997</v>
      </c>
      <c r="G1321" s="174" t="str">
        <f t="shared" si="334"/>
        <v>8th, 12th, 16th &amp; 20th Floor (Part refuge area)</v>
      </c>
      <c r="H1321" s="174"/>
      <c r="I1321" s="38"/>
      <c r="N1321" s="38"/>
    </row>
    <row r="1322" spans="1:14" s="94" customFormat="1" ht="15.75" customHeight="1" x14ac:dyDescent="0.35">
      <c r="A1322" s="174">
        <f t="shared" si="333"/>
        <v>7</v>
      </c>
      <c r="B1322" s="174"/>
      <c r="C1322" s="123" t="s">
        <v>200</v>
      </c>
      <c r="D1322" s="123">
        <f t="shared" ref="D1322:D1343" si="336">(23.69+1.8*(1.5+1.2)+0.45*1.68+3.16*0.75+1.2*1.2)*10.764</f>
        <v>356.460624</v>
      </c>
      <c r="E1322" s="123">
        <v>0</v>
      </c>
      <c r="F1322" s="123">
        <f t="shared" si="335"/>
        <v>534.69093599999997</v>
      </c>
      <c r="G1322" s="174" t="str">
        <f t="shared" si="334"/>
        <v>8th, 12th, 16th &amp; 20th Floor (Part refuge area)</v>
      </c>
      <c r="H1322" s="174"/>
      <c r="I1322" s="38"/>
      <c r="N1322" s="38"/>
    </row>
    <row r="1323" spans="1:14" s="94" customFormat="1" ht="15.75" customHeight="1" x14ac:dyDescent="0.35">
      <c r="A1323" s="174">
        <f t="shared" si="333"/>
        <v>8</v>
      </c>
      <c r="B1323" s="174"/>
      <c r="C1323" s="123" t="s">
        <v>200</v>
      </c>
      <c r="D1323" s="123">
        <f t="shared" si="336"/>
        <v>356.460624</v>
      </c>
      <c r="E1323" s="123">
        <v>0</v>
      </c>
      <c r="F1323" s="123">
        <f>D1323*(($F$422)+1)+(IF(E1323&lt;101,E1323,IF(E1323&lt;201,E1323/2,IF(E1323&lt;=301,E1323/3,E1323/4))))</f>
        <v>534.69093599999997</v>
      </c>
      <c r="G1323" s="174" t="str">
        <f t="shared" si="334"/>
        <v>8th, 12th, 16th &amp; 20th Floor (Part refuge area)</v>
      </c>
      <c r="H1323" s="174"/>
      <c r="I1323" s="38"/>
      <c r="N1323" s="38"/>
    </row>
    <row r="1324" spans="1:14" s="94" customFormat="1" ht="15.75" customHeight="1" x14ac:dyDescent="0.35">
      <c r="A1324" s="174">
        <f t="shared" si="333"/>
        <v>9</v>
      </c>
      <c r="B1324" s="174"/>
      <c r="C1324" s="123" t="s">
        <v>200</v>
      </c>
      <c r="D1324" s="123">
        <f t="shared" si="336"/>
        <v>356.460624</v>
      </c>
      <c r="E1324" s="123">
        <v>0</v>
      </c>
      <c r="F1324" s="123">
        <f t="shared" ref="F1324:F1327" si="337">D1324*(($F$422)+1)+(IF(E1324&lt;101,E1324,IF(E1324&lt;201,E1324/2,IF(E1324&lt;=301,E1324/3,E1324/4))))</f>
        <v>534.69093599999997</v>
      </c>
      <c r="G1324" s="174" t="str">
        <f t="shared" si="334"/>
        <v>8th, 12th, 16th &amp; 20th Floor (Part refuge area)</v>
      </c>
      <c r="H1324" s="174"/>
      <c r="I1324" s="38"/>
      <c r="N1324" s="38"/>
    </row>
    <row r="1325" spans="1:14" s="94" customFormat="1" ht="15.75" customHeight="1" x14ac:dyDescent="0.35">
      <c r="A1325" s="174">
        <f t="shared" si="333"/>
        <v>10</v>
      </c>
      <c r="B1325" s="174"/>
      <c r="C1325" s="123" t="s">
        <v>200</v>
      </c>
      <c r="D1325" s="123">
        <f t="shared" si="336"/>
        <v>356.460624</v>
      </c>
      <c r="E1325" s="123">
        <v>0</v>
      </c>
      <c r="F1325" s="123">
        <f t="shared" si="337"/>
        <v>534.69093599999997</v>
      </c>
      <c r="G1325" s="174" t="str">
        <f t="shared" si="334"/>
        <v>8th, 12th, 16th &amp; 20th Floor (Part refuge area)</v>
      </c>
      <c r="H1325" s="174"/>
      <c r="I1325" s="38"/>
      <c r="N1325" s="38"/>
    </row>
    <row r="1326" spans="1:14" s="94" customFormat="1" ht="15.75" customHeight="1" x14ac:dyDescent="0.35">
      <c r="A1326" s="174">
        <f t="shared" si="333"/>
        <v>11</v>
      </c>
      <c r="B1326" s="174"/>
      <c r="C1326" s="123" t="s">
        <v>200</v>
      </c>
      <c r="D1326" s="123">
        <f t="shared" si="336"/>
        <v>356.460624</v>
      </c>
      <c r="E1326" s="123">
        <v>0</v>
      </c>
      <c r="F1326" s="123">
        <f t="shared" si="337"/>
        <v>534.69093599999997</v>
      </c>
      <c r="G1326" s="174" t="str">
        <f t="shared" si="334"/>
        <v>8th, 12th, 16th &amp; 20th Floor (Part refuge area)</v>
      </c>
      <c r="H1326" s="174"/>
      <c r="I1326" s="38"/>
      <c r="N1326" s="38"/>
    </row>
    <row r="1327" spans="1:14" s="94" customFormat="1" ht="15.75" customHeight="1" x14ac:dyDescent="0.35">
      <c r="A1327" s="174">
        <f t="shared" si="333"/>
        <v>12</v>
      </c>
      <c r="B1327" s="174"/>
      <c r="C1327" s="123" t="s">
        <v>200</v>
      </c>
      <c r="D1327" s="123">
        <f t="shared" si="336"/>
        <v>356.460624</v>
      </c>
      <c r="E1327" s="123">
        <v>0</v>
      </c>
      <c r="F1327" s="123">
        <f t="shared" si="337"/>
        <v>534.69093599999997</v>
      </c>
      <c r="G1327" s="174" t="str">
        <f t="shared" si="334"/>
        <v>8th, 12th, 16th &amp; 20th Floor (Part refuge area)</v>
      </c>
      <c r="H1327" s="174"/>
      <c r="I1327" s="38"/>
      <c r="N1327" s="38"/>
    </row>
    <row r="1328" spans="1:14" s="94" customFormat="1" ht="15.75" customHeight="1" x14ac:dyDescent="0.35">
      <c r="A1328" s="174">
        <f t="shared" si="333"/>
        <v>13</v>
      </c>
      <c r="B1328" s="174"/>
      <c r="C1328" s="174" t="s">
        <v>172</v>
      </c>
      <c r="D1328" s="174"/>
      <c r="E1328" s="174"/>
      <c r="F1328" s="174"/>
      <c r="G1328" s="174" t="str">
        <f t="shared" si="334"/>
        <v>8th, 12th, 16th &amp; 20th Floor (Part refuge area)</v>
      </c>
      <c r="H1328" s="174"/>
      <c r="I1328" s="38"/>
      <c r="N1328" s="38"/>
    </row>
    <row r="1329" spans="1:14" s="94" customFormat="1" ht="15.75" customHeight="1" x14ac:dyDescent="0.35">
      <c r="A1329" s="174">
        <f t="shared" si="333"/>
        <v>14</v>
      </c>
      <c r="B1329" s="174"/>
      <c r="C1329" s="174"/>
      <c r="D1329" s="174"/>
      <c r="E1329" s="174"/>
      <c r="F1329" s="174"/>
      <c r="G1329" s="174" t="str">
        <f t="shared" si="334"/>
        <v>8th, 12th, 16th &amp; 20th Floor (Part refuge area)</v>
      </c>
      <c r="H1329" s="174"/>
      <c r="I1329" s="38"/>
      <c r="N1329" s="38"/>
    </row>
    <row r="1330" spans="1:14" s="94" customFormat="1" ht="15.75" customHeight="1" x14ac:dyDescent="0.35">
      <c r="A1330" s="174">
        <f t="shared" si="333"/>
        <v>15</v>
      </c>
      <c r="B1330" s="174"/>
      <c r="C1330" s="174"/>
      <c r="D1330" s="174"/>
      <c r="E1330" s="174"/>
      <c r="F1330" s="174"/>
      <c r="G1330" s="174" t="str">
        <f t="shared" si="334"/>
        <v>8th, 12th, 16th &amp; 20th Floor (Part refuge area)</v>
      </c>
      <c r="H1330" s="174"/>
      <c r="I1330" s="38"/>
      <c r="N1330" s="38"/>
    </row>
    <row r="1331" spans="1:14" s="94" customFormat="1" ht="15.75" customHeight="1" x14ac:dyDescent="0.35">
      <c r="A1331" s="174">
        <f t="shared" si="333"/>
        <v>16</v>
      </c>
      <c r="B1331" s="174"/>
      <c r="C1331" s="123" t="s">
        <v>200</v>
      </c>
      <c r="D1331" s="123">
        <f t="shared" si="336"/>
        <v>356.460624</v>
      </c>
      <c r="E1331" s="123">
        <v>0</v>
      </c>
      <c r="F1331" s="123">
        <f t="shared" ref="F1331:F1332" si="338">D1331*(($F$422)+1)+(IF(E1331&lt;101,E1331,IF(E1331&lt;201,E1331/2,IF(E1331&lt;=301,E1331/3,E1331/4))))</f>
        <v>534.69093599999997</v>
      </c>
      <c r="G1331" s="174" t="str">
        <f t="shared" si="334"/>
        <v>8th, 12th, 16th &amp; 20th Floor (Part refuge area)</v>
      </c>
      <c r="H1331" s="174"/>
      <c r="I1331" s="38"/>
      <c r="N1331" s="38"/>
    </row>
    <row r="1332" spans="1:14" s="94" customFormat="1" ht="15.75" customHeight="1" x14ac:dyDescent="0.35">
      <c r="A1332" s="174">
        <f t="shared" si="333"/>
        <v>17</v>
      </c>
      <c r="B1332" s="174"/>
      <c r="C1332" s="123" t="s">
        <v>200</v>
      </c>
      <c r="D1332" s="123">
        <f t="shared" si="336"/>
        <v>356.460624</v>
      </c>
      <c r="E1332" s="123">
        <v>0</v>
      </c>
      <c r="F1332" s="123">
        <f t="shared" si="338"/>
        <v>534.69093599999997</v>
      </c>
      <c r="G1332" s="174" t="str">
        <f t="shared" si="334"/>
        <v>8th, 12th, 16th &amp; 20th Floor (Part refuge area)</v>
      </c>
      <c r="H1332" s="174"/>
      <c r="I1332" s="38"/>
      <c r="N1332" s="38"/>
    </row>
    <row r="1333" spans="1:14" s="94" customFormat="1" ht="15.75" customHeight="1" x14ac:dyDescent="0.35">
      <c r="A1333" s="174">
        <f t="shared" si="333"/>
        <v>18</v>
      </c>
      <c r="B1333" s="174"/>
      <c r="C1333" s="123" t="s">
        <v>200</v>
      </c>
      <c r="D1333" s="123">
        <f t="shared" si="336"/>
        <v>356.460624</v>
      </c>
      <c r="E1333" s="123">
        <v>0</v>
      </c>
      <c r="F1333" s="123">
        <f>D1333*(($F$422)+1)+(IF(E1333&lt;101,E1333,IF(E1333&lt;201,E1333/2,IF(E1333&lt;=301,E1333/3,E1333/4))))</f>
        <v>534.69093599999997</v>
      </c>
      <c r="G1333" s="174" t="str">
        <f t="shared" si="334"/>
        <v>8th, 12th, 16th &amp; 20th Floor (Part refuge area)</v>
      </c>
      <c r="H1333" s="174"/>
      <c r="I1333" s="38"/>
      <c r="N1333" s="38"/>
    </row>
    <row r="1334" spans="1:14" s="94" customFormat="1" ht="15.75" customHeight="1" x14ac:dyDescent="0.35">
      <c r="A1334" s="174">
        <f t="shared" si="333"/>
        <v>19</v>
      </c>
      <c r="B1334" s="174"/>
      <c r="C1334" s="123" t="s">
        <v>200</v>
      </c>
      <c r="D1334" s="123">
        <f t="shared" si="336"/>
        <v>356.460624</v>
      </c>
      <c r="E1334" s="123">
        <v>0</v>
      </c>
      <c r="F1334" s="123">
        <f t="shared" ref="F1334:F1338" si="339">D1334*(($F$422)+1)+(IF(E1334&lt;101,E1334,IF(E1334&lt;201,E1334/2,IF(E1334&lt;=301,E1334/3,E1334/4))))</f>
        <v>534.69093599999997</v>
      </c>
      <c r="G1334" s="174" t="str">
        <f t="shared" si="334"/>
        <v>8th, 12th, 16th &amp; 20th Floor (Part refuge area)</v>
      </c>
      <c r="H1334" s="174"/>
      <c r="I1334" s="38"/>
      <c r="N1334" s="38"/>
    </row>
    <row r="1335" spans="1:14" s="94" customFormat="1" ht="15.75" customHeight="1" x14ac:dyDescent="0.35">
      <c r="A1335" s="174">
        <f t="shared" si="333"/>
        <v>20</v>
      </c>
      <c r="B1335" s="174"/>
      <c r="C1335" s="123" t="s">
        <v>200</v>
      </c>
      <c r="D1335" s="123">
        <f t="shared" si="336"/>
        <v>356.460624</v>
      </c>
      <c r="E1335" s="123">
        <v>0</v>
      </c>
      <c r="F1335" s="123">
        <f t="shared" si="339"/>
        <v>534.69093599999997</v>
      </c>
      <c r="G1335" s="174" t="str">
        <f t="shared" si="334"/>
        <v>8th, 12th, 16th &amp; 20th Floor (Part refuge area)</v>
      </c>
      <c r="H1335" s="174"/>
      <c r="I1335" s="38"/>
      <c r="N1335" s="38"/>
    </row>
    <row r="1336" spans="1:14" s="94" customFormat="1" ht="15.75" customHeight="1" x14ac:dyDescent="0.35">
      <c r="A1336" s="174">
        <f t="shared" si="333"/>
        <v>21</v>
      </c>
      <c r="B1336" s="174"/>
      <c r="C1336" s="123" t="s">
        <v>200</v>
      </c>
      <c r="D1336" s="123">
        <f t="shared" si="336"/>
        <v>356.460624</v>
      </c>
      <c r="E1336" s="123">
        <v>0</v>
      </c>
      <c r="F1336" s="123">
        <f t="shared" si="339"/>
        <v>534.69093599999997</v>
      </c>
      <c r="G1336" s="174" t="str">
        <f t="shared" si="334"/>
        <v>8th, 12th, 16th &amp; 20th Floor (Part refuge area)</v>
      </c>
      <c r="H1336" s="174"/>
      <c r="I1336" s="38"/>
      <c r="N1336" s="38"/>
    </row>
    <row r="1337" spans="1:14" s="94" customFormat="1" ht="15.75" customHeight="1" x14ac:dyDescent="0.35">
      <c r="A1337" s="174">
        <f t="shared" si="333"/>
        <v>22</v>
      </c>
      <c r="B1337" s="174"/>
      <c r="C1337" s="123" t="s">
        <v>200</v>
      </c>
      <c r="D1337" s="123">
        <f t="shared" si="336"/>
        <v>356.460624</v>
      </c>
      <c r="E1337" s="123">
        <v>0</v>
      </c>
      <c r="F1337" s="123">
        <f t="shared" si="339"/>
        <v>534.69093599999997</v>
      </c>
      <c r="G1337" s="174" t="str">
        <f t="shared" si="334"/>
        <v>8th, 12th, 16th &amp; 20th Floor (Part refuge area)</v>
      </c>
      <c r="H1337" s="174"/>
      <c r="I1337" s="38"/>
      <c r="N1337" s="38"/>
    </row>
    <row r="1338" spans="1:14" s="94" customFormat="1" ht="15.75" customHeight="1" x14ac:dyDescent="0.35">
      <c r="A1338" s="174">
        <f t="shared" si="333"/>
        <v>23</v>
      </c>
      <c r="B1338" s="174"/>
      <c r="C1338" s="123" t="s">
        <v>200</v>
      </c>
      <c r="D1338" s="123">
        <f t="shared" si="336"/>
        <v>356.460624</v>
      </c>
      <c r="E1338" s="123">
        <v>0</v>
      </c>
      <c r="F1338" s="123">
        <f t="shared" si="339"/>
        <v>534.69093599999997</v>
      </c>
      <c r="G1338" s="174" t="str">
        <f t="shared" si="334"/>
        <v>8th, 12th, 16th &amp; 20th Floor (Part refuge area)</v>
      </c>
      <c r="H1338" s="174"/>
      <c r="I1338" s="38"/>
      <c r="N1338" s="38"/>
    </row>
    <row r="1339" spans="1:14" s="94" customFormat="1" ht="15.75" customHeight="1" x14ac:dyDescent="0.35">
      <c r="A1339" s="174">
        <f t="shared" si="333"/>
        <v>24</v>
      </c>
      <c r="B1339" s="174"/>
      <c r="C1339" s="123" t="s">
        <v>200</v>
      </c>
      <c r="D1339" s="123">
        <f t="shared" si="336"/>
        <v>356.460624</v>
      </c>
      <c r="E1339" s="123">
        <v>0</v>
      </c>
      <c r="F1339" s="123">
        <f>D1339*(($F$422)+1)+(IF(E1339&lt;101,E1339,IF(E1339&lt;201,E1339/2,IF(E1339&lt;=301,E1339/3,E1339/4))))</f>
        <v>534.69093599999997</v>
      </c>
      <c r="G1339" s="174" t="str">
        <f t="shared" si="334"/>
        <v>8th, 12th, 16th &amp; 20th Floor (Part refuge area)</v>
      </c>
      <c r="H1339" s="174"/>
      <c r="I1339" s="38"/>
      <c r="N1339" s="38"/>
    </row>
    <row r="1340" spans="1:14" s="94" customFormat="1" ht="15.75" customHeight="1" x14ac:dyDescent="0.35">
      <c r="A1340" s="174">
        <f t="shared" si="333"/>
        <v>25</v>
      </c>
      <c r="B1340" s="174"/>
      <c r="C1340" s="123" t="s">
        <v>200</v>
      </c>
      <c r="D1340" s="123">
        <f t="shared" si="336"/>
        <v>356.460624</v>
      </c>
      <c r="E1340" s="123">
        <v>0</v>
      </c>
      <c r="F1340" s="123">
        <f t="shared" ref="F1340:F1343" si="340">D1340*(($F$422)+1)+(IF(E1340&lt;101,E1340,IF(E1340&lt;201,E1340/2,IF(E1340&lt;=301,E1340/3,E1340/4))))</f>
        <v>534.69093599999997</v>
      </c>
      <c r="G1340" s="174" t="str">
        <f t="shared" si="334"/>
        <v>8th, 12th, 16th &amp; 20th Floor (Part refuge area)</v>
      </c>
      <c r="H1340" s="174"/>
      <c r="I1340" s="38"/>
      <c r="N1340" s="38"/>
    </row>
    <row r="1341" spans="1:14" s="94" customFormat="1" ht="15.75" customHeight="1" x14ac:dyDescent="0.35">
      <c r="A1341" s="174">
        <f t="shared" si="333"/>
        <v>26</v>
      </c>
      <c r="B1341" s="174"/>
      <c r="C1341" s="123" t="s">
        <v>200</v>
      </c>
      <c r="D1341" s="123">
        <f t="shared" si="336"/>
        <v>356.460624</v>
      </c>
      <c r="E1341" s="123">
        <v>0</v>
      </c>
      <c r="F1341" s="123">
        <f t="shared" si="340"/>
        <v>534.69093599999997</v>
      </c>
      <c r="G1341" s="174" t="str">
        <f t="shared" si="334"/>
        <v>8th, 12th, 16th &amp; 20th Floor (Part refuge area)</v>
      </c>
      <c r="H1341" s="174"/>
      <c r="I1341" s="38"/>
      <c r="N1341" s="38"/>
    </row>
    <row r="1342" spans="1:14" s="94" customFormat="1" ht="15.75" customHeight="1" x14ac:dyDescent="0.35">
      <c r="A1342" s="174">
        <f t="shared" si="333"/>
        <v>27</v>
      </c>
      <c r="B1342" s="174"/>
      <c r="C1342" s="123" t="s">
        <v>200</v>
      </c>
      <c r="D1342" s="123">
        <f t="shared" si="336"/>
        <v>356.460624</v>
      </c>
      <c r="E1342" s="123">
        <v>0</v>
      </c>
      <c r="F1342" s="123">
        <f t="shared" si="340"/>
        <v>534.69093599999997</v>
      </c>
      <c r="G1342" s="174" t="str">
        <f t="shared" si="334"/>
        <v>8th, 12th, 16th &amp; 20th Floor (Part refuge area)</v>
      </c>
      <c r="H1342" s="174"/>
      <c r="I1342" s="38"/>
      <c r="N1342" s="38"/>
    </row>
    <row r="1343" spans="1:14" s="94" customFormat="1" ht="15.75" customHeight="1" x14ac:dyDescent="0.35">
      <c r="A1343" s="174">
        <f t="shared" si="333"/>
        <v>28</v>
      </c>
      <c r="B1343" s="174"/>
      <c r="C1343" s="123" t="s">
        <v>200</v>
      </c>
      <c r="D1343" s="123">
        <f t="shared" si="336"/>
        <v>356.460624</v>
      </c>
      <c r="E1343" s="123">
        <v>0</v>
      </c>
      <c r="F1343" s="123">
        <f t="shared" si="340"/>
        <v>534.69093599999997</v>
      </c>
      <c r="G1343" s="174" t="str">
        <f t="shared" si="334"/>
        <v>8th, 12th, 16th &amp; 20th Floor (Part refuge area)</v>
      </c>
      <c r="H1343" s="174"/>
      <c r="I1343" s="38"/>
      <c r="N1343" s="38"/>
    </row>
    <row r="1344" spans="1:14" x14ac:dyDescent="0.35">
      <c r="A1344" s="177" t="s">
        <v>193</v>
      </c>
      <c r="B1344" s="177"/>
      <c r="C1344" s="177"/>
      <c r="D1344" s="177"/>
      <c r="E1344" s="177"/>
      <c r="F1344" s="177"/>
      <c r="G1344" s="177"/>
      <c r="H1344" s="177"/>
    </row>
    <row r="1345" spans="1:14" s="94" customFormat="1" x14ac:dyDescent="0.35">
      <c r="A1345" s="183" t="s">
        <v>169</v>
      </c>
      <c r="B1345" s="183"/>
      <c r="C1345" s="183"/>
      <c r="D1345" s="183"/>
      <c r="E1345" s="183"/>
      <c r="F1345" s="183"/>
      <c r="G1345" s="183"/>
      <c r="H1345" s="183"/>
      <c r="I1345" s="38"/>
      <c r="L1345" s="182"/>
      <c r="M1345" s="182"/>
    </row>
    <row r="1346" spans="1:14" s="94" customFormat="1" ht="15.75" customHeight="1" x14ac:dyDescent="0.35">
      <c r="A1346" s="174">
        <v>1</v>
      </c>
      <c r="B1346" s="174"/>
      <c r="C1346" s="93" t="s">
        <v>200</v>
      </c>
      <c r="D1346" s="93">
        <f t="shared" ref="D1346:D1351" si="341">(27.66+3.16*0.75)*10.764</f>
        <v>323.24291999999997</v>
      </c>
      <c r="E1346" s="93">
        <f>(5*1.2)*10.764</f>
        <v>64.584000000000003</v>
      </c>
      <c r="F1346" s="93">
        <f t="shared" ref="F1346:F1347" si="342">D1346*(($F$422)+1)+(IF(E1346&lt;101,E1346,IF(E1346&lt;201,E1346/2,IF(E1346&lt;=301,E1346/3,E1346/4))))</f>
        <v>549.44838000000004</v>
      </c>
      <c r="G1346" s="168" t="str">
        <f>A1345</f>
        <v>1st Floor for Residential</v>
      </c>
      <c r="H1346" s="169"/>
      <c r="I1346" s="38"/>
      <c r="N1346" s="38"/>
    </row>
    <row r="1347" spans="1:14" s="94" customFormat="1" ht="15.75" customHeight="1" x14ac:dyDescent="0.35">
      <c r="A1347" s="174">
        <f t="shared" ref="A1347:A1373" si="343">A1346+1</f>
        <v>2</v>
      </c>
      <c r="B1347" s="174"/>
      <c r="C1347" s="93" t="s">
        <v>200</v>
      </c>
      <c r="D1347" s="93">
        <f t="shared" si="341"/>
        <v>323.24291999999997</v>
      </c>
      <c r="E1347" s="93">
        <f>(3.3*1.8)*10.764</f>
        <v>63.938159999999989</v>
      </c>
      <c r="F1347" s="93">
        <f t="shared" si="342"/>
        <v>548.80254000000002</v>
      </c>
      <c r="G1347" s="170"/>
      <c r="H1347" s="171"/>
      <c r="I1347" s="38"/>
      <c r="N1347" s="38"/>
    </row>
    <row r="1348" spans="1:14" s="94" customFormat="1" ht="15.75" customHeight="1" x14ac:dyDescent="0.35">
      <c r="A1348" s="174">
        <f t="shared" si="343"/>
        <v>3</v>
      </c>
      <c r="B1348" s="174"/>
      <c r="C1348" s="93" t="s">
        <v>200</v>
      </c>
      <c r="D1348" s="93">
        <f t="shared" si="341"/>
        <v>323.24291999999997</v>
      </c>
      <c r="E1348" s="93">
        <f>(3.3*1.8)*10.764</f>
        <v>63.938159999999989</v>
      </c>
      <c r="F1348" s="93">
        <f>D1348*(($F$422)+1)+(IF(E1348&lt;101,E1348,IF(E1348&lt;201,E1348/2,IF(E1348&lt;=301,E1348/3,E1348/4))))</f>
        <v>548.80254000000002</v>
      </c>
      <c r="G1348" s="170"/>
      <c r="H1348" s="171"/>
      <c r="I1348" s="38"/>
      <c r="N1348" s="38"/>
    </row>
    <row r="1349" spans="1:14" s="94" customFormat="1" ht="15.75" customHeight="1" x14ac:dyDescent="0.35">
      <c r="A1349" s="174">
        <f t="shared" si="343"/>
        <v>4</v>
      </c>
      <c r="B1349" s="174"/>
      <c r="C1349" s="93" t="s">
        <v>200</v>
      </c>
      <c r="D1349" s="93">
        <f t="shared" si="341"/>
        <v>323.24291999999997</v>
      </c>
      <c r="E1349" s="93">
        <f>(1.2*4.8+3.2*1.5)*10.764</f>
        <v>113.66784</v>
      </c>
      <c r="F1349" s="93">
        <f t="shared" ref="F1349:F1352" si="344">D1349*(($F$422)+1)+(IF(E1349&lt;101,E1349,IF(E1349&lt;201,E1349/2,IF(E1349&lt;=301,E1349/3,E1349/4))))</f>
        <v>541.69830000000002</v>
      </c>
      <c r="G1349" s="170"/>
      <c r="H1349" s="171"/>
      <c r="I1349" s="38"/>
      <c r="N1349" s="38"/>
    </row>
    <row r="1350" spans="1:14" s="94" customFormat="1" ht="15.75" customHeight="1" x14ac:dyDescent="0.35">
      <c r="A1350" s="174">
        <f t="shared" si="343"/>
        <v>5</v>
      </c>
      <c r="B1350" s="174"/>
      <c r="C1350" s="93" t="s">
        <v>200</v>
      </c>
      <c r="D1350" s="93">
        <f t="shared" si="341"/>
        <v>323.24291999999997</v>
      </c>
      <c r="E1350" s="93">
        <f>(3.3*1.8)*10.764</f>
        <v>63.938159999999989</v>
      </c>
      <c r="F1350" s="93">
        <f t="shared" si="344"/>
        <v>548.80254000000002</v>
      </c>
      <c r="G1350" s="170"/>
      <c r="H1350" s="171"/>
      <c r="I1350" s="38"/>
      <c r="N1350" s="38"/>
    </row>
    <row r="1351" spans="1:14" s="94" customFormat="1" ht="15.75" customHeight="1" x14ac:dyDescent="0.35">
      <c r="A1351" s="174">
        <f t="shared" si="343"/>
        <v>6</v>
      </c>
      <c r="B1351" s="174"/>
      <c r="C1351" s="93" t="s">
        <v>200</v>
      </c>
      <c r="D1351" s="102">
        <f t="shared" si="341"/>
        <v>323.24291999999997</v>
      </c>
      <c r="E1351" s="93">
        <f>(3.3*1.8)*10.764</f>
        <v>63.938159999999989</v>
      </c>
      <c r="F1351" s="93">
        <f t="shared" si="344"/>
        <v>548.80254000000002</v>
      </c>
      <c r="G1351" s="170"/>
      <c r="H1351" s="171"/>
      <c r="I1351" s="38"/>
      <c r="N1351" s="38"/>
    </row>
    <row r="1352" spans="1:14" s="94" customFormat="1" ht="15.75" customHeight="1" x14ac:dyDescent="0.35">
      <c r="A1352" s="174">
        <f t="shared" si="343"/>
        <v>7</v>
      </c>
      <c r="B1352" s="174"/>
      <c r="C1352" s="93" t="s">
        <v>200</v>
      </c>
      <c r="D1352" s="102">
        <f t="shared" ref="D1352:D1381" si="345">(27.66+3.16*0.75)*10.764</f>
        <v>323.24291999999997</v>
      </c>
      <c r="E1352" s="93">
        <f>(1.2*4.8+3.2*1.5)*10.764</f>
        <v>113.66784</v>
      </c>
      <c r="F1352" s="93">
        <f t="shared" si="344"/>
        <v>541.69830000000002</v>
      </c>
      <c r="G1352" s="170"/>
      <c r="H1352" s="171"/>
      <c r="I1352" s="38"/>
      <c r="N1352" s="38"/>
    </row>
    <row r="1353" spans="1:14" s="94" customFormat="1" ht="15.75" customHeight="1" x14ac:dyDescent="0.35">
      <c r="A1353" s="174">
        <f t="shared" si="343"/>
        <v>8</v>
      </c>
      <c r="B1353" s="174"/>
      <c r="C1353" s="93" t="s">
        <v>200</v>
      </c>
      <c r="D1353" s="102">
        <f t="shared" si="345"/>
        <v>323.24291999999997</v>
      </c>
      <c r="E1353" s="93">
        <f>(3.3*1.8)*10.764</f>
        <v>63.938159999999989</v>
      </c>
      <c r="F1353" s="93">
        <f>D1353*(($F$422)+1)+(IF(E1353&lt;101,E1353,IF(E1353&lt;201,E1353/2,IF(E1353&lt;=301,E1353/3,E1353/4))))</f>
        <v>548.80254000000002</v>
      </c>
      <c r="G1353" s="170"/>
      <c r="H1353" s="171"/>
      <c r="I1353" s="38"/>
      <c r="N1353" s="38"/>
    </row>
    <row r="1354" spans="1:14" s="94" customFormat="1" ht="15.75" customHeight="1" x14ac:dyDescent="0.35">
      <c r="A1354" s="174">
        <f t="shared" si="343"/>
        <v>9</v>
      </c>
      <c r="B1354" s="174"/>
      <c r="C1354" s="93" t="s">
        <v>200</v>
      </c>
      <c r="D1354" s="102">
        <f t="shared" si="345"/>
        <v>323.24291999999997</v>
      </c>
      <c r="E1354" s="93">
        <f>(3.3*1.8)*10.764</f>
        <v>63.938159999999989</v>
      </c>
      <c r="F1354" s="93">
        <f t="shared" ref="F1354:F1357" si="346">D1354*(($F$422)+1)+(IF(E1354&lt;101,E1354,IF(E1354&lt;201,E1354/2,IF(E1354&lt;=301,E1354/3,E1354/4))))</f>
        <v>548.80254000000002</v>
      </c>
      <c r="G1354" s="170"/>
      <c r="H1354" s="171"/>
      <c r="I1354" s="38"/>
      <c r="N1354" s="38"/>
    </row>
    <row r="1355" spans="1:14" s="94" customFormat="1" ht="15.75" customHeight="1" x14ac:dyDescent="0.35">
      <c r="A1355" s="174">
        <f t="shared" si="343"/>
        <v>10</v>
      </c>
      <c r="B1355" s="174"/>
      <c r="C1355" s="93" t="s">
        <v>200</v>
      </c>
      <c r="D1355" s="102">
        <f t="shared" si="345"/>
        <v>323.24291999999997</v>
      </c>
      <c r="E1355" s="93">
        <f>(5*1.2)*10.764</f>
        <v>64.584000000000003</v>
      </c>
      <c r="F1355" s="93">
        <f t="shared" si="346"/>
        <v>549.44838000000004</v>
      </c>
      <c r="G1355" s="170"/>
      <c r="H1355" s="171"/>
      <c r="I1355" s="38"/>
      <c r="N1355" s="38"/>
    </row>
    <row r="1356" spans="1:14" s="94" customFormat="1" ht="15.75" customHeight="1" x14ac:dyDescent="0.35">
      <c r="A1356" s="174">
        <f t="shared" si="343"/>
        <v>11</v>
      </c>
      <c r="B1356" s="174"/>
      <c r="C1356" s="93" t="s">
        <v>200</v>
      </c>
      <c r="D1356" s="102">
        <f t="shared" si="345"/>
        <v>323.24291999999997</v>
      </c>
      <c r="E1356" s="93">
        <f>(5*1.2)*10.764</f>
        <v>64.584000000000003</v>
      </c>
      <c r="F1356" s="93">
        <f t="shared" si="346"/>
        <v>549.44838000000004</v>
      </c>
      <c r="G1356" s="170"/>
      <c r="H1356" s="171"/>
      <c r="I1356" s="38"/>
      <c r="N1356" s="38"/>
    </row>
    <row r="1357" spans="1:14" s="94" customFormat="1" ht="15.75" customHeight="1" x14ac:dyDescent="0.35">
      <c r="A1357" s="174">
        <f t="shared" si="343"/>
        <v>12</v>
      </c>
      <c r="B1357" s="174"/>
      <c r="C1357" s="93" t="s">
        <v>200</v>
      </c>
      <c r="D1357" s="102">
        <f t="shared" si="345"/>
        <v>323.24291999999997</v>
      </c>
      <c r="E1357" s="93">
        <f>(3.3*1.8)*10.764</f>
        <v>63.938159999999989</v>
      </c>
      <c r="F1357" s="93">
        <f t="shared" si="346"/>
        <v>548.80254000000002</v>
      </c>
      <c r="G1357" s="170"/>
      <c r="H1357" s="171"/>
      <c r="I1357" s="38"/>
      <c r="N1357" s="38"/>
    </row>
    <row r="1358" spans="1:14" s="94" customFormat="1" ht="15.75" customHeight="1" x14ac:dyDescent="0.35">
      <c r="A1358" s="174">
        <f t="shared" si="343"/>
        <v>13</v>
      </c>
      <c r="B1358" s="174"/>
      <c r="C1358" s="93" t="s">
        <v>200</v>
      </c>
      <c r="D1358" s="102">
        <f t="shared" si="345"/>
        <v>323.24291999999997</v>
      </c>
      <c r="E1358" s="93">
        <f>(1.2*4.8+3.2*1.5)*10.764</f>
        <v>113.66784</v>
      </c>
      <c r="F1358" s="93">
        <f>D1358*(($F$422)+1)+(IF(E1358&lt;101,E1358,IF(E1358&lt;201,E1358/2,IF(E1358&lt;=301,E1358/3,E1358/4))))</f>
        <v>541.69830000000002</v>
      </c>
      <c r="G1358" s="170"/>
      <c r="H1358" s="171"/>
      <c r="I1358" s="38"/>
      <c r="N1358" s="38"/>
    </row>
    <row r="1359" spans="1:14" s="94" customFormat="1" ht="15.75" customHeight="1" x14ac:dyDescent="0.35">
      <c r="A1359" s="174">
        <f t="shared" si="343"/>
        <v>14</v>
      </c>
      <c r="B1359" s="174"/>
      <c r="C1359" s="93" t="s">
        <v>200</v>
      </c>
      <c r="D1359" s="102">
        <f t="shared" si="345"/>
        <v>323.24291999999997</v>
      </c>
      <c r="E1359" s="93">
        <f t="shared" ref="E1359:E1360" si="347">(1.2*4.8+3.2*1.5)*10.764</f>
        <v>113.66784</v>
      </c>
      <c r="F1359" s="93">
        <f t="shared" ref="F1359" si="348">D1359*(($F$422)+1)+(IF(E1359&lt;101,E1359,IF(E1359&lt;201,E1359/2,IF(E1359&lt;=301,E1359/3,E1359/4))))</f>
        <v>541.69830000000002</v>
      </c>
      <c r="G1359" s="170"/>
      <c r="H1359" s="171"/>
      <c r="I1359" s="38"/>
      <c r="N1359" s="38"/>
    </row>
    <row r="1360" spans="1:14" s="94" customFormat="1" ht="15.75" customHeight="1" x14ac:dyDescent="0.35">
      <c r="A1360" s="174">
        <f t="shared" si="343"/>
        <v>15</v>
      </c>
      <c r="B1360" s="174"/>
      <c r="C1360" s="93" t="s">
        <v>200</v>
      </c>
      <c r="D1360" s="102">
        <f t="shared" si="345"/>
        <v>323.24291999999997</v>
      </c>
      <c r="E1360" s="93">
        <f t="shared" si="347"/>
        <v>113.66784</v>
      </c>
      <c r="F1360" s="93">
        <f>D1360*(($F$422)+1)+(IF(E1360&lt;101,E1360,IF(E1360&lt;201,E1360/2,IF(E1360&lt;=301,E1360/3,E1360/4))))</f>
        <v>541.69830000000002</v>
      </c>
      <c r="G1360" s="170"/>
      <c r="H1360" s="171"/>
      <c r="I1360" s="38"/>
      <c r="N1360" s="38"/>
    </row>
    <row r="1361" spans="1:14" s="94" customFormat="1" ht="15.75" customHeight="1" x14ac:dyDescent="0.35">
      <c r="A1361" s="174">
        <f t="shared" si="343"/>
        <v>16</v>
      </c>
      <c r="B1361" s="174"/>
      <c r="C1361" s="93" t="s">
        <v>200</v>
      </c>
      <c r="D1361" s="102">
        <f t="shared" si="345"/>
        <v>323.24291999999997</v>
      </c>
      <c r="E1361" s="93">
        <f>(1.2*4.8+3.2*1.5)*10.764</f>
        <v>113.66784</v>
      </c>
      <c r="F1361" s="93">
        <f t="shared" ref="F1361:F1362" si="349">D1361*(($F$422)+1)+(IF(E1361&lt;101,E1361,IF(E1361&lt;201,E1361/2,IF(E1361&lt;=301,E1361/3,E1361/4))))</f>
        <v>541.69830000000002</v>
      </c>
      <c r="G1361" s="170"/>
      <c r="H1361" s="171"/>
      <c r="I1361" s="38"/>
      <c r="N1361" s="38"/>
    </row>
    <row r="1362" spans="1:14" s="94" customFormat="1" ht="15.75" customHeight="1" x14ac:dyDescent="0.35">
      <c r="A1362" s="174">
        <f t="shared" si="343"/>
        <v>17</v>
      </c>
      <c r="B1362" s="174"/>
      <c r="C1362" s="93" t="s">
        <v>200</v>
      </c>
      <c r="D1362" s="102">
        <f t="shared" si="345"/>
        <v>323.24291999999997</v>
      </c>
      <c r="E1362" s="93">
        <f>(1.2*4.8+3.2*1.5)*10.764</f>
        <v>113.66784</v>
      </c>
      <c r="F1362" s="93">
        <f t="shared" si="349"/>
        <v>541.69830000000002</v>
      </c>
      <c r="G1362" s="170"/>
      <c r="H1362" s="171"/>
      <c r="I1362" s="38"/>
      <c r="N1362" s="38"/>
    </row>
    <row r="1363" spans="1:14" s="94" customFormat="1" ht="15.75" customHeight="1" x14ac:dyDescent="0.35">
      <c r="A1363" s="174">
        <f t="shared" si="343"/>
        <v>18</v>
      </c>
      <c r="B1363" s="174"/>
      <c r="C1363" s="93" t="s">
        <v>200</v>
      </c>
      <c r="D1363" s="102">
        <f t="shared" si="345"/>
        <v>323.24291999999997</v>
      </c>
      <c r="E1363" s="93">
        <f>(1.2*4.8+3.2*1.5)*10.764</f>
        <v>113.66784</v>
      </c>
      <c r="F1363" s="93">
        <f>D1363*(($F$422)+1)+(IF(E1363&lt;101,E1363,IF(E1363&lt;201,E1363/2,IF(E1363&lt;=301,E1363/3,E1363/4))))</f>
        <v>541.69830000000002</v>
      </c>
      <c r="G1363" s="170"/>
      <c r="H1363" s="171"/>
      <c r="I1363" s="38"/>
      <c r="N1363" s="38"/>
    </row>
    <row r="1364" spans="1:14" s="94" customFormat="1" ht="15.75" customHeight="1" x14ac:dyDescent="0.35">
      <c r="A1364" s="174">
        <f t="shared" si="343"/>
        <v>19</v>
      </c>
      <c r="B1364" s="174"/>
      <c r="C1364" s="93" t="s">
        <v>200</v>
      </c>
      <c r="D1364" s="102">
        <f t="shared" si="345"/>
        <v>323.24291999999997</v>
      </c>
      <c r="E1364" s="93">
        <f>(1.2*4.8+3.2*1.5)*10.764</f>
        <v>113.66784</v>
      </c>
      <c r="F1364" s="93">
        <f t="shared" ref="F1364:F1368" si="350">D1364*(($F$422)+1)+(IF(E1364&lt;101,E1364,IF(E1364&lt;201,E1364/2,IF(E1364&lt;=301,E1364/3,E1364/4))))</f>
        <v>541.69830000000002</v>
      </c>
      <c r="G1364" s="170"/>
      <c r="H1364" s="171"/>
      <c r="I1364" s="38"/>
      <c r="N1364" s="38"/>
    </row>
    <row r="1365" spans="1:14" s="94" customFormat="1" ht="15.75" customHeight="1" x14ac:dyDescent="0.35">
      <c r="A1365" s="174">
        <f t="shared" si="343"/>
        <v>20</v>
      </c>
      <c r="B1365" s="174"/>
      <c r="C1365" s="93" t="s">
        <v>200</v>
      </c>
      <c r="D1365" s="102">
        <f t="shared" si="345"/>
        <v>323.24291999999997</v>
      </c>
      <c r="E1365" s="93">
        <f>(1.2*4.8+3.2*1.5)*10.764</f>
        <v>113.66784</v>
      </c>
      <c r="F1365" s="93">
        <f t="shared" si="350"/>
        <v>541.69830000000002</v>
      </c>
      <c r="G1365" s="170"/>
      <c r="H1365" s="171"/>
      <c r="I1365" s="38"/>
      <c r="N1365" s="38"/>
    </row>
    <row r="1366" spans="1:14" s="94" customFormat="1" ht="15.75" customHeight="1" x14ac:dyDescent="0.35">
      <c r="A1366" s="174">
        <f t="shared" si="343"/>
        <v>21</v>
      </c>
      <c r="B1366" s="174"/>
      <c r="C1366" s="93" t="s">
        <v>200</v>
      </c>
      <c r="D1366" s="102">
        <f t="shared" si="345"/>
        <v>323.24291999999997</v>
      </c>
      <c r="E1366" s="93">
        <f>(3.3*1.8)*10.764</f>
        <v>63.938159999999989</v>
      </c>
      <c r="F1366" s="93">
        <f t="shared" si="350"/>
        <v>548.80254000000002</v>
      </c>
      <c r="G1366" s="170"/>
      <c r="H1366" s="171"/>
      <c r="I1366" s="38"/>
      <c r="N1366" s="38"/>
    </row>
    <row r="1367" spans="1:14" s="94" customFormat="1" ht="15.75" customHeight="1" x14ac:dyDescent="0.35">
      <c r="A1367" s="174">
        <f t="shared" si="343"/>
        <v>22</v>
      </c>
      <c r="B1367" s="174"/>
      <c r="C1367" s="93" t="s">
        <v>200</v>
      </c>
      <c r="D1367" s="102">
        <f t="shared" si="345"/>
        <v>323.24291999999997</v>
      </c>
      <c r="E1367" s="93">
        <f>(5*1.2)*10.764</f>
        <v>64.584000000000003</v>
      </c>
      <c r="F1367" s="93">
        <f t="shared" si="350"/>
        <v>549.44838000000004</v>
      </c>
      <c r="G1367" s="170"/>
      <c r="H1367" s="171"/>
      <c r="I1367" s="38"/>
      <c r="N1367" s="38"/>
    </row>
    <row r="1368" spans="1:14" s="94" customFormat="1" ht="15.75" customHeight="1" x14ac:dyDescent="0.35">
      <c r="A1368" s="174">
        <f t="shared" si="343"/>
        <v>23</v>
      </c>
      <c r="B1368" s="174"/>
      <c r="C1368" s="93" t="s">
        <v>200</v>
      </c>
      <c r="D1368" s="102">
        <f t="shared" si="345"/>
        <v>323.24291999999997</v>
      </c>
      <c r="E1368" s="93">
        <f>(3.6*1.5+3*1.2)*10.764</f>
        <v>96.875999999999991</v>
      </c>
      <c r="F1368" s="93">
        <f t="shared" si="350"/>
        <v>581.74037999999996</v>
      </c>
      <c r="G1368" s="170"/>
      <c r="H1368" s="171"/>
      <c r="I1368" s="38"/>
      <c r="N1368" s="38"/>
    </row>
    <row r="1369" spans="1:14" s="94" customFormat="1" ht="15.75" customHeight="1" x14ac:dyDescent="0.35">
      <c r="A1369" s="174">
        <f t="shared" si="343"/>
        <v>24</v>
      </c>
      <c r="B1369" s="174"/>
      <c r="C1369" s="93" t="s">
        <v>200</v>
      </c>
      <c r="D1369" s="102">
        <f t="shared" si="345"/>
        <v>323.24291999999997</v>
      </c>
      <c r="E1369" s="93">
        <f>(6.18*1+1.6*2.5+4*1)*10.764</f>
        <v>152.63351999999998</v>
      </c>
      <c r="F1369" s="93">
        <f>D1369*(($F$422)+1)+(IF(E1369&lt;101,E1369,IF(E1369&lt;201,E1369/2,IF(E1369&lt;=301,E1369/3,E1369/4))))</f>
        <v>561.18113999999991</v>
      </c>
      <c r="G1369" s="170"/>
      <c r="H1369" s="171"/>
      <c r="I1369" s="38"/>
      <c r="N1369" s="38"/>
    </row>
    <row r="1370" spans="1:14" s="94" customFormat="1" ht="15.75" customHeight="1" x14ac:dyDescent="0.35">
      <c r="A1370" s="174">
        <f t="shared" si="343"/>
        <v>25</v>
      </c>
      <c r="B1370" s="174"/>
      <c r="C1370" s="93" t="s">
        <v>200</v>
      </c>
      <c r="D1370" s="102">
        <f t="shared" si="345"/>
        <v>323.24291999999997</v>
      </c>
      <c r="E1370" s="93">
        <f>(3.3*1.8)*10.764</f>
        <v>63.938159999999989</v>
      </c>
      <c r="F1370" s="93">
        <f t="shared" ref="F1370:F1376" si="351">D1370*(($F$422)+1)+(IF(E1370&lt;101,E1370,IF(E1370&lt;201,E1370/2,IF(E1370&lt;=301,E1370/3,E1370/4))))</f>
        <v>548.80254000000002</v>
      </c>
      <c r="G1370" s="170"/>
      <c r="H1370" s="171"/>
      <c r="I1370" s="38"/>
      <c r="N1370" s="38"/>
    </row>
    <row r="1371" spans="1:14" s="94" customFormat="1" ht="15.75" customHeight="1" x14ac:dyDescent="0.35">
      <c r="A1371" s="174">
        <f t="shared" si="343"/>
        <v>26</v>
      </c>
      <c r="B1371" s="174"/>
      <c r="C1371" s="93" t="s">
        <v>200</v>
      </c>
      <c r="D1371" s="102">
        <f t="shared" si="345"/>
        <v>323.24291999999997</v>
      </c>
      <c r="E1371" s="93">
        <f>(3.3*1.8+5*1.2)*10.764</f>
        <v>128.52215999999999</v>
      </c>
      <c r="F1371" s="93">
        <f t="shared" si="351"/>
        <v>549.12545999999998</v>
      </c>
      <c r="G1371" s="170"/>
      <c r="H1371" s="171"/>
      <c r="I1371" s="38"/>
      <c r="N1371" s="38"/>
    </row>
    <row r="1372" spans="1:14" s="94" customFormat="1" ht="15.75" customHeight="1" x14ac:dyDescent="0.35">
      <c r="A1372" s="174">
        <f t="shared" si="343"/>
        <v>27</v>
      </c>
      <c r="B1372" s="174"/>
      <c r="C1372" s="93" t="s">
        <v>200</v>
      </c>
      <c r="D1372" s="102">
        <f t="shared" si="345"/>
        <v>323.24291999999997</v>
      </c>
      <c r="E1372" s="93">
        <f>(6.18*1+1.6*2.5+4*1)*10.764</f>
        <v>152.63351999999998</v>
      </c>
      <c r="F1372" s="93">
        <f t="shared" si="351"/>
        <v>561.18113999999991</v>
      </c>
      <c r="G1372" s="170"/>
      <c r="H1372" s="171"/>
      <c r="I1372" s="38"/>
      <c r="N1372" s="38"/>
    </row>
    <row r="1373" spans="1:14" s="94" customFormat="1" ht="15.75" customHeight="1" x14ac:dyDescent="0.35">
      <c r="A1373" s="174">
        <f t="shared" si="343"/>
        <v>28</v>
      </c>
      <c r="B1373" s="174"/>
      <c r="C1373" s="93" t="s">
        <v>200</v>
      </c>
      <c r="D1373" s="102">
        <f t="shared" si="345"/>
        <v>323.24291999999997</v>
      </c>
      <c r="E1373" s="93">
        <f>(3.6*1.5+3*1.2)*10.764</f>
        <v>96.875999999999991</v>
      </c>
      <c r="F1373" s="93">
        <f t="shared" si="351"/>
        <v>581.74037999999996</v>
      </c>
      <c r="G1373" s="170"/>
      <c r="H1373" s="171"/>
      <c r="I1373" s="38"/>
      <c r="N1373" s="38"/>
    </row>
    <row r="1374" spans="1:14" s="94" customFormat="1" ht="15.75" customHeight="1" x14ac:dyDescent="0.35">
      <c r="A1374" s="174">
        <f t="shared" ref="A1374:A1381" si="352">A1373+1</f>
        <v>29</v>
      </c>
      <c r="B1374" s="174"/>
      <c r="C1374" s="93" t="s">
        <v>200</v>
      </c>
      <c r="D1374" s="102">
        <f t="shared" si="345"/>
        <v>323.24291999999997</v>
      </c>
      <c r="E1374" s="93">
        <f>(1.2*4.8)*10.764</f>
        <v>62.000639999999997</v>
      </c>
      <c r="F1374" s="93">
        <f t="shared" si="351"/>
        <v>546.86501999999996</v>
      </c>
      <c r="G1374" s="170"/>
      <c r="H1374" s="171"/>
      <c r="I1374" s="38"/>
      <c r="N1374" s="38"/>
    </row>
    <row r="1375" spans="1:14" s="94" customFormat="1" ht="15.75" customHeight="1" x14ac:dyDescent="0.35">
      <c r="A1375" s="174">
        <f t="shared" si="352"/>
        <v>30</v>
      </c>
      <c r="B1375" s="174"/>
      <c r="C1375" s="93" t="s">
        <v>200</v>
      </c>
      <c r="D1375" s="102">
        <f t="shared" si="345"/>
        <v>323.24291999999997</v>
      </c>
      <c r="E1375" s="93">
        <f>(3.6*1.5+3*1.2)*10.764</f>
        <v>96.875999999999991</v>
      </c>
      <c r="F1375" s="93">
        <f t="shared" si="351"/>
        <v>581.74037999999996</v>
      </c>
      <c r="G1375" s="170"/>
      <c r="H1375" s="171"/>
      <c r="I1375" s="38"/>
      <c r="N1375" s="38"/>
    </row>
    <row r="1376" spans="1:14" s="94" customFormat="1" ht="15.75" customHeight="1" x14ac:dyDescent="0.35">
      <c r="A1376" s="174">
        <f t="shared" si="352"/>
        <v>31</v>
      </c>
      <c r="B1376" s="174"/>
      <c r="C1376" s="93" t="s">
        <v>200</v>
      </c>
      <c r="D1376" s="102">
        <f t="shared" si="345"/>
        <v>323.24291999999997</v>
      </c>
      <c r="E1376" s="93">
        <f>(6.18*1+1.6*2.5+4*1)*10.764</f>
        <v>152.63351999999998</v>
      </c>
      <c r="F1376" s="93">
        <f t="shared" si="351"/>
        <v>561.18113999999991</v>
      </c>
      <c r="G1376" s="170"/>
      <c r="H1376" s="171"/>
      <c r="I1376" s="38"/>
      <c r="N1376" s="38"/>
    </row>
    <row r="1377" spans="1:14" s="94" customFormat="1" ht="15.75" customHeight="1" x14ac:dyDescent="0.35">
      <c r="A1377" s="174">
        <f t="shared" si="352"/>
        <v>32</v>
      </c>
      <c r="B1377" s="174"/>
      <c r="C1377" s="93" t="s">
        <v>200</v>
      </c>
      <c r="D1377" s="102">
        <f t="shared" si="345"/>
        <v>323.24291999999997</v>
      </c>
      <c r="E1377" s="93">
        <f>(3.5*1.8)*10.764</f>
        <v>67.813199999999995</v>
      </c>
      <c r="F1377" s="93">
        <f>D1377*(($F$422)+1)+(IF(E1377&lt;101,E1377,IF(E1377&lt;201,E1377/2,IF(E1377&lt;=301,E1377/3,E1377/4))))</f>
        <v>552.67758000000003</v>
      </c>
      <c r="G1377" s="170"/>
      <c r="H1377" s="171"/>
      <c r="I1377" s="38"/>
      <c r="N1377" s="38"/>
    </row>
    <row r="1378" spans="1:14" s="94" customFormat="1" ht="15.75" customHeight="1" x14ac:dyDescent="0.35">
      <c r="A1378" s="174">
        <f t="shared" si="352"/>
        <v>33</v>
      </c>
      <c r="B1378" s="174"/>
      <c r="C1378" s="93" t="s">
        <v>200</v>
      </c>
      <c r="D1378" s="102">
        <f t="shared" si="345"/>
        <v>323.24291999999997</v>
      </c>
      <c r="E1378" s="93">
        <f>(3.5*1.8+5*1.2)*10.764</f>
        <v>132.3972</v>
      </c>
      <c r="F1378" s="93">
        <f t="shared" ref="F1378:F1381" si="353">D1378*(($F$422)+1)+(IF(E1378&lt;101,E1378,IF(E1378&lt;201,E1378/2,IF(E1378&lt;=301,E1378/3,E1378/4))))</f>
        <v>551.06297999999992</v>
      </c>
      <c r="G1378" s="170"/>
      <c r="H1378" s="171"/>
      <c r="I1378" s="38"/>
      <c r="N1378" s="38"/>
    </row>
    <row r="1379" spans="1:14" s="94" customFormat="1" ht="15.75" customHeight="1" x14ac:dyDescent="0.35">
      <c r="A1379" s="174">
        <f t="shared" si="352"/>
        <v>34</v>
      </c>
      <c r="B1379" s="174"/>
      <c r="C1379" s="93" t="s">
        <v>200</v>
      </c>
      <c r="D1379" s="102">
        <f t="shared" si="345"/>
        <v>323.24291999999997</v>
      </c>
      <c r="E1379" s="93">
        <f>(6.18*1+1.6*2.5+4*1)*10.764</f>
        <v>152.63351999999998</v>
      </c>
      <c r="F1379" s="93">
        <f t="shared" si="353"/>
        <v>561.18113999999991</v>
      </c>
      <c r="G1379" s="170"/>
      <c r="H1379" s="171"/>
      <c r="I1379" s="38"/>
      <c r="N1379" s="38"/>
    </row>
    <row r="1380" spans="1:14" s="94" customFormat="1" ht="15.75" customHeight="1" x14ac:dyDescent="0.35">
      <c r="A1380" s="174">
        <f t="shared" si="352"/>
        <v>35</v>
      </c>
      <c r="B1380" s="174"/>
      <c r="C1380" s="93" t="s">
        <v>200</v>
      </c>
      <c r="D1380" s="102">
        <f t="shared" si="345"/>
        <v>323.24291999999997</v>
      </c>
      <c r="E1380" s="93">
        <f>(3.6*1.5+3*1.2)*10.764</f>
        <v>96.875999999999991</v>
      </c>
      <c r="F1380" s="93">
        <f t="shared" si="353"/>
        <v>581.74037999999996</v>
      </c>
      <c r="G1380" s="170"/>
      <c r="H1380" s="171"/>
      <c r="I1380" s="38"/>
      <c r="N1380" s="38"/>
    </row>
    <row r="1381" spans="1:14" s="94" customFormat="1" ht="15.75" customHeight="1" x14ac:dyDescent="0.35">
      <c r="A1381" s="174">
        <f t="shared" si="352"/>
        <v>36</v>
      </c>
      <c r="B1381" s="174"/>
      <c r="C1381" s="93" t="s">
        <v>200</v>
      </c>
      <c r="D1381" s="102">
        <f t="shared" si="345"/>
        <v>323.24291999999997</v>
      </c>
      <c r="E1381" s="93">
        <f>(5*1.2)*10.764</f>
        <v>64.584000000000003</v>
      </c>
      <c r="F1381" s="93">
        <f t="shared" si="353"/>
        <v>549.44838000000004</v>
      </c>
      <c r="G1381" s="172"/>
      <c r="H1381" s="173"/>
      <c r="I1381" s="38"/>
      <c r="N1381" s="38"/>
    </row>
    <row r="1382" spans="1:14" s="94" customFormat="1" x14ac:dyDescent="0.35">
      <c r="A1382" s="183" t="s">
        <v>171</v>
      </c>
      <c r="B1382" s="183"/>
      <c r="C1382" s="183"/>
      <c r="D1382" s="183"/>
      <c r="E1382" s="183"/>
      <c r="F1382" s="183"/>
      <c r="G1382" s="183"/>
      <c r="H1382" s="183"/>
      <c r="I1382" s="38"/>
      <c r="L1382" s="182"/>
      <c r="M1382" s="182"/>
    </row>
    <row r="1383" spans="1:14" s="94" customFormat="1" ht="15.75" customHeight="1" x14ac:dyDescent="0.35">
      <c r="A1383" s="174">
        <v>1</v>
      </c>
      <c r="B1383" s="174"/>
      <c r="C1383" s="123" t="s">
        <v>200</v>
      </c>
      <c r="D1383" s="123">
        <f>(27.66+1.2*1.8+1.2*1.2+3.16*0.75)*10.764</f>
        <v>361.99331999999998</v>
      </c>
      <c r="E1383" s="123">
        <v>0</v>
      </c>
      <c r="F1383" s="123">
        <f t="shared" ref="F1383:F1384" si="354">D1383*(($F$422)+1)+(IF(E1383&lt;101,E1383,IF(E1383&lt;201,E1383/2,IF(E1383&lt;=301,E1383/3,E1383/4))))</f>
        <v>542.98997999999995</v>
      </c>
      <c r="G1383" s="174" t="str">
        <f>A1382</f>
        <v xml:space="preserve">2nd to 7th, 9th to 11th, 13rd to 15th, 17th to 19th, 21st to 23rd Floor </v>
      </c>
      <c r="H1383" s="174"/>
      <c r="I1383" s="38"/>
      <c r="N1383" s="38"/>
    </row>
    <row r="1384" spans="1:14" s="94" customFormat="1" ht="15.75" customHeight="1" x14ac:dyDescent="0.35">
      <c r="A1384" s="174">
        <f t="shared" ref="A1384:A1418" si="355">A1383+1</f>
        <v>2</v>
      </c>
      <c r="B1384" s="174"/>
      <c r="C1384" s="123" t="s">
        <v>200</v>
      </c>
      <c r="D1384" s="123">
        <f t="shared" ref="D1384:D1418" si="356">(27.66+1.2*1.8+1.2*1.2+3.16*0.75)*10.764</f>
        <v>361.99331999999998</v>
      </c>
      <c r="E1384" s="123">
        <v>0</v>
      </c>
      <c r="F1384" s="123">
        <f t="shared" si="354"/>
        <v>542.98997999999995</v>
      </c>
      <c r="G1384" s="174" t="str">
        <f t="shared" ref="G1384:G1418" si="357">G1383</f>
        <v xml:space="preserve">2nd to 7th, 9th to 11th, 13rd to 15th, 17th to 19th, 21st to 23rd Floor </v>
      </c>
      <c r="H1384" s="174"/>
      <c r="I1384" s="38"/>
      <c r="N1384" s="38"/>
    </row>
    <row r="1385" spans="1:14" s="94" customFormat="1" ht="15.75" customHeight="1" x14ac:dyDescent="0.35">
      <c r="A1385" s="174">
        <f t="shared" si="355"/>
        <v>3</v>
      </c>
      <c r="B1385" s="174"/>
      <c r="C1385" s="123" t="s">
        <v>200</v>
      </c>
      <c r="D1385" s="123">
        <f t="shared" si="356"/>
        <v>361.99331999999998</v>
      </c>
      <c r="E1385" s="123">
        <v>0</v>
      </c>
      <c r="F1385" s="123">
        <f>D1385*(($F$422)+1)+(IF(E1385&lt;101,E1385,IF(E1385&lt;201,E1385/2,IF(E1385&lt;=301,E1385/3,E1385/4))))</f>
        <v>542.98997999999995</v>
      </c>
      <c r="G1385" s="174" t="str">
        <f t="shared" si="357"/>
        <v xml:space="preserve">2nd to 7th, 9th to 11th, 13rd to 15th, 17th to 19th, 21st to 23rd Floor </v>
      </c>
      <c r="H1385" s="174"/>
      <c r="I1385" s="38"/>
      <c r="N1385" s="38"/>
    </row>
    <row r="1386" spans="1:14" s="94" customFormat="1" ht="15.75" customHeight="1" x14ac:dyDescent="0.35">
      <c r="A1386" s="174">
        <f t="shared" si="355"/>
        <v>4</v>
      </c>
      <c r="B1386" s="174"/>
      <c r="C1386" s="123" t="s">
        <v>200</v>
      </c>
      <c r="D1386" s="123">
        <f t="shared" si="356"/>
        <v>361.99331999999998</v>
      </c>
      <c r="E1386" s="123">
        <v>0</v>
      </c>
      <c r="F1386" s="123">
        <f t="shared" ref="F1386:F1389" si="358">D1386*(($F$422)+1)+(IF(E1386&lt;101,E1386,IF(E1386&lt;201,E1386/2,IF(E1386&lt;=301,E1386/3,E1386/4))))</f>
        <v>542.98997999999995</v>
      </c>
      <c r="G1386" s="174" t="str">
        <f t="shared" si="357"/>
        <v xml:space="preserve">2nd to 7th, 9th to 11th, 13rd to 15th, 17th to 19th, 21st to 23rd Floor </v>
      </c>
      <c r="H1386" s="174"/>
      <c r="I1386" s="38"/>
      <c r="N1386" s="38"/>
    </row>
    <row r="1387" spans="1:14" s="94" customFormat="1" ht="15.75" customHeight="1" x14ac:dyDescent="0.35">
      <c r="A1387" s="174">
        <f t="shared" si="355"/>
        <v>5</v>
      </c>
      <c r="B1387" s="174"/>
      <c r="C1387" s="123" t="s">
        <v>200</v>
      </c>
      <c r="D1387" s="123">
        <f t="shared" si="356"/>
        <v>361.99331999999998</v>
      </c>
      <c r="E1387" s="123">
        <v>0</v>
      </c>
      <c r="F1387" s="123">
        <f t="shared" si="358"/>
        <v>542.98997999999995</v>
      </c>
      <c r="G1387" s="174" t="str">
        <f t="shared" si="357"/>
        <v xml:space="preserve">2nd to 7th, 9th to 11th, 13rd to 15th, 17th to 19th, 21st to 23rd Floor </v>
      </c>
      <c r="H1387" s="174"/>
      <c r="I1387" s="38"/>
      <c r="N1387" s="38"/>
    </row>
    <row r="1388" spans="1:14" s="94" customFormat="1" ht="15.75" customHeight="1" x14ac:dyDescent="0.35">
      <c r="A1388" s="174">
        <f t="shared" si="355"/>
        <v>6</v>
      </c>
      <c r="B1388" s="174"/>
      <c r="C1388" s="123" t="s">
        <v>200</v>
      </c>
      <c r="D1388" s="123">
        <f t="shared" si="356"/>
        <v>361.99331999999998</v>
      </c>
      <c r="E1388" s="123">
        <v>0</v>
      </c>
      <c r="F1388" s="123">
        <f t="shared" si="358"/>
        <v>542.98997999999995</v>
      </c>
      <c r="G1388" s="174" t="str">
        <f t="shared" si="357"/>
        <v xml:space="preserve">2nd to 7th, 9th to 11th, 13rd to 15th, 17th to 19th, 21st to 23rd Floor </v>
      </c>
      <c r="H1388" s="174"/>
      <c r="I1388" s="38"/>
      <c r="N1388" s="38"/>
    </row>
    <row r="1389" spans="1:14" s="94" customFormat="1" ht="15.75" customHeight="1" x14ac:dyDescent="0.35">
      <c r="A1389" s="174">
        <f t="shared" si="355"/>
        <v>7</v>
      </c>
      <c r="B1389" s="174"/>
      <c r="C1389" s="123" t="s">
        <v>200</v>
      </c>
      <c r="D1389" s="123">
        <f t="shared" si="356"/>
        <v>361.99331999999998</v>
      </c>
      <c r="E1389" s="123">
        <v>0</v>
      </c>
      <c r="F1389" s="123">
        <f t="shared" si="358"/>
        <v>542.98997999999995</v>
      </c>
      <c r="G1389" s="174" t="str">
        <f t="shared" si="357"/>
        <v xml:space="preserve">2nd to 7th, 9th to 11th, 13rd to 15th, 17th to 19th, 21st to 23rd Floor </v>
      </c>
      <c r="H1389" s="174"/>
      <c r="I1389" s="38"/>
      <c r="N1389" s="38"/>
    </row>
    <row r="1390" spans="1:14" s="94" customFormat="1" ht="15.75" customHeight="1" x14ac:dyDescent="0.35">
      <c r="A1390" s="174">
        <f t="shared" si="355"/>
        <v>8</v>
      </c>
      <c r="B1390" s="174"/>
      <c r="C1390" s="123" t="s">
        <v>200</v>
      </c>
      <c r="D1390" s="123">
        <f t="shared" si="356"/>
        <v>361.99331999999998</v>
      </c>
      <c r="E1390" s="123">
        <v>0</v>
      </c>
      <c r="F1390" s="123">
        <f>D1390*(($F$422)+1)+(IF(E1390&lt;101,E1390,IF(E1390&lt;201,E1390/2,IF(E1390&lt;=301,E1390/3,E1390/4))))</f>
        <v>542.98997999999995</v>
      </c>
      <c r="G1390" s="174" t="str">
        <f t="shared" si="357"/>
        <v xml:space="preserve">2nd to 7th, 9th to 11th, 13rd to 15th, 17th to 19th, 21st to 23rd Floor </v>
      </c>
      <c r="H1390" s="174"/>
      <c r="I1390" s="38"/>
      <c r="N1390" s="38"/>
    </row>
    <row r="1391" spans="1:14" s="94" customFormat="1" ht="15.75" customHeight="1" x14ac:dyDescent="0.35">
      <c r="A1391" s="174">
        <f t="shared" si="355"/>
        <v>9</v>
      </c>
      <c r="B1391" s="174"/>
      <c r="C1391" s="123" t="s">
        <v>200</v>
      </c>
      <c r="D1391" s="123">
        <f t="shared" si="356"/>
        <v>361.99331999999998</v>
      </c>
      <c r="E1391" s="123">
        <v>0</v>
      </c>
      <c r="F1391" s="123">
        <f t="shared" ref="F1391:F1394" si="359">D1391*(($F$422)+1)+(IF(E1391&lt;101,E1391,IF(E1391&lt;201,E1391/2,IF(E1391&lt;=301,E1391/3,E1391/4))))</f>
        <v>542.98997999999995</v>
      </c>
      <c r="G1391" s="174" t="str">
        <f t="shared" si="357"/>
        <v xml:space="preserve">2nd to 7th, 9th to 11th, 13rd to 15th, 17th to 19th, 21st to 23rd Floor </v>
      </c>
      <c r="H1391" s="174"/>
      <c r="I1391" s="38"/>
      <c r="N1391" s="38"/>
    </row>
    <row r="1392" spans="1:14" s="94" customFormat="1" ht="15.75" customHeight="1" x14ac:dyDescent="0.35">
      <c r="A1392" s="174">
        <f t="shared" si="355"/>
        <v>10</v>
      </c>
      <c r="B1392" s="174"/>
      <c r="C1392" s="123" t="s">
        <v>200</v>
      </c>
      <c r="D1392" s="123">
        <f t="shared" si="356"/>
        <v>361.99331999999998</v>
      </c>
      <c r="E1392" s="123">
        <v>0</v>
      </c>
      <c r="F1392" s="123">
        <f t="shared" si="359"/>
        <v>542.98997999999995</v>
      </c>
      <c r="G1392" s="174" t="str">
        <f t="shared" si="357"/>
        <v xml:space="preserve">2nd to 7th, 9th to 11th, 13rd to 15th, 17th to 19th, 21st to 23rd Floor </v>
      </c>
      <c r="H1392" s="174"/>
      <c r="I1392" s="38"/>
      <c r="N1392" s="38"/>
    </row>
    <row r="1393" spans="1:14" s="94" customFormat="1" ht="15.75" customHeight="1" x14ac:dyDescent="0.35">
      <c r="A1393" s="174">
        <f t="shared" si="355"/>
        <v>11</v>
      </c>
      <c r="B1393" s="174"/>
      <c r="C1393" s="123" t="s">
        <v>200</v>
      </c>
      <c r="D1393" s="123">
        <f t="shared" si="356"/>
        <v>361.99331999999998</v>
      </c>
      <c r="E1393" s="123">
        <v>0</v>
      </c>
      <c r="F1393" s="123">
        <f t="shared" si="359"/>
        <v>542.98997999999995</v>
      </c>
      <c r="G1393" s="174" t="str">
        <f t="shared" si="357"/>
        <v xml:space="preserve">2nd to 7th, 9th to 11th, 13rd to 15th, 17th to 19th, 21st to 23rd Floor </v>
      </c>
      <c r="H1393" s="174"/>
      <c r="I1393" s="38"/>
      <c r="N1393" s="38"/>
    </row>
    <row r="1394" spans="1:14" s="94" customFormat="1" ht="15.75" customHeight="1" x14ac:dyDescent="0.35">
      <c r="A1394" s="174">
        <f t="shared" si="355"/>
        <v>12</v>
      </c>
      <c r="B1394" s="174"/>
      <c r="C1394" s="123" t="s">
        <v>200</v>
      </c>
      <c r="D1394" s="123">
        <f t="shared" si="356"/>
        <v>361.99331999999998</v>
      </c>
      <c r="E1394" s="123">
        <v>0</v>
      </c>
      <c r="F1394" s="123">
        <f t="shared" si="359"/>
        <v>542.98997999999995</v>
      </c>
      <c r="G1394" s="174" t="str">
        <f t="shared" si="357"/>
        <v xml:space="preserve">2nd to 7th, 9th to 11th, 13rd to 15th, 17th to 19th, 21st to 23rd Floor </v>
      </c>
      <c r="H1394" s="174"/>
      <c r="I1394" s="38"/>
      <c r="N1394" s="38"/>
    </row>
    <row r="1395" spans="1:14" s="94" customFormat="1" ht="15.75" customHeight="1" x14ac:dyDescent="0.35">
      <c r="A1395" s="174">
        <f t="shared" si="355"/>
        <v>13</v>
      </c>
      <c r="B1395" s="174"/>
      <c r="C1395" s="123" t="s">
        <v>200</v>
      </c>
      <c r="D1395" s="123">
        <f t="shared" si="356"/>
        <v>361.99331999999998</v>
      </c>
      <c r="E1395" s="123">
        <v>0</v>
      </c>
      <c r="F1395" s="123">
        <f>D1395*(($F$422)+1)+(IF(E1395&lt;101,E1395,IF(E1395&lt;201,E1395/2,IF(E1395&lt;=301,E1395/3,E1395/4))))</f>
        <v>542.98997999999995</v>
      </c>
      <c r="G1395" s="174" t="str">
        <f t="shared" si="357"/>
        <v xml:space="preserve">2nd to 7th, 9th to 11th, 13rd to 15th, 17th to 19th, 21st to 23rd Floor </v>
      </c>
      <c r="H1395" s="174"/>
      <c r="I1395" s="38"/>
      <c r="N1395" s="38"/>
    </row>
    <row r="1396" spans="1:14" s="94" customFormat="1" ht="15.75" customHeight="1" x14ac:dyDescent="0.35">
      <c r="A1396" s="174">
        <f t="shared" si="355"/>
        <v>14</v>
      </c>
      <c r="B1396" s="174"/>
      <c r="C1396" s="123" t="s">
        <v>200</v>
      </c>
      <c r="D1396" s="123">
        <f t="shared" si="356"/>
        <v>361.99331999999998</v>
      </c>
      <c r="E1396" s="123">
        <v>0</v>
      </c>
      <c r="F1396" s="123">
        <f t="shared" ref="F1396" si="360">D1396*(($F$422)+1)+(IF(E1396&lt;101,E1396,IF(E1396&lt;201,E1396/2,IF(E1396&lt;=301,E1396/3,E1396/4))))</f>
        <v>542.98997999999995</v>
      </c>
      <c r="G1396" s="174" t="str">
        <f t="shared" si="357"/>
        <v xml:space="preserve">2nd to 7th, 9th to 11th, 13rd to 15th, 17th to 19th, 21st to 23rd Floor </v>
      </c>
      <c r="H1396" s="174"/>
      <c r="I1396" s="38"/>
      <c r="N1396" s="38"/>
    </row>
    <row r="1397" spans="1:14" s="94" customFormat="1" ht="15.75" customHeight="1" x14ac:dyDescent="0.35">
      <c r="A1397" s="174">
        <f t="shared" si="355"/>
        <v>15</v>
      </c>
      <c r="B1397" s="174"/>
      <c r="C1397" s="123" t="s">
        <v>200</v>
      </c>
      <c r="D1397" s="123">
        <f t="shared" si="356"/>
        <v>361.99331999999998</v>
      </c>
      <c r="E1397" s="123">
        <v>0</v>
      </c>
      <c r="F1397" s="123">
        <f>D1397*(($F$422)+1)+(IF(E1397&lt;101,E1397,IF(E1397&lt;201,E1397/2,IF(E1397&lt;=301,E1397/3,E1397/4))))</f>
        <v>542.98997999999995</v>
      </c>
      <c r="G1397" s="174" t="str">
        <f t="shared" si="357"/>
        <v xml:space="preserve">2nd to 7th, 9th to 11th, 13rd to 15th, 17th to 19th, 21st to 23rd Floor </v>
      </c>
      <c r="H1397" s="174"/>
      <c r="I1397" s="38"/>
      <c r="N1397" s="38"/>
    </row>
    <row r="1398" spans="1:14" s="94" customFormat="1" ht="15.75" customHeight="1" x14ac:dyDescent="0.35">
      <c r="A1398" s="174">
        <f t="shared" si="355"/>
        <v>16</v>
      </c>
      <c r="B1398" s="174"/>
      <c r="C1398" s="123" t="s">
        <v>200</v>
      </c>
      <c r="D1398" s="123">
        <f t="shared" si="356"/>
        <v>361.99331999999998</v>
      </c>
      <c r="E1398" s="123">
        <v>0</v>
      </c>
      <c r="F1398" s="123">
        <f t="shared" ref="F1398:F1399" si="361">D1398*(($F$422)+1)+(IF(E1398&lt;101,E1398,IF(E1398&lt;201,E1398/2,IF(E1398&lt;=301,E1398/3,E1398/4))))</f>
        <v>542.98997999999995</v>
      </c>
      <c r="G1398" s="174" t="str">
        <f t="shared" si="357"/>
        <v xml:space="preserve">2nd to 7th, 9th to 11th, 13rd to 15th, 17th to 19th, 21st to 23rd Floor </v>
      </c>
      <c r="H1398" s="174"/>
      <c r="I1398" s="38"/>
      <c r="N1398" s="38"/>
    </row>
    <row r="1399" spans="1:14" s="94" customFormat="1" ht="15.75" customHeight="1" x14ac:dyDescent="0.35">
      <c r="A1399" s="174">
        <f t="shared" si="355"/>
        <v>17</v>
      </c>
      <c r="B1399" s="174"/>
      <c r="C1399" s="123" t="s">
        <v>200</v>
      </c>
      <c r="D1399" s="123">
        <f t="shared" si="356"/>
        <v>361.99331999999998</v>
      </c>
      <c r="E1399" s="123">
        <v>0</v>
      </c>
      <c r="F1399" s="123">
        <f t="shared" si="361"/>
        <v>542.98997999999995</v>
      </c>
      <c r="G1399" s="174" t="str">
        <f t="shared" si="357"/>
        <v xml:space="preserve">2nd to 7th, 9th to 11th, 13rd to 15th, 17th to 19th, 21st to 23rd Floor </v>
      </c>
      <c r="H1399" s="174"/>
      <c r="I1399" s="38"/>
      <c r="N1399" s="38"/>
    </row>
    <row r="1400" spans="1:14" s="94" customFormat="1" ht="15.75" customHeight="1" x14ac:dyDescent="0.35">
      <c r="A1400" s="174">
        <f t="shared" si="355"/>
        <v>18</v>
      </c>
      <c r="B1400" s="174"/>
      <c r="C1400" s="123" t="s">
        <v>200</v>
      </c>
      <c r="D1400" s="123">
        <f t="shared" si="356"/>
        <v>361.99331999999998</v>
      </c>
      <c r="E1400" s="123">
        <v>0</v>
      </c>
      <c r="F1400" s="123">
        <f>D1400*(($F$422)+1)+(IF(E1400&lt;101,E1400,IF(E1400&lt;201,E1400/2,IF(E1400&lt;=301,E1400/3,E1400/4))))</f>
        <v>542.98997999999995</v>
      </c>
      <c r="G1400" s="174" t="str">
        <f t="shared" si="357"/>
        <v xml:space="preserve">2nd to 7th, 9th to 11th, 13rd to 15th, 17th to 19th, 21st to 23rd Floor </v>
      </c>
      <c r="H1400" s="174"/>
      <c r="I1400" s="38"/>
      <c r="N1400" s="38"/>
    </row>
    <row r="1401" spans="1:14" s="94" customFormat="1" ht="15.75" customHeight="1" x14ac:dyDescent="0.35">
      <c r="A1401" s="174">
        <f t="shared" si="355"/>
        <v>19</v>
      </c>
      <c r="B1401" s="174"/>
      <c r="C1401" s="123" t="s">
        <v>200</v>
      </c>
      <c r="D1401" s="123">
        <f t="shared" si="356"/>
        <v>361.99331999999998</v>
      </c>
      <c r="E1401" s="123">
        <v>0</v>
      </c>
      <c r="F1401" s="123">
        <f t="shared" ref="F1401:F1405" si="362">D1401*(($F$422)+1)+(IF(E1401&lt;101,E1401,IF(E1401&lt;201,E1401/2,IF(E1401&lt;=301,E1401/3,E1401/4))))</f>
        <v>542.98997999999995</v>
      </c>
      <c r="G1401" s="174" t="str">
        <f t="shared" si="357"/>
        <v xml:space="preserve">2nd to 7th, 9th to 11th, 13rd to 15th, 17th to 19th, 21st to 23rd Floor </v>
      </c>
      <c r="H1401" s="174"/>
      <c r="I1401" s="38"/>
      <c r="N1401" s="38"/>
    </row>
    <row r="1402" spans="1:14" s="94" customFormat="1" ht="15.75" customHeight="1" x14ac:dyDescent="0.35">
      <c r="A1402" s="174">
        <f t="shared" si="355"/>
        <v>20</v>
      </c>
      <c r="B1402" s="174"/>
      <c r="C1402" s="123" t="s">
        <v>200</v>
      </c>
      <c r="D1402" s="123">
        <f t="shared" si="356"/>
        <v>361.99331999999998</v>
      </c>
      <c r="E1402" s="123">
        <v>0</v>
      </c>
      <c r="F1402" s="123">
        <f t="shared" si="362"/>
        <v>542.98997999999995</v>
      </c>
      <c r="G1402" s="174" t="str">
        <f t="shared" si="357"/>
        <v xml:space="preserve">2nd to 7th, 9th to 11th, 13rd to 15th, 17th to 19th, 21st to 23rd Floor </v>
      </c>
      <c r="H1402" s="174"/>
      <c r="I1402" s="38"/>
      <c r="N1402" s="38"/>
    </row>
    <row r="1403" spans="1:14" s="94" customFormat="1" ht="15.75" customHeight="1" x14ac:dyDescent="0.35">
      <c r="A1403" s="174">
        <f t="shared" si="355"/>
        <v>21</v>
      </c>
      <c r="B1403" s="174"/>
      <c r="C1403" s="123" t="s">
        <v>200</v>
      </c>
      <c r="D1403" s="123">
        <f t="shared" si="356"/>
        <v>361.99331999999998</v>
      </c>
      <c r="E1403" s="123">
        <v>0</v>
      </c>
      <c r="F1403" s="123">
        <f t="shared" si="362"/>
        <v>542.98997999999995</v>
      </c>
      <c r="G1403" s="174" t="str">
        <f t="shared" si="357"/>
        <v xml:space="preserve">2nd to 7th, 9th to 11th, 13rd to 15th, 17th to 19th, 21st to 23rd Floor </v>
      </c>
      <c r="H1403" s="174"/>
      <c r="I1403" s="38"/>
      <c r="N1403" s="38"/>
    </row>
    <row r="1404" spans="1:14" s="94" customFormat="1" ht="15.75" customHeight="1" x14ac:dyDescent="0.35">
      <c r="A1404" s="174">
        <f t="shared" si="355"/>
        <v>22</v>
      </c>
      <c r="B1404" s="174"/>
      <c r="C1404" s="123" t="s">
        <v>200</v>
      </c>
      <c r="D1404" s="123">
        <f t="shared" si="356"/>
        <v>361.99331999999998</v>
      </c>
      <c r="E1404" s="123">
        <v>0</v>
      </c>
      <c r="F1404" s="123">
        <f t="shared" si="362"/>
        <v>542.98997999999995</v>
      </c>
      <c r="G1404" s="174" t="str">
        <f t="shared" si="357"/>
        <v xml:space="preserve">2nd to 7th, 9th to 11th, 13rd to 15th, 17th to 19th, 21st to 23rd Floor </v>
      </c>
      <c r="H1404" s="174"/>
      <c r="I1404" s="38"/>
      <c r="N1404" s="38"/>
    </row>
    <row r="1405" spans="1:14" s="94" customFormat="1" ht="15.75" customHeight="1" x14ac:dyDescent="0.35">
      <c r="A1405" s="174">
        <f t="shared" si="355"/>
        <v>23</v>
      </c>
      <c r="B1405" s="174"/>
      <c r="C1405" s="123" t="s">
        <v>200</v>
      </c>
      <c r="D1405" s="123">
        <f t="shared" si="356"/>
        <v>361.99331999999998</v>
      </c>
      <c r="E1405" s="123">
        <v>0</v>
      </c>
      <c r="F1405" s="123">
        <f t="shared" si="362"/>
        <v>542.98997999999995</v>
      </c>
      <c r="G1405" s="174" t="str">
        <f t="shared" si="357"/>
        <v xml:space="preserve">2nd to 7th, 9th to 11th, 13rd to 15th, 17th to 19th, 21st to 23rd Floor </v>
      </c>
      <c r="H1405" s="174"/>
      <c r="I1405" s="38"/>
      <c r="N1405" s="38"/>
    </row>
    <row r="1406" spans="1:14" s="94" customFormat="1" ht="15.75" customHeight="1" x14ac:dyDescent="0.35">
      <c r="A1406" s="174">
        <f t="shared" si="355"/>
        <v>24</v>
      </c>
      <c r="B1406" s="174"/>
      <c r="C1406" s="123" t="s">
        <v>200</v>
      </c>
      <c r="D1406" s="123">
        <f t="shared" si="356"/>
        <v>361.99331999999998</v>
      </c>
      <c r="E1406" s="123">
        <v>0</v>
      </c>
      <c r="F1406" s="123">
        <f>D1406*(($F$422)+1)+(IF(E1406&lt;101,E1406,IF(E1406&lt;201,E1406/2,IF(E1406&lt;=301,E1406/3,E1406/4))))</f>
        <v>542.98997999999995</v>
      </c>
      <c r="G1406" s="174" t="str">
        <f t="shared" si="357"/>
        <v xml:space="preserve">2nd to 7th, 9th to 11th, 13rd to 15th, 17th to 19th, 21st to 23rd Floor </v>
      </c>
      <c r="H1406" s="174"/>
      <c r="I1406" s="38"/>
      <c r="N1406" s="38"/>
    </row>
    <row r="1407" spans="1:14" s="94" customFormat="1" ht="15.75" customHeight="1" x14ac:dyDescent="0.35">
      <c r="A1407" s="174">
        <f t="shared" si="355"/>
        <v>25</v>
      </c>
      <c r="B1407" s="174"/>
      <c r="C1407" s="123" t="s">
        <v>200</v>
      </c>
      <c r="D1407" s="123">
        <f t="shared" si="356"/>
        <v>361.99331999999998</v>
      </c>
      <c r="E1407" s="123">
        <v>0</v>
      </c>
      <c r="F1407" s="123">
        <f t="shared" ref="F1407:F1413" si="363">D1407*(($F$422)+1)+(IF(E1407&lt;101,E1407,IF(E1407&lt;201,E1407/2,IF(E1407&lt;=301,E1407/3,E1407/4))))</f>
        <v>542.98997999999995</v>
      </c>
      <c r="G1407" s="174" t="str">
        <f t="shared" si="357"/>
        <v xml:space="preserve">2nd to 7th, 9th to 11th, 13rd to 15th, 17th to 19th, 21st to 23rd Floor </v>
      </c>
      <c r="H1407" s="174"/>
      <c r="I1407" s="38"/>
      <c r="N1407" s="38"/>
    </row>
    <row r="1408" spans="1:14" s="94" customFormat="1" ht="15.75" customHeight="1" x14ac:dyDescent="0.35">
      <c r="A1408" s="174">
        <f t="shared" si="355"/>
        <v>26</v>
      </c>
      <c r="B1408" s="174"/>
      <c r="C1408" s="123" t="s">
        <v>200</v>
      </c>
      <c r="D1408" s="123">
        <f t="shared" si="356"/>
        <v>361.99331999999998</v>
      </c>
      <c r="E1408" s="123">
        <v>0</v>
      </c>
      <c r="F1408" s="123">
        <f t="shared" si="363"/>
        <v>542.98997999999995</v>
      </c>
      <c r="G1408" s="174" t="str">
        <f t="shared" si="357"/>
        <v xml:space="preserve">2nd to 7th, 9th to 11th, 13rd to 15th, 17th to 19th, 21st to 23rd Floor </v>
      </c>
      <c r="H1408" s="174"/>
      <c r="I1408" s="38"/>
      <c r="N1408" s="38"/>
    </row>
    <row r="1409" spans="1:14" s="94" customFormat="1" ht="15.75" customHeight="1" x14ac:dyDescent="0.35">
      <c r="A1409" s="174">
        <f t="shared" si="355"/>
        <v>27</v>
      </c>
      <c r="B1409" s="174"/>
      <c r="C1409" s="123" t="s">
        <v>200</v>
      </c>
      <c r="D1409" s="123">
        <f t="shared" si="356"/>
        <v>361.99331999999998</v>
      </c>
      <c r="E1409" s="123">
        <v>0</v>
      </c>
      <c r="F1409" s="123">
        <f t="shared" si="363"/>
        <v>542.98997999999995</v>
      </c>
      <c r="G1409" s="174" t="str">
        <f t="shared" si="357"/>
        <v xml:space="preserve">2nd to 7th, 9th to 11th, 13rd to 15th, 17th to 19th, 21st to 23rd Floor </v>
      </c>
      <c r="H1409" s="174"/>
      <c r="I1409" s="38"/>
      <c r="N1409" s="38"/>
    </row>
    <row r="1410" spans="1:14" s="94" customFormat="1" ht="15.75" customHeight="1" x14ac:dyDescent="0.35">
      <c r="A1410" s="174">
        <f t="shared" si="355"/>
        <v>28</v>
      </c>
      <c r="B1410" s="174"/>
      <c r="C1410" s="123" t="s">
        <v>200</v>
      </c>
      <c r="D1410" s="123">
        <f t="shared" si="356"/>
        <v>361.99331999999998</v>
      </c>
      <c r="E1410" s="123">
        <v>0</v>
      </c>
      <c r="F1410" s="123">
        <f t="shared" si="363"/>
        <v>542.98997999999995</v>
      </c>
      <c r="G1410" s="174" t="str">
        <f t="shared" si="357"/>
        <v xml:space="preserve">2nd to 7th, 9th to 11th, 13rd to 15th, 17th to 19th, 21st to 23rd Floor </v>
      </c>
      <c r="H1410" s="174"/>
      <c r="I1410" s="38"/>
      <c r="N1410" s="38"/>
    </row>
    <row r="1411" spans="1:14" s="94" customFormat="1" ht="15.75" customHeight="1" x14ac:dyDescent="0.35">
      <c r="A1411" s="174">
        <f t="shared" si="355"/>
        <v>29</v>
      </c>
      <c r="B1411" s="174"/>
      <c r="C1411" s="123" t="s">
        <v>200</v>
      </c>
      <c r="D1411" s="123">
        <f t="shared" si="356"/>
        <v>361.99331999999998</v>
      </c>
      <c r="E1411" s="123">
        <v>0</v>
      </c>
      <c r="F1411" s="123">
        <f t="shared" si="363"/>
        <v>542.98997999999995</v>
      </c>
      <c r="G1411" s="174" t="str">
        <f t="shared" si="357"/>
        <v xml:space="preserve">2nd to 7th, 9th to 11th, 13rd to 15th, 17th to 19th, 21st to 23rd Floor </v>
      </c>
      <c r="H1411" s="174"/>
      <c r="I1411" s="38"/>
      <c r="N1411" s="38"/>
    </row>
    <row r="1412" spans="1:14" s="94" customFormat="1" ht="15.75" customHeight="1" x14ac:dyDescent="0.35">
      <c r="A1412" s="174">
        <f t="shared" si="355"/>
        <v>30</v>
      </c>
      <c r="B1412" s="174"/>
      <c r="C1412" s="123" t="s">
        <v>200</v>
      </c>
      <c r="D1412" s="123">
        <f t="shared" si="356"/>
        <v>361.99331999999998</v>
      </c>
      <c r="E1412" s="123">
        <v>0</v>
      </c>
      <c r="F1412" s="123">
        <f t="shared" si="363"/>
        <v>542.98997999999995</v>
      </c>
      <c r="G1412" s="174" t="str">
        <f t="shared" si="357"/>
        <v xml:space="preserve">2nd to 7th, 9th to 11th, 13rd to 15th, 17th to 19th, 21st to 23rd Floor </v>
      </c>
      <c r="H1412" s="174"/>
      <c r="I1412" s="38"/>
      <c r="N1412" s="38"/>
    </row>
    <row r="1413" spans="1:14" s="94" customFormat="1" ht="15.75" customHeight="1" x14ac:dyDescent="0.35">
      <c r="A1413" s="174">
        <f t="shared" si="355"/>
        <v>31</v>
      </c>
      <c r="B1413" s="174"/>
      <c r="C1413" s="123" t="s">
        <v>200</v>
      </c>
      <c r="D1413" s="123">
        <f t="shared" si="356"/>
        <v>361.99331999999998</v>
      </c>
      <c r="E1413" s="123">
        <v>0</v>
      </c>
      <c r="F1413" s="123">
        <f t="shared" si="363"/>
        <v>542.98997999999995</v>
      </c>
      <c r="G1413" s="174" t="str">
        <f t="shared" si="357"/>
        <v xml:space="preserve">2nd to 7th, 9th to 11th, 13rd to 15th, 17th to 19th, 21st to 23rd Floor </v>
      </c>
      <c r="H1413" s="174"/>
      <c r="I1413" s="38"/>
      <c r="N1413" s="38"/>
    </row>
    <row r="1414" spans="1:14" s="94" customFormat="1" ht="15.75" customHeight="1" x14ac:dyDescent="0.35">
      <c r="A1414" s="174">
        <f t="shared" si="355"/>
        <v>32</v>
      </c>
      <c r="B1414" s="174"/>
      <c r="C1414" s="123" t="s">
        <v>200</v>
      </c>
      <c r="D1414" s="123">
        <f t="shared" si="356"/>
        <v>361.99331999999998</v>
      </c>
      <c r="E1414" s="123">
        <v>0</v>
      </c>
      <c r="F1414" s="123">
        <f>D1414*(($F$422)+1)+(IF(E1414&lt;101,E1414,IF(E1414&lt;201,E1414/2,IF(E1414&lt;=301,E1414/3,E1414/4))))</f>
        <v>542.98997999999995</v>
      </c>
      <c r="G1414" s="174" t="str">
        <f t="shared" si="357"/>
        <v xml:space="preserve">2nd to 7th, 9th to 11th, 13rd to 15th, 17th to 19th, 21st to 23rd Floor </v>
      </c>
      <c r="H1414" s="174"/>
      <c r="I1414" s="38"/>
      <c r="N1414" s="38"/>
    </row>
    <row r="1415" spans="1:14" s="94" customFormat="1" ht="15.75" customHeight="1" x14ac:dyDescent="0.35">
      <c r="A1415" s="174">
        <f t="shared" si="355"/>
        <v>33</v>
      </c>
      <c r="B1415" s="174"/>
      <c r="C1415" s="123" t="s">
        <v>200</v>
      </c>
      <c r="D1415" s="123">
        <f t="shared" si="356"/>
        <v>361.99331999999998</v>
      </c>
      <c r="E1415" s="123">
        <v>0</v>
      </c>
      <c r="F1415" s="123">
        <f t="shared" ref="F1415:F1418" si="364">D1415*(($F$422)+1)+(IF(E1415&lt;101,E1415,IF(E1415&lt;201,E1415/2,IF(E1415&lt;=301,E1415/3,E1415/4))))</f>
        <v>542.98997999999995</v>
      </c>
      <c r="G1415" s="174" t="str">
        <f t="shared" si="357"/>
        <v xml:space="preserve">2nd to 7th, 9th to 11th, 13rd to 15th, 17th to 19th, 21st to 23rd Floor </v>
      </c>
      <c r="H1415" s="174"/>
      <c r="I1415" s="38"/>
      <c r="N1415" s="38"/>
    </row>
    <row r="1416" spans="1:14" s="94" customFormat="1" ht="15.75" customHeight="1" x14ac:dyDescent="0.35">
      <c r="A1416" s="174">
        <f t="shared" si="355"/>
        <v>34</v>
      </c>
      <c r="B1416" s="174"/>
      <c r="C1416" s="123" t="s">
        <v>200</v>
      </c>
      <c r="D1416" s="123">
        <f t="shared" si="356"/>
        <v>361.99331999999998</v>
      </c>
      <c r="E1416" s="123">
        <v>0</v>
      </c>
      <c r="F1416" s="123">
        <f t="shared" si="364"/>
        <v>542.98997999999995</v>
      </c>
      <c r="G1416" s="174" t="str">
        <f t="shared" si="357"/>
        <v xml:space="preserve">2nd to 7th, 9th to 11th, 13rd to 15th, 17th to 19th, 21st to 23rd Floor </v>
      </c>
      <c r="H1416" s="174"/>
      <c r="I1416" s="38"/>
      <c r="N1416" s="38"/>
    </row>
    <row r="1417" spans="1:14" s="94" customFormat="1" ht="15.75" customHeight="1" x14ac:dyDescent="0.35">
      <c r="A1417" s="174">
        <f t="shared" si="355"/>
        <v>35</v>
      </c>
      <c r="B1417" s="174"/>
      <c r="C1417" s="123" t="s">
        <v>200</v>
      </c>
      <c r="D1417" s="123">
        <f t="shared" si="356"/>
        <v>361.99331999999998</v>
      </c>
      <c r="E1417" s="123">
        <v>0</v>
      </c>
      <c r="F1417" s="123">
        <f t="shared" si="364"/>
        <v>542.98997999999995</v>
      </c>
      <c r="G1417" s="174" t="str">
        <f t="shared" si="357"/>
        <v xml:space="preserve">2nd to 7th, 9th to 11th, 13rd to 15th, 17th to 19th, 21st to 23rd Floor </v>
      </c>
      <c r="H1417" s="174"/>
      <c r="I1417" s="38"/>
      <c r="N1417" s="38"/>
    </row>
    <row r="1418" spans="1:14" s="94" customFormat="1" ht="15.75" customHeight="1" x14ac:dyDescent="0.35">
      <c r="A1418" s="174">
        <f t="shared" si="355"/>
        <v>36</v>
      </c>
      <c r="B1418" s="174"/>
      <c r="C1418" s="123" t="s">
        <v>200</v>
      </c>
      <c r="D1418" s="123">
        <f t="shared" si="356"/>
        <v>361.99331999999998</v>
      </c>
      <c r="E1418" s="123">
        <v>0</v>
      </c>
      <c r="F1418" s="123">
        <f t="shared" si="364"/>
        <v>542.98997999999995</v>
      </c>
      <c r="G1418" s="174" t="str">
        <f t="shared" si="357"/>
        <v xml:space="preserve">2nd to 7th, 9th to 11th, 13rd to 15th, 17th to 19th, 21st to 23rd Floor </v>
      </c>
      <c r="H1418" s="174"/>
      <c r="I1418" s="38"/>
      <c r="N1418" s="38"/>
    </row>
    <row r="1419" spans="1:14" s="94" customFormat="1" x14ac:dyDescent="0.35">
      <c r="A1419" s="183" t="s">
        <v>173</v>
      </c>
      <c r="B1419" s="183"/>
      <c r="C1419" s="183"/>
      <c r="D1419" s="183"/>
      <c r="E1419" s="183"/>
      <c r="F1419" s="183"/>
      <c r="G1419" s="183"/>
      <c r="H1419" s="183"/>
      <c r="I1419" s="38"/>
      <c r="L1419" s="182"/>
      <c r="M1419" s="182"/>
    </row>
    <row r="1420" spans="1:14" s="94" customFormat="1" ht="15.75" customHeight="1" x14ac:dyDescent="0.35">
      <c r="A1420" s="174">
        <v>1</v>
      </c>
      <c r="B1420" s="174"/>
      <c r="C1420" s="123" t="s">
        <v>200</v>
      </c>
      <c r="D1420" s="123">
        <f>(27.66+1.2*1.8+1.2*1.2+3.16*0.75)*10.764</f>
        <v>361.99331999999998</v>
      </c>
      <c r="E1420" s="123">
        <v>0</v>
      </c>
      <c r="F1420" s="123">
        <f t="shared" ref="F1420:F1421" si="365">D1420*(($F$422)+1)+(IF(E1420&lt;101,E1420,IF(E1420&lt;201,E1420/2,IF(E1420&lt;=301,E1420/3,E1420/4))))</f>
        <v>542.98997999999995</v>
      </c>
      <c r="G1420" s="174" t="str">
        <f>A1419</f>
        <v>8th, 12th, 16th &amp; 20th Floor (Part refuge area)</v>
      </c>
      <c r="H1420" s="174"/>
      <c r="I1420" s="38"/>
      <c r="N1420" s="38"/>
    </row>
    <row r="1421" spans="1:14" s="94" customFormat="1" ht="15.75" customHeight="1" x14ac:dyDescent="0.35">
      <c r="A1421" s="174">
        <f t="shared" ref="A1421:A1455" si="366">A1420+1</f>
        <v>2</v>
      </c>
      <c r="B1421" s="174"/>
      <c r="C1421" s="123" t="s">
        <v>200</v>
      </c>
      <c r="D1421" s="123">
        <f t="shared" ref="D1421:D1455" si="367">(27.66+1.2*1.8+1.2*1.2+3.16*0.75)*10.764</f>
        <v>361.99331999999998</v>
      </c>
      <c r="E1421" s="123">
        <v>0</v>
      </c>
      <c r="F1421" s="123">
        <f t="shared" si="365"/>
        <v>542.98997999999995</v>
      </c>
      <c r="G1421" s="174" t="str">
        <f t="shared" ref="G1421:G1455" si="368">G1420</f>
        <v>8th, 12th, 16th &amp; 20th Floor (Part refuge area)</v>
      </c>
      <c r="H1421" s="174"/>
      <c r="I1421" s="38"/>
      <c r="N1421" s="38"/>
    </row>
    <row r="1422" spans="1:14" s="94" customFormat="1" ht="15.75" customHeight="1" x14ac:dyDescent="0.35">
      <c r="A1422" s="174">
        <f t="shared" si="366"/>
        <v>3</v>
      </c>
      <c r="B1422" s="174"/>
      <c r="C1422" s="123" t="s">
        <v>200</v>
      </c>
      <c r="D1422" s="123">
        <f t="shared" si="367"/>
        <v>361.99331999999998</v>
      </c>
      <c r="E1422" s="123">
        <v>0</v>
      </c>
      <c r="F1422" s="123">
        <f>D1422*(($F$422)+1)+(IF(E1422&lt;101,E1422,IF(E1422&lt;201,E1422/2,IF(E1422&lt;=301,E1422/3,E1422/4))))</f>
        <v>542.98997999999995</v>
      </c>
      <c r="G1422" s="174" t="str">
        <f t="shared" si="368"/>
        <v>8th, 12th, 16th &amp; 20th Floor (Part refuge area)</v>
      </c>
      <c r="H1422" s="174"/>
      <c r="I1422" s="38"/>
      <c r="N1422" s="38"/>
    </row>
    <row r="1423" spans="1:14" s="94" customFormat="1" ht="15.75" customHeight="1" x14ac:dyDescent="0.35">
      <c r="A1423" s="174">
        <f t="shared" si="366"/>
        <v>4</v>
      </c>
      <c r="B1423" s="174"/>
      <c r="C1423" s="123" t="s">
        <v>200</v>
      </c>
      <c r="D1423" s="123">
        <f t="shared" si="367"/>
        <v>361.99331999999998</v>
      </c>
      <c r="E1423" s="123">
        <v>0</v>
      </c>
      <c r="F1423" s="123">
        <f>D1423*(($F$422)+1)+(IF(E1423&lt;101,E1423,IF(E1423&lt;201,E1423/2,IF(E1423&lt;=301,E1423/3,E1423/4))))</f>
        <v>542.98997999999995</v>
      </c>
      <c r="G1423" s="174" t="str">
        <f t="shared" si="368"/>
        <v>8th, 12th, 16th &amp; 20th Floor (Part refuge area)</v>
      </c>
      <c r="H1423" s="174"/>
      <c r="I1423" s="38"/>
      <c r="N1423" s="38"/>
    </row>
    <row r="1424" spans="1:14" s="94" customFormat="1" ht="15.75" customHeight="1" x14ac:dyDescent="0.35">
      <c r="A1424" s="174">
        <f t="shared" si="366"/>
        <v>5</v>
      </c>
      <c r="B1424" s="174"/>
      <c r="C1424" s="174" t="s">
        <v>172</v>
      </c>
      <c r="D1424" s="174"/>
      <c r="E1424" s="174"/>
      <c r="F1424" s="174"/>
      <c r="G1424" s="174" t="str">
        <f t="shared" si="368"/>
        <v>8th, 12th, 16th &amp; 20th Floor (Part refuge area)</v>
      </c>
      <c r="H1424" s="174"/>
      <c r="I1424" s="38"/>
      <c r="N1424" s="38"/>
    </row>
    <row r="1425" spans="1:14" s="94" customFormat="1" ht="15.75" customHeight="1" x14ac:dyDescent="0.35">
      <c r="A1425" s="174">
        <f t="shared" si="366"/>
        <v>6</v>
      </c>
      <c r="B1425" s="174"/>
      <c r="C1425" s="174"/>
      <c r="D1425" s="174"/>
      <c r="E1425" s="174"/>
      <c r="F1425" s="174"/>
      <c r="G1425" s="174" t="str">
        <f t="shared" si="368"/>
        <v>8th, 12th, 16th &amp; 20th Floor (Part refuge area)</v>
      </c>
      <c r="H1425" s="174"/>
      <c r="I1425" s="38"/>
      <c r="N1425" s="38"/>
    </row>
    <row r="1426" spans="1:14" s="94" customFormat="1" ht="15.75" customHeight="1" x14ac:dyDescent="0.35">
      <c r="A1426" s="174">
        <f t="shared" si="366"/>
        <v>7</v>
      </c>
      <c r="B1426" s="174"/>
      <c r="C1426" s="123" t="s">
        <v>200</v>
      </c>
      <c r="D1426" s="123">
        <f t="shared" si="367"/>
        <v>361.99331999999998</v>
      </c>
      <c r="E1426" s="123">
        <v>0</v>
      </c>
      <c r="F1426" s="123">
        <f>D1426*(($F$422)+1)+(IF(E1426&lt;101,E1426,IF(E1426&lt;201,E1426/2,IF(E1426&lt;=301,E1426/3,E1426/4))))</f>
        <v>542.98997999999995</v>
      </c>
      <c r="G1426" s="174" t="str">
        <f t="shared" si="368"/>
        <v>8th, 12th, 16th &amp; 20th Floor (Part refuge area)</v>
      </c>
      <c r="H1426" s="174"/>
      <c r="I1426" s="38"/>
      <c r="N1426" s="38"/>
    </row>
    <row r="1427" spans="1:14" s="94" customFormat="1" ht="15.75" customHeight="1" x14ac:dyDescent="0.35">
      <c r="A1427" s="174">
        <f t="shared" si="366"/>
        <v>8</v>
      </c>
      <c r="B1427" s="174"/>
      <c r="C1427" s="123" t="s">
        <v>200</v>
      </c>
      <c r="D1427" s="123">
        <f t="shared" si="367"/>
        <v>361.99331999999998</v>
      </c>
      <c r="E1427" s="123">
        <v>0</v>
      </c>
      <c r="F1427" s="123">
        <f>D1427*(($F$422)+1)+(IF(E1427&lt;101,E1427,IF(E1427&lt;201,E1427/2,IF(E1427&lt;=301,E1427/3,E1427/4))))</f>
        <v>542.98997999999995</v>
      </c>
      <c r="G1427" s="174" t="str">
        <f t="shared" si="368"/>
        <v>8th, 12th, 16th &amp; 20th Floor (Part refuge area)</v>
      </c>
      <c r="H1427" s="174"/>
      <c r="I1427" s="38"/>
      <c r="N1427" s="38"/>
    </row>
    <row r="1428" spans="1:14" s="94" customFormat="1" ht="15.75" customHeight="1" x14ac:dyDescent="0.35">
      <c r="A1428" s="174">
        <f t="shared" si="366"/>
        <v>9</v>
      </c>
      <c r="B1428" s="174"/>
      <c r="C1428" s="123" t="s">
        <v>200</v>
      </c>
      <c r="D1428" s="123">
        <f t="shared" si="367"/>
        <v>361.99331999999998</v>
      </c>
      <c r="E1428" s="123">
        <v>0</v>
      </c>
      <c r="F1428" s="123">
        <f t="shared" ref="F1428:F1431" si="369">D1428*(($F$422)+1)+(IF(E1428&lt;101,E1428,IF(E1428&lt;201,E1428/2,IF(E1428&lt;=301,E1428/3,E1428/4))))</f>
        <v>542.98997999999995</v>
      </c>
      <c r="G1428" s="174" t="str">
        <f t="shared" si="368"/>
        <v>8th, 12th, 16th &amp; 20th Floor (Part refuge area)</v>
      </c>
      <c r="H1428" s="174"/>
      <c r="I1428" s="38"/>
      <c r="N1428" s="38"/>
    </row>
    <row r="1429" spans="1:14" s="94" customFormat="1" ht="15.75" customHeight="1" x14ac:dyDescent="0.35">
      <c r="A1429" s="174">
        <f t="shared" si="366"/>
        <v>10</v>
      </c>
      <c r="B1429" s="174"/>
      <c r="C1429" s="123" t="s">
        <v>200</v>
      </c>
      <c r="D1429" s="123">
        <f t="shared" si="367"/>
        <v>361.99331999999998</v>
      </c>
      <c r="E1429" s="123">
        <v>0</v>
      </c>
      <c r="F1429" s="123">
        <f t="shared" si="369"/>
        <v>542.98997999999995</v>
      </c>
      <c r="G1429" s="174" t="str">
        <f t="shared" si="368"/>
        <v>8th, 12th, 16th &amp; 20th Floor (Part refuge area)</v>
      </c>
      <c r="H1429" s="174"/>
      <c r="I1429" s="38"/>
      <c r="N1429" s="38"/>
    </row>
    <row r="1430" spans="1:14" s="94" customFormat="1" ht="15.75" customHeight="1" x14ac:dyDescent="0.35">
      <c r="A1430" s="174">
        <f t="shared" si="366"/>
        <v>11</v>
      </c>
      <c r="B1430" s="174"/>
      <c r="C1430" s="123" t="s">
        <v>200</v>
      </c>
      <c r="D1430" s="123">
        <f t="shared" si="367"/>
        <v>361.99331999999998</v>
      </c>
      <c r="E1430" s="123">
        <v>0</v>
      </c>
      <c r="F1430" s="123">
        <f t="shared" si="369"/>
        <v>542.98997999999995</v>
      </c>
      <c r="G1430" s="174" t="str">
        <f t="shared" si="368"/>
        <v>8th, 12th, 16th &amp; 20th Floor (Part refuge area)</v>
      </c>
      <c r="H1430" s="174"/>
      <c r="I1430" s="38"/>
      <c r="N1430" s="38"/>
    </row>
    <row r="1431" spans="1:14" s="94" customFormat="1" ht="15.75" customHeight="1" x14ac:dyDescent="0.35">
      <c r="A1431" s="174">
        <f t="shared" si="366"/>
        <v>12</v>
      </c>
      <c r="B1431" s="174"/>
      <c r="C1431" s="123" t="s">
        <v>200</v>
      </c>
      <c r="D1431" s="123">
        <f t="shared" si="367"/>
        <v>361.99331999999998</v>
      </c>
      <c r="E1431" s="123">
        <v>0</v>
      </c>
      <c r="F1431" s="123">
        <f t="shared" si="369"/>
        <v>542.98997999999995</v>
      </c>
      <c r="G1431" s="174" t="str">
        <f t="shared" si="368"/>
        <v>8th, 12th, 16th &amp; 20th Floor (Part refuge area)</v>
      </c>
      <c r="H1431" s="174"/>
      <c r="I1431" s="38"/>
      <c r="N1431" s="38"/>
    </row>
    <row r="1432" spans="1:14" s="94" customFormat="1" ht="15.75" customHeight="1" x14ac:dyDescent="0.35">
      <c r="A1432" s="174">
        <f t="shared" si="366"/>
        <v>13</v>
      </c>
      <c r="B1432" s="174"/>
      <c r="C1432" s="123" t="s">
        <v>200</v>
      </c>
      <c r="D1432" s="123">
        <f t="shared" si="367"/>
        <v>361.99331999999998</v>
      </c>
      <c r="E1432" s="123">
        <v>0</v>
      </c>
      <c r="F1432" s="123">
        <f>D1432*(($F$422)+1)+(IF(E1432&lt;101,E1432,IF(E1432&lt;201,E1432/2,IF(E1432&lt;=301,E1432/3,E1432/4))))</f>
        <v>542.98997999999995</v>
      </c>
      <c r="G1432" s="174" t="str">
        <f t="shared" si="368"/>
        <v>8th, 12th, 16th &amp; 20th Floor (Part refuge area)</v>
      </c>
      <c r="H1432" s="174"/>
      <c r="I1432" s="38"/>
      <c r="N1432" s="38"/>
    </row>
    <row r="1433" spans="1:14" s="94" customFormat="1" ht="15.75" customHeight="1" x14ac:dyDescent="0.35">
      <c r="A1433" s="174">
        <f t="shared" si="366"/>
        <v>14</v>
      </c>
      <c r="B1433" s="174"/>
      <c r="C1433" s="123" t="s">
        <v>200</v>
      </c>
      <c r="D1433" s="123">
        <f t="shared" si="367"/>
        <v>361.99331999999998</v>
      </c>
      <c r="E1433" s="123">
        <v>0</v>
      </c>
      <c r="F1433" s="123">
        <f t="shared" ref="F1433" si="370">D1433*(($F$422)+1)+(IF(E1433&lt;101,E1433,IF(E1433&lt;201,E1433/2,IF(E1433&lt;=301,E1433/3,E1433/4))))</f>
        <v>542.98997999999995</v>
      </c>
      <c r="G1433" s="174" t="str">
        <f t="shared" si="368"/>
        <v>8th, 12th, 16th &amp; 20th Floor (Part refuge area)</v>
      </c>
      <c r="H1433" s="174"/>
      <c r="I1433" s="38"/>
      <c r="N1433" s="38"/>
    </row>
    <row r="1434" spans="1:14" s="94" customFormat="1" ht="15.75" customHeight="1" x14ac:dyDescent="0.35">
      <c r="A1434" s="174">
        <f t="shared" si="366"/>
        <v>15</v>
      </c>
      <c r="B1434" s="174"/>
      <c r="C1434" s="123" t="s">
        <v>200</v>
      </c>
      <c r="D1434" s="123">
        <f t="shared" si="367"/>
        <v>361.99331999999998</v>
      </c>
      <c r="E1434" s="123">
        <v>0</v>
      </c>
      <c r="F1434" s="123">
        <f>D1434*(($F$422)+1)+(IF(E1434&lt;101,E1434,IF(E1434&lt;201,E1434/2,IF(E1434&lt;=301,E1434/3,E1434/4))))</f>
        <v>542.98997999999995</v>
      </c>
      <c r="G1434" s="174" t="str">
        <f t="shared" si="368"/>
        <v>8th, 12th, 16th &amp; 20th Floor (Part refuge area)</v>
      </c>
      <c r="H1434" s="174"/>
      <c r="I1434" s="38"/>
      <c r="N1434" s="38"/>
    </row>
    <row r="1435" spans="1:14" s="94" customFormat="1" ht="15.75" customHeight="1" x14ac:dyDescent="0.35">
      <c r="A1435" s="174">
        <f t="shared" si="366"/>
        <v>16</v>
      </c>
      <c r="B1435" s="174"/>
      <c r="C1435" s="123" t="s">
        <v>200</v>
      </c>
      <c r="D1435" s="123">
        <f t="shared" si="367"/>
        <v>361.99331999999998</v>
      </c>
      <c r="E1435" s="123">
        <v>0</v>
      </c>
      <c r="F1435" s="123">
        <f t="shared" ref="F1435:F1436" si="371">D1435*(($F$422)+1)+(IF(E1435&lt;101,E1435,IF(E1435&lt;201,E1435/2,IF(E1435&lt;=301,E1435/3,E1435/4))))</f>
        <v>542.98997999999995</v>
      </c>
      <c r="G1435" s="174" t="str">
        <f t="shared" si="368"/>
        <v>8th, 12th, 16th &amp; 20th Floor (Part refuge area)</v>
      </c>
      <c r="H1435" s="174"/>
      <c r="I1435" s="38"/>
      <c r="N1435" s="38"/>
    </row>
    <row r="1436" spans="1:14" s="94" customFormat="1" ht="15.75" customHeight="1" x14ac:dyDescent="0.35">
      <c r="A1436" s="174">
        <f t="shared" si="366"/>
        <v>17</v>
      </c>
      <c r="B1436" s="174"/>
      <c r="C1436" s="123" t="s">
        <v>200</v>
      </c>
      <c r="D1436" s="123">
        <f t="shared" si="367"/>
        <v>361.99331999999998</v>
      </c>
      <c r="E1436" s="123">
        <v>0</v>
      </c>
      <c r="F1436" s="123">
        <f t="shared" si="371"/>
        <v>542.98997999999995</v>
      </c>
      <c r="G1436" s="174" t="str">
        <f t="shared" si="368"/>
        <v>8th, 12th, 16th &amp; 20th Floor (Part refuge area)</v>
      </c>
      <c r="H1436" s="174"/>
      <c r="I1436" s="38"/>
      <c r="N1436" s="38"/>
    </row>
    <row r="1437" spans="1:14" s="94" customFormat="1" ht="15.75" customHeight="1" x14ac:dyDescent="0.35">
      <c r="A1437" s="174">
        <f t="shared" si="366"/>
        <v>18</v>
      </c>
      <c r="B1437" s="174"/>
      <c r="C1437" s="123" t="s">
        <v>200</v>
      </c>
      <c r="D1437" s="123">
        <f t="shared" si="367"/>
        <v>361.99331999999998</v>
      </c>
      <c r="E1437" s="123">
        <v>0</v>
      </c>
      <c r="F1437" s="123">
        <f>D1437*(($F$422)+1)+(IF(E1437&lt;101,E1437,IF(E1437&lt;201,E1437/2,IF(E1437&lt;=301,E1437/3,E1437/4))))</f>
        <v>542.98997999999995</v>
      </c>
      <c r="G1437" s="174" t="str">
        <f t="shared" si="368"/>
        <v>8th, 12th, 16th &amp; 20th Floor (Part refuge area)</v>
      </c>
      <c r="H1437" s="174"/>
      <c r="I1437" s="38"/>
      <c r="N1437" s="38"/>
    </row>
    <row r="1438" spans="1:14" s="94" customFormat="1" ht="15.75" customHeight="1" x14ac:dyDescent="0.35">
      <c r="A1438" s="174">
        <f t="shared" si="366"/>
        <v>19</v>
      </c>
      <c r="B1438" s="174"/>
      <c r="C1438" s="123" t="s">
        <v>200</v>
      </c>
      <c r="D1438" s="123">
        <f t="shared" si="367"/>
        <v>361.99331999999998</v>
      </c>
      <c r="E1438" s="123">
        <v>0</v>
      </c>
      <c r="F1438" s="123">
        <f>D1438*(($F$422)+1)+(IF(E1438&lt;101,E1438,IF(E1438&lt;201,E1438/2,IF(E1438&lt;=301,E1438/3,E1438/4))))</f>
        <v>542.98997999999995</v>
      </c>
      <c r="G1438" s="174" t="str">
        <f t="shared" si="368"/>
        <v>8th, 12th, 16th &amp; 20th Floor (Part refuge area)</v>
      </c>
      <c r="H1438" s="174"/>
      <c r="I1438" s="38"/>
      <c r="N1438" s="38"/>
    </row>
    <row r="1439" spans="1:14" s="94" customFormat="1" ht="15.75" customHeight="1" x14ac:dyDescent="0.35">
      <c r="A1439" s="174">
        <f t="shared" si="366"/>
        <v>20</v>
      </c>
      <c r="B1439" s="174"/>
      <c r="C1439" s="123" t="s">
        <v>200</v>
      </c>
      <c r="D1439" s="123">
        <f t="shared" si="367"/>
        <v>361.99331999999998</v>
      </c>
      <c r="E1439" s="123">
        <v>0</v>
      </c>
      <c r="F1439" s="123">
        <f>D1439*(($F$422)+1)+(IF(E1439&lt;101,E1439,IF(E1439&lt;201,E1439/2,IF(E1439&lt;=301,E1439/3,E1439/4))))</f>
        <v>542.98997999999995</v>
      </c>
      <c r="G1439" s="174" t="str">
        <f t="shared" si="368"/>
        <v>8th, 12th, 16th &amp; 20th Floor (Part refuge area)</v>
      </c>
      <c r="H1439" s="174"/>
      <c r="I1439" s="38"/>
      <c r="N1439" s="38"/>
    </row>
    <row r="1440" spans="1:14" s="94" customFormat="1" ht="15.75" customHeight="1" x14ac:dyDescent="0.35">
      <c r="A1440" s="174">
        <f t="shared" si="366"/>
        <v>21</v>
      </c>
      <c r="B1440" s="174"/>
      <c r="C1440" s="123" t="s">
        <v>200</v>
      </c>
      <c r="D1440" s="123">
        <f t="shared" si="367"/>
        <v>361.99331999999998</v>
      </c>
      <c r="E1440" s="123">
        <v>0</v>
      </c>
      <c r="F1440" s="123">
        <f>D1440*(($F$422)+1)+(IF(E1440&lt;101,E1440,IF(E1440&lt;201,E1440/2,IF(E1440&lt;=301,E1440/3,E1440/4))))</f>
        <v>542.98997999999995</v>
      </c>
      <c r="G1440" s="174" t="str">
        <f t="shared" si="368"/>
        <v>8th, 12th, 16th &amp; 20th Floor (Part refuge area)</v>
      </c>
      <c r="H1440" s="174"/>
      <c r="I1440" s="38"/>
      <c r="N1440" s="38"/>
    </row>
    <row r="1441" spans="1:14" s="94" customFormat="1" ht="15.75" customHeight="1" x14ac:dyDescent="0.35">
      <c r="A1441" s="174">
        <f t="shared" si="366"/>
        <v>22</v>
      </c>
      <c r="B1441" s="174"/>
      <c r="C1441" s="123" t="s">
        <v>200</v>
      </c>
      <c r="D1441" s="123">
        <f t="shared" si="367"/>
        <v>361.99331999999998</v>
      </c>
      <c r="E1441" s="123">
        <v>0</v>
      </c>
      <c r="F1441" s="123">
        <f>D1441*(($F$422)+1)+(IF(E1441&lt;101,E1441,IF(E1441&lt;201,E1441/2,IF(E1441&lt;=301,E1441/3,E1441/4))))</f>
        <v>542.98997999999995</v>
      </c>
      <c r="G1441" s="174" t="str">
        <f t="shared" si="368"/>
        <v>8th, 12th, 16th &amp; 20th Floor (Part refuge area)</v>
      </c>
      <c r="H1441" s="174"/>
      <c r="I1441" s="38"/>
      <c r="N1441" s="38"/>
    </row>
    <row r="1442" spans="1:14" s="94" customFormat="1" ht="15.75" customHeight="1" x14ac:dyDescent="0.35">
      <c r="A1442" s="174">
        <f t="shared" si="366"/>
        <v>23</v>
      </c>
      <c r="B1442" s="174"/>
      <c r="C1442" s="174" t="s">
        <v>172</v>
      </c>
      <c r="D1442" s="174"/>
      <c r="E1442" s="174"/>
      <c r="F1442" s="174"/>
      <c r="G1442" s="174" t="str">
        <f t="shared" si="368"/>
        <v>8th, 12th, 16th &amp; 20th Floor (Part refuge area)</v>
      </c>
      <c r="H1442" s="174"/>
      <c r="I1442" s="38"/>
      <c r="N1442" s="38"/>
    </row>
    <row r="1443" spans="1:14" s="94" customFormat="1" ht="15.75" customHeight="1" x14ac:dyDescent="0.35">
      <c r="A1443" s="174">
        <f t="shared" si="366"/>
        <v>24</v>
      </c>
      <c r="B1443" s="174"/>
      <c r="C1443" s="123" t="s">
        <v>200</v>
      </c>
      <c r="D1443" s="123">
        <f t="shared" si="367"/>
        <v>361.99331999999998</v>
      </c>
      <c r="E1443" s="123">
        <v>0</v>
      </c>
      <c r="F1443" s="123">
        <f t="shared" ref="F1443:F1448" si="372">D1443*(($F$422)+1)+(IF(E1443&lt;101,E1443,IF(E1443&lt;201,E1443/2,IF(E1443&lt;=301,E1443/3,E1443/4))))</f>
        <v>542.98997999999995</v>
      </c>
      <c r="G1443" s="174" t="str">
        <f t="shared" si="368"/>
        <v>8th, 12th, 16th &amp; 20th Floor (Part refuge area)</v>
      </c>
      <c r="H1443" s="174"/>
      <c r="I1443" s="38"/>
      <c r="N1443" s="38"/>
    </row>
    <row r="1444" spans="1:14" s="94" customFormat="1" ht="15.75" customHeight="1" x14ac:dyDescent="0.35">
      <c r="A1444" s="174">
        <f t="shared" si="366"/>
        <v>25</v>
      </c>
      <c r="B1444" s="174"/>
      <c r="C1444" s="123" t="s">
        <v>200</v>
      </c>
      <c r="D1444" s="123">
        <f t="shared" si="367"/>
        <v>361.99331999999998</v>
      </c>
      <c r="E1444" s="123">
        <v>0</v>
      </c>
      <c r="F1444" s="123">
        <f t="shared" si="372"/>
        <v>542.98997999999995</v>
      </c>
      <c r="G1444" s="174" t="str">
        <f t="shared" si="368"/>
        <v>8th, 12th, 16th &amp; 20th Floor (Part refuge area)</v>
      </c>
      <c r="H1444" s="174"/>
      <c r="I1444" s="38"/>
      <c r="N1444" s="38"/>
    </row>
    <row r="1445" spans="1:14" s="94" customFormat="1" ht="15.75" customHeight="1" x14ac:dyDescent="0.35">
      <c r="A1445" s="174">
        <f t="shared" si="366"/>
        <v>26</v>
      </c>
      <c r="B1445" s="174"/>
      <c r="C1445" s="123" t="s">
        <v>200</v>
      </c>
      <c r="D1445" s="123">
        <f t="shared" si="367"/>
        <v>361.99331999999998</v>
      </c>
      <c r="E1445" s="123">
        <v>0</v>
      </c>
      <c r="F1445" s="123">
        <f t="shared" si="372"/>
        <v>542.98997999999995</v>
      </c>
      <c r="G1445" s="174" t="str">
        <f t="shared" si="368"/>
        <v>8th, 12th, 16th &amp; 20th Floor (Part refuge area)</v>
      </c>
      <c r="H1445" s="174"/>
      <c r="I1445" s="38"/>
      <c r="N1445" s="38"/>
    </row>
    <row r="1446" spans="1:14" s="94" customFormat="1" ht="15.75" customHeight="1" x14ac:dyDescent="0.35">
      <c r="A1446" s="174">
        <f t="shared" si="366"/>
        <v>27</v>
      </c>
      <c r="B1446" s="174"/>
      <c r="C1446" s="123" t="s">
        <v>200</v>
      </c>
      <c r="D1446" s="123">
        <f t="shared" si="367"/>
        <v>361.99331999999998</v>
      </c>
      <c r="E1446" s="123">
        <v>0</v>
      </c>
      <c r="F1446" s="123">
        <f t="shared" si="372"/>
        <v>542.98997999999995</v>
      </c>
      <c r="G1446" s="174" t="str">
        <f t="shared" si="368"/>
        <v>8th, 12th, 16th &amp; 20th Floor (Part refuge area)</v>
      </c>
      <c r="H1446" s="174"/>
      <c r="I1446" s="38"/>
      <c r="N1446" s="38"/>
    </row>
    <row r="1447" spans="1:14" s="94" customFormat="1" ht="15.75" customHeight="1" x14ac:dyDescent="0.35">
      <c r="A1447" s="174">
        <f t="shared" si="366"/>
        <v>28</v>
      </c>
      <c r="B1447" s="174"/>
      <c r="C1447" s="123" t="s">
        <v>200</v>
      </c>
      <c r="D1447" s="123">
        <f t="shared" si="367"/>
        <v>361.99331999999998</v>
      </c>
      <c r="E1447" s="123">
        <v>0</v>
      </c>
      <c r="F1447" s="123">
        <f t="shared" si="372"/>
        <v>542.98997999999995</v>
      </c>
      <c r="G1447" s="174" t="str">
        <f t="shared" si="368"/>
        <v>8th, 12th, 16th &amp; 20th Floor (Part refuge area)</v>
      </c>
      <c r="H1447" s="174"/>
      <c r="I1447" s="38"/>
      <c r="N1447" s="38"/>
    </row>
    <row r="1448" spans="1:14" s="94" customFormat="1" ht="15.75" customHeight="1" x14ac:dyDescent="0.35">
      <c r="A1448" s="174">
        <f t="shared" si="366"/>
        <v>29</v>
      </c>
      <c r="B1448" s="174"/>
      <c r="C1448" s="123" t="s">
        <v>200</v>
      </c>
      <c r="D1448" s="123">
        <f t="shared" si="367"/>
        <v>361.99331999999998</v>
      </c>
      <c r="E1448" s="123">
        <v>0</v>
      </c>
      <c r="F1448" s="123">
        <f t="shared" si="372"/>
        <v>542.98997999999995</v>
      </c>
      <c r="G1448" s="174" t="str">
        <f t="shared" si="368"/>
        <v>8th, 12th, 16th &amp; 20th Floor (Part refuge area)</v>
      </c>
      <c r="H1448" s="174"/>
      <c r="I1448" s="38"/>
      <c r="N1448" s="38"/>
    </row>
    <row r="1449" spans="1:14" s="94" customFormat="1" ht="15.75" customHeight="1" x14ac:dyDescent="0.35">
      <c r="A1449" s="174">
        <f t="shared" si="366"/>
        <v>30</v>
      </c>
      <c r="B1449" s="174"/>
      <c r="C1449" s="174" t="s">
        <v>172</v>
      </c>
      <c r="D1449" s="174"/>
      <c r="E1449" s="174"/>
      <c r="F1449" s="174"/>
      <c r="G1449" s="174" t="str">
        <f t="shared" si="368"/>
        <v>8th, 12th, 16th &amp; 20th Floor (Part refuge area)</v>
      </c>
      <c r="H1449" s="174"/>
      <c r="I1449" s="38"/>
      <c r="N1449" s="38"/>
    </row>
    <row r="1450" spans="1:14" s="94" customFormat="1" ht="15.75" customHeight="1" x14ac:dyDescent="0.35">
      <c r="A1450" s="174">
        <f t="shared" si="366"/>
        <v>31</v>
      </c>
      <c r="B1450" s="174"/>
      <c r="C1450" s="123" t="s">
        <v>200</v>
      </c>
      <c r="D1450" s="123">
        <f t="shared" si="367"/>
        <v>361.99331999999998</v>
      </c>
      <c r="E1450" s="123">
        <v>0</v>
      </c>
      <c r="F1450" s="123">
        <f>D1450*(($F$422)+1)+(IF(E1450&lt;101,E1450,IF(E1450&lt;201,E1450/2,IF(E1450&lt;=301,E1450/3,E1450/4))))</f>
        <v>542.98997999999995</v>
      </c>
      <c r="G1450" s="174" t="str">
        <f t="shared" si="368"/>
        <v>8th, 12th, 16th &amp; 20th Floor (Part refuge area)</v>
      </c>
      <c r="H1450" s="174"/>
      <c r="I1450" s="38"/>
      <c r="N1450" s="38"/>
    </row>
    <row r="1451" spans="1:14" s="94" customFormat="1" ht="15.75" customHeight="1" x14ac:dyDescent="0.35">
      <c r="A1451" s="174">
        <f t="shared" si="366"/>
        <v>32</v>
      </c>
      <c r="B1451" s="174"/>
      <c r="C1451" s="123" t="s">
        <v>200</v>
      </c>
      <c r="D1451" s="123">
        <f t="shared" si="367"/>
        <v>361.99331999999998</v>
      </c>
      <c r="E1451" s="123">
        <v>0</v>
      </c>
      <c r="F1451" s="123">
        <f>D1451*(($F$422)+1)+(IF(E1451&lt;101,E1451,IF(E1451&lt;201,E1451/2,IF(E1451&lt;=301,E1451/3,E1451/4))))</f>
        <v>542.98997999999995</v>
      </c>
      <c r="G1451" s="174" t="str">
        <f t="shared" si="368"/>
        <v>8th, 12th, 16th &amp; 20th Floor (Part refuge area)</v>
      </c>
      <c r="H1451" s="174"/>
      <c r="I1451" s="38"/>
      <c r="N1451" s="38"/>
    </row>
    <row r="1452" spans="1:14" s="94" customFormat="1" ht="15.75" customHeight="1" x14ac:dyDescent="0.35">
      <c r="A1452" s="174">
        <f t="shared" si="366"/>
        <v>33</v>
      </c>
      <c r="B1452" s="174"/>
      <c r="C1452" s="123" t="s">
        <v>200</v>
      </c>
      <c r="D1452" s="123">
        <f t="shared" si="367"/>
        <v>361.99331999999998</v>
      </c>
      <c r="E1452" s="123">
        <v>0</v>
      </c>
      <c r="F1452" s="123">
        <f t="shared" ref="F1452:F1455" si="373">D1452*(($F$422)+1)+(IF(E1452&lt;101,E1452,IF(E1452&lt;201,E1452/2,IF(E1452&lt;=301,E1452/3,E1452/4))))</f>
        <v>542.98997999999995</v>
      </c>
      <c r="G1452" s="174" t="str">
        <f t="shared" si="368"/>
        <v>8th, 12th, 16th &amp; 20th Floor (Part refuge area)</v>
      </c>
      <c r="H1452" s="174"/>
      <c r="I1452" s="38"/>
      <c r="N1452" s="38"/>
    </row>
    <row r="1453" spans="1:14" s="94" customFormat="1" ht="15.75" customHeight="1" x14ac:dyDescent="0.35">
      <c r="A1453" s="174">
        <f t="shared" si="366"/>
        <v>34</v>
      </c>
      <c r="B1453" s="174"/>
      <c r="C1453" s="123" t="s">
        <v>200</v>
      </c>
      <c r="D1453" s="123">
        <f t="shared" si="367"/>
        <v>361.99331999999998</v>
      </c>
      <c r="E1453" s="123">
        <v>0</v>
      </c>
      <c r="F1453" s="123">
        <f t="shared" si="373"/>
        <v>542.98997999999995</v>
      </c>
      <c r="G1453" s="174" t="str">
        <f t="shared" si="368"/>
        <v>8th, 12th, 16th &amp; 20th Floor (Part refuge area)</v>
      </c>
      <c r="H1453" s="174"/>
      <c r="I1453" s="38"/>
      <c r="N1453" s="38"/>
    </row>
    <row r="1454" spans="1:14" s="94" customFormat="1" ht="15.75" customHeight="1" x14ac:dyDescent="0.35">
      <c r="A1454" s="174">
        <f t="shared" si="366"/>
        <v>35</v>
      </c>
      <c r="B1454" s="174"/>
      <c r="C1454" s="123" t="s">
        <v>200</v>
      </c>
      <c r="D1454" s="123">
        <f t="shared" si="367"/>
        <v>361.99331999999998</v>
      </c>
      <c r="E1454" s="123">
        <v>0</v>
      </c>
      <c r="F1454" s="123">
        <f t="shared" si="373"/>
        <v>542.98997999999995</v>
      </c>
      <c r="G1454" s="174" t="str">
        <f t="shared" si="368"/>
        <v>8th, 12th, 16th &amp; 20th Floor (Part refuge area)</v>
      </c>
      <c r="H1454" s="174"/>
      <c r="I1454" s="38"/>
      <c r="N1454" s="38"/>
    </row>
    <row r="1455" spans="1:14" s="94" customFormat="1" ht="15.75" customHeight="1" x14ac:dyDescent="0.35">
      <c r="A1455" s="174">
        <f t="shared" si="366"/>
        <v>36</v>
      </c>
      <c r="B1455" s="174"/>
      <c r="C1455" s="123" t="s">
        <v>200</v>
      </c>
      <c r="D1455" s="123">
        <f t="shared" si="367"/>
        <v>361.99331999999998</v>
      </c>
      <c r="E1455" s="123">
        <v>0</v>
      </c>
      <c r="F1455" s="123">
        <f t="shared" si="373"/>
        <v>542.98997999999995</v>
      </c>
      <c r="G1455" s="174" t="str">
        <f t="shared" si="368"/>
        <v>8th, 12th, 16th &amp; 20th Floor (Part refuge area)</v>
      </c>
      <c r="H1455" s="174"/>
      <c r="I1455" s="38"/>
      <c r="N1455" s="38"/>
    </row>
    <row r="1456" spans="1:14" x14ac:dyDescent="0.35">
      <c r="A1456" s="177" t="s">
        <v>194</v>
      </c>
      <c r="B1456" s="177"/>
      <c r="C1456" s="177"/>
      <c r="D1456" s="177"/>
      <c r="E1456" s="177"/>
      <c r="F1456" s="177"/>
      <c r="G1456" s="177"/>
      <c r="H1456" s="177"/>
    </row>
    <row r="1457" spans="1:14" s="94" customFormat="1" x14ac:dyDescent="0.35">
      <c r="A1457" s="183" t="s">
        <v>169</v>
      </c>
      <c r="B1457" s="183"/>
      <c r="C1457" s="183"/>
      <c r="D1457" s="183"/>
      <c r="E1457" s="183"/>
      <c r="F1457" s="183"/>
      <c r="G1457" s="183"/>
      <c r="H1457" s="183"/>
      <c r="I1457" s="38"/>
      <c r="L1457" s="182"/>
      <c r="M1457" s="182"/>
    </row>
    <row r="1458" spans="1:14" s="94" customFormat="1" ht="15.75" customHeight="1" x14ac:dyDescent="0.35">
      <c r="A1458" s="174">
        <v>1</v>
      </c>
      <c r="B1458" s="174"/>
      <c r="C1458" s="123" t="s">
        <v>200</v>
      </c>
      <c r="D1458" s="123">
        <f>(23.07+1.8*(1.5+1.2)+3*0.75)*10.764</f>
        <v>324.85751999999997</v>
      </c>
      <c r="E1458" s="123">
        <f>(1*4)*10.764</f>
        <v>43.055999999999997</v>
      </c>
      <c r="F1458" s="123">
        <f t="shared" ref="F1458:F1459" si="374">D1458*(($F$422)+1)+(IF(E1458&lt;101,E1458,IF(E1458&lt;201,E1458/2,IF(E1458&lt;=301,E1458/3,E1458/4))))</f>
        <v>530.34227999999996</v>
      </c>
      <c r="G1458" s="174" t="str">
        <f>A1457</f>
        <v>1st Floor for Residential</v>
      </c>
      <c r="H1458" s="174"/>
      <c r="I1458" s="38"/>
      <c r="N1458" s="38"/>
    </row>
    <row r="1459" spans="1:14" s="94" customFormat="1" ht="15.75" customHeight="1" x14ac:dyDescent="0.35">
      <c r="A1459" s="174">
        <f t="shared" ref="A1459:A1493" si="375">A1458+1</f>
        <v>2</v>
      </c>
      <c r="B1459" s="174"/>
      <c r="C1459" s="123" t="s">
        <v>200</v>
      </c>
      <c r="D1459" s="123">
        <f>(23.07+1.5*1.8+1.2*1.2+3.2*0.75)*10.764</f>
        <v>318.72203999999999</v>
      </c>
      <c r="E1459" s="123">
        <f>(1.7*2.8)*10.764</f>
        <v>51.236639999999994</v>
      </c>
      <c r="F1459" s="123">
        <f t="shared" si="374"/>
        <v>529.31970000000001</v>
      </c>
      <c r="G1459" s="174"/>
      <c r="H1459" s="174"/>
      <c r="I1459" s="38"/>
      <c r="N1459" s="38"/>
    </row>
    <row r="1460" spans="1:14" s="94" customFormat="1" ht="15.75" customHeight="1" x14ac:dyDescent="0.35">
      <c r="A1460" s="174">
        <f t="shared" si="375"/>
        <v>3</v>
      </c>
      <c r="B1460" s="174"/>
      <c r="C1460" s="123" t="s">
        <v>200</v>
      </c>
      <c r="D1460" s="123">
        <f>(23.07+1.5*1.8+1.2*1.2+3.2*0.75)*10.764</f>
        <v>318.72203999999999</v>
      </c>
      <c r="E1460" s="123">
        <f>(1.7*2.8)*10.764</f>
        <v>51.236639999999994</v>
      </c>
      <c r="F1460" s="123">
        <f>D1460*(($F$422)+1)+(IF(E1460&lt;101,E1460,IF(E1460&lt;201,E1460/2,IF(E1460&lt;=301,E1460/3,E1460/4))))</f>
        <v>529.31970000000001</v>
      </c>
      <c r="G1460" s="174"/>
      <c r="H1460" s="174"/>
      <c r="I1460" s="38"/>
      <c r="N1460" s="38"/>
    </row>
    <row r="1461" spans="1:14" s="94" customFormat="1" ht="15.75" customHeight="1" x14ac:dyDescent="0.35">
      <c r="A1461" s="174">
        <f t="shared" si="375"/>
        <v>4</v>
      </c>
      <c r="B1461" s="174"/>
      <c r="C1461" s="123" t="s">
        <v>200</v>
      </c>
      <c r="D1461" s="123">
        <f>(23.07+1.5*1.8+3.2*0.75)*10.764</f>
        <v>303.22188</v>
      </c>
      <c r="E1461" s="123">
        <f>(1.7*2.7+1.2*4)*10.764</f>
        <v>101.07396</v>
      </c>
      <c r="F1461" s="123">
        <f t="shared" ref="F1461:F1464" si="376">D1461*(($F$422)+1)+(IF(E1461&lt;101,E1461,IF(E1461&lt;201,E1461/2,IF(E1461&lt;=301,E1461/3,E1461/4))))</f>
        <v>505.36979999999994</v>
      </c>
      <c r="G1461" s="174"/>
      <c r="H1461" s="174"/>
      <c r="I1461" s="38"/>
      <c r="N1461" s="38"/>
    </row>
    <row r="1462" spans="1:14" s="94" customFormat="1" ht="15.75" customHeight="1" x14ac:dyDescent="0.35">
      <c r="A1462" s="174">
        <f t="shared" si="375"/>
        <v>5</v>
      </c>
      <c r="B1462" s="174"/>
      <c r="C1462" s="123" t="s">
        <v>200</v>
      </c>
      <c r="D1462" s="123">
        <f>(23.07+1.5*1.8+3.2*0.75+1.2*1.2)*10.764</f>
        <v>318.72203999999999</v>
      </c>
      <c r="E1462" s="123">
        <f>(1.7*3)*10.764</f>
        <v>54.896399999999993</v>
      </c>
      <c r="F1462" s="123">
        <f t="shared" si="376"/>
        <v>532.97946000000002</v>
      </c>
      <c r="G1462" s="174"/>
      <c r="H1462" s="174"/>
      <c r="I1462" s="38"/>
      <c r="N1462" s="38"/>
    </row>
    <row r="1463" spans="1:14" s="94" customFormat="1" ht="15.75" customHeight="1" x14ac:dyDescent="0.35">
      <c r="A1463" s="174">
        <f t="shared" si="375"/>
        <v>6</v>
      </c>
      <c r="B1463" s="174"/>
      <c r="C1463" s="123" t="s">
        <v>200</v>
      </c>
      <c r="D1463" s="123">
        <f>(23.07+1.5*1.8+3.2*0.75+1.2*1.2)*10.764</f>
        <v>318.72203999999999</v>
      </c>
      <c r="E1463" s="123">
        <f>(1.7*3)*10.764</f>
        <v>54.896399999999993</v>
      </c>
      <c r="F1463" s="123">
        <f t="shared" si="376"/>
        <v>532.97946000000002</v>
      </c>
      <c r="G1463" s="174"/>
      <c r="H1463" s="174"/>
      <c r="I1463" s="38"/>
      <c r="N1463" s="38"/>
    </row>
    <row r="1464" spans="1:14" s="94" customFormat="1" ht="15.75" customHeight="1" x14ac:dyDescent="0.35">
      <c r="A1464" s="174">
        <f t="shared" si="375"/>
        <v>7</v>
      </c>
      <c r="B1464" s="174"/>
      <c r="C1464" s="123" t="s">
        <v>200</v>
      </c>
      <c r="D1464" s="123">
        <f>(23.07+1.5*1.8+3.2*0.75)*10.764</f>
        <v>303.22188</v>
      </c>
      <c r="E1464" s="123">
        <f>(1.7*2.7+1.2*4)*10.764</f>
        <v>101.07396</v>
      </c>
      <c r="F1464" s="123">
        <f t="shared" si="376"/>
        <v>505.36979999999994</v>
      </c>
      <c r="G1464" s="174"/>
      <c r="H1464" s="174"/>
      <c r="I1464" s="38"/>
      <c r="N1464" s="38"/>
    </row>
    <row r="1465" spans="1:14" s="94" customFormat="1" ht="15.75" customHeight="1" x14ac:dyDescent="0.35">
      <c r="A1465" s="174">
        <f t="shared" si="375"/>
        <v>8</v>
      </c>
      <c r="B1465" s="174"/>
      <c r="C1465" s="123" t="s">
        <v>200</v>
      </c>
      <c r="D1465" s="123">
        <f>(23.07+1.5*1.8+1.2*1.2+3.2*0.75)*10.764</f>
        <v>318.72203999999999</v>
      </c>
      <c r="E1465" s="123">
        <f>(1.7*2.8)*10.764</f>
        <v>51.236639999999994</v>
      </c>
      <c r="F1465" s="123">
        <f>D1465*(($F$422)+1)+(IF(E1465&lt;101,E1465,IF(E1465&lt;201,E1465/2,IF(E1465&lt;=301,E1465/3,E1465/4))))</f>
        <v>529.31970000000001</v>
      </c>
      <c r="G1465" s="174"/>
      <c r="H1465" s="174"/>
      <c r="I1465" s="38"/>
      <c r="N1465" s="38"/>
    </row>
    <row r="1466" spans="1:14" s="94" customFormat="1" ht="15.75" customHeight="1" x14ac:dyDescent="0.35">
      <c r="A1466" s="174">
        <f t="shared" si="375"/>
        <v>9</v>
      </c>
      <c r="B1466" s="174"/>
      <c r="C1466" s="123" t="s">
        <v>200</v>
      </c>
      <c r="D1466" s="123">
        <f>(23.07+1.5*1.8+1.2*1.2+3.2*0.75)*10.764</f>
        <v>318.72203999999999</v>
      </c>
      <c r="E1466" s="123">
        <f>(1.7*2.8)*10.764</f>
        <v>51.236639999999994</v>
      </c>
      <c r="F1466" s="123">
        <f t="shared" ref="F1466:F1469" si="377">D1466*(($F$422)+1)+(IF(E1466&lt;101,E1466,IF(E1466&lt;201,E1466/2,IF(E1466&lt;=301,E1466/3,E1466/4))))</f>
        <v>529.31970000000001</v>
      </c>
      <c r="G1466" s="174"/>
      <c r="H1466" s="174"/>
      <c r="I1466" s="38"/>
      <c r="N1466" s="38"/>
    </row>
    <row r="1467" spans="1:14" s="94" customFormat="1" ht="15.75" customHeight="1" x14ac:dyDescent="0.35">
      <c r="A1467" s="174">
        <f t="shared" si="375"/>
        <v>10</v>
      </c>
      <c r="B1467" s="174"/>
      <c r="C1467" s="123" t="s">
        <v>200</v>
      </c>
      <c r="D1467" s="123">
        <f>(23.07+1.8*(1.5+1.2)+3*0.75)*10.764</f>
        <v>324.85751999999997</v>
      </c>
      <c r="E1467" s="123">
        <f>(1*4)*10.764</f>
        <v>43.055999999999997</v>
      </c>
      <c r="F1467" s="123">
        <f t="shared" si="377"/>
        <v>530.34227999999996</v>
      </c>
      <c r="G1467" s="174"/>
      <c r="H1467" s="174"/>
      <c r="I1467" s="38"/>
      <c r="N1467" s="38"/>
    </row>
    <row r="1468" spans="1:14" s="94" customFormat="1" ht="15.75" customHeight="1" x14ac:dyDescent="0.35">
      <c r="A1468" s="174">
        <f t="shared" si="375"/>
        <v>11</v>
      </c>
      <c r="B1468" s="174"/>
      <c r="C1468" s="123" t="s">
        <v>200</v>
      </c>
      <c r="D1468" s="123">
        <f>(23.07+1.8*(1.5+1.2)+3.2*0.75)*10.764</f>
        <v>326.47211999999996</v>
      </c>
      <c r="E1468" s="123">
        <f>(1.2*4)*10.764</f>
        <v>51.667199999999994</v>
      </c>
      <c r="F1468" s="123">
        <f t="shared" si="377"/>
        <v>541.37537999999995</v>
      </c>
      <c r="G1468" s="174"/>
      <c r="H1468" s="174"/>
      <c r="I1468" s="38"/>
      <c r="N1468" s="38"/>
    </row>
    <row r="1469" spans="1:14" s="94" customFormat="1" ht="15.75" customHeight="1" x14ac:dyDescent="0.35">
      <c r="A1469" s="174">
        <f t="shared" si="375"/>
        <v>12</v>
      </c>
      <c r="B1469" s="174"/>
      <c r="C1469" s="123" t="s">
        <v>200</v>
      </c>
      <c r="D1469" s="123">
        <f>(23.07+1.5*1.8+1.2*1.2+3.2*0.75)*10.764</f>
        <v>318.72203999999999</v>
      </c>
      <c r="E1469" s="123">
        <f>(1.5*3)*10.764</f>
        <v>48.437999999999995</v>
      </c>
      <c r="F1469" s="123">
        <f t="shared" si="377"/>
        <v>526.52106000000003</v>
      </c>
      <c r="G1469" s="174"/>
      <c r="H1469" s="174"/>
      <c r="I1469" s="38"/>
      <c r="N1469" s="38"/>
    </row>
    <row r="1470" spans="1:14" s="94" customFormat="1" ht="15.75" customHeight="1" x14ac:dyDescent="0.35">
      <c r="A1470" s="174">
        <f t="shared" si="375"/>
        <v>13</v>
      </c>
      <c r="B1470" s="174"/>
      <c r="C1470" s="123" t="s">
        <v>200</v>
      </c>
      <c r="D1470" s="123">
        <f t="shared" ref="D1470:D1477" si="378">(23.07+1.5*1.8+3.2*0.75)*10.764</f>
        <v>303.22188</v>
      </c>
      <c r="E1470" s="123">
        <f>(1.7*2.7+1.2*4)*10.764</f>
        <v>101.07396</v>
      </c>
      <c r="F1470" s="123">
        <f>D1470*(($F$422)+1)+(IF(E1470&lt;101,E1470,IF(E1470&lt;201,E1470/2,IF(E1470&lt;=301,E1470/3,E1470/4))))</f>
        <v>505.36979999999994</v>
      </c>
      <c r="G1470" s="174"/>
      <c r="H1470" s="174"/>
      <c r="I1470" s="38"/>
      <c r="N1470" s="38"/>
    </row>
    <row r="1471" spans="1:14" s="94" customFormat="1" ht="15.75" customHeight="1" x14ac:dyDescent="0.35">
      <c r="A1471" s="174">
        <f t="shared" si="375"/>
        <v>14</v>
      </c>
      <c r="B1471" s="174"/>
      <c r="C1471" s="123" t="s">
        <v>200</v>
      </c>
      <c r="D1471" s="123">
        <f t="shared" si="378"/>
        <v>303.22188</v>
      </c>
      <c r="E1471" s="123">
        <f>(1.7*2.7+1.2*4)*10.764</f>
        <v>101.07396</v>
      </c>
      <c r="F1471" s="123">
        <f t="shared" ref="F1471" si="379">D1471*(($F$422)+1)+(IF(E1471&lt;101,E1471,IF(E1471&lt;201,E1471/2,IF(E1471&lt;=301,E1471/3,E1471/4))))</f>
        <v>505.36979999999994</v>
      </c>
      <c r="G1471" s="174"/>
      <c r="H1471" s="174"/>
      <c r="I1471" s="38"/>
      <c r="N1471" s="38"/>
    </row>
    <row r="1472" spans="1:14" s="94" customFormat="1" ht="15.75" customHeight="1" x14ac:dyDescent="0.35">
      <c r="A1472" s="174">
        <f t="shared" si="375"/>
        <v>15</v>
      </c>
      <c r="B1472" s="174"/>
      <c r="C1472" s="123" t="s">
        <v>200</v>
      </c>
      <c r="D1472" s="123">
        <f t="shared" si="378"/>
        <v>303.22188</v>
      </c>
      <c r="E1472" s="123">
        <f>(1.7*2.7+1.2*4)*10.764</f>
        <v>101.07396</v>
      </c>
      <c r="F1472" s="123">
        <f>D1472*(($F$422)+1)+(IF(E1472&lt;101,E1472,IF(E1472&lt;201,E1472/2,IF(E1472&lt;=301,E1472/3,E1472/4))))</f>
        <v>505.36979999999994</v>
      </c>
      <c r="G1472" s="174"/>
      <c r="H1472" s="174"/>
      <c r="I1472" s="38"/>
      <c r="N1472" s="38"/>
    </row>
    <row r="1473" spans="1:14" s="94" customFormat="1" ht="15.75" customHeight="1" x14ac:dyDescent="0.35">
      <c r="A1473" s="174">
        <f t="shared" si="375"/>
        <v>16</v>
      </c>
      <c r="B1473" s="174"/>
      <c r="C1473" s="123" t="s">
        <v>200</v>
      </c>
      <c r="D1473" s="123">
        <f t="shared" si="378"/>
        <v>303.22188</v>
      </c>
      <c r="E1473" s="123">
        <f>(1.7*2.7+1.2*4)*10.764</f>
        <v>101.07396</v>
      </c>
      <c r="F1473" s="123">
        <f t="shared" ref="F1473:F1474" si="380">D1473*(($F$422)+1)+(IF(E1473&lt;101,E1473,IF(E1473&lt;201,E1473/2,IF(E1473&lt;=301,E1473/3,E1473/4))))</f>
        <v>505.36979999999994</v>
      </c>
      <c r="G1473" s="174"/>
      <c r="H1473" s="174"/>
      <c r="I1473" s="38"/>
      <c r="N1473" s="38"/>
    </row>
    <row r="1474" spans="1:14" s="94" customFormat="1" ht="15.75" customHeight="1" x14ac:dyDescent="0.35">
      <c r="A1474" s="174">
        <f t="shared" si="375"/>
        <v>17</v>
      </c>
      <c r="B1474" s="174"/>
      <c r="C1474" s="123" t="s">
        <v>200</v>
      </c>
      <c r="D1474" s="123">
        <f t="shared" si="378"/>
        <v>303.22188</v>
      </c>
      <c r="E1474" s="123">
        <f>(1.7*2.7+1.2*4)*10.764</f>
        <v>101.07396</v>
      </c>
      <c r="F1474" s="123">
        <f t="shared" si="380"/>
        <v>505.36979999999994</v>
      </c>
      <c r="G1474" s="174"/>
      <c r="H1474" s="174"/>
      <c r="I1474" s="38"/>
      <c r="N1474" s="38"/>
    </row>
    <row r="1475" spans="1:14" s="94" customFormat="1" ht="15.75" customHeight="1" x14ac:dyDescent="0.35">
      <c r="A1475" s="174">
        <f t="shared" si="375"/>
        <v>18</v>
      </c>
      <c r="B1475" s="174"/>
      <c r="C1475" s="123" t="s">
        <v>200</v>
      </c>
      <c r="D1475" s="123">
        <f t="shared" si="378"/>
        <v>303.22188</v>
      </c>
      <c r="E1475" s="123">
        <f t="shared" ref="E1475:E1476" si="381">(1.7*2.7+1.2*4)*10.764</f>
        <v>101.07396</v>
      </c>
      <c r="F1475" s="123">
        <f>D1475*(($F$422)+1)+(IF(E1475&lt;101,E1475,IF(E1475&lt;201,E1475/2,IF(E1475&lt;=301,E1475/3,E1475/4))))</f>
        <v>505.36979999999994</v>
      </c>
      <c r="G1475" s="174"/>
      <c r="H1475" s="174"/>
      <c r="I1475" s="38"/>
      <c r="N1475" s="38"/>
    </row>
    <row r="1476" spans="1:14" s="94" customFormat="1" ht="15.75" customHeight="1" x14ac:dyDescent="0.35">
      <c r="A1476" s="174">
        <f t="shared" si="375"/>
        <v>19</v>
      </c>
      <c r="B1476" s="174"/>
      <c r="C1476" s="123" t="s">
        <v>200</v>
      </c>
      <c r="D1476" s="123">
        <f t="shared" si="378"/>
        <v>303.22188</v>
      </c>
      <c r="E1476" s="123">
        <f t="shared" si="381"/>
        <v>101.07396</v>
      </c>
      <c r="F1476" s="123">
        <f t="shared" ref="F1476:F1480" si="382">D1476*(($F$422)+1)+(IF(E1476&lt;101,E1476,IF(E1476&lt;201,E1476/2,IF(E1476&lt;=301,E1476/3,E1476/4))))</f>
        <v>505.36979999999994</v>
      </c>
      <c r="G1476" s="174"/>
      <c r="H1476" s="174"/>
      <c r="I1476" s="38"/>
      <c r="N1476" s="38"/>
    </row>
    <row r="1477" spans="1:14" s="94" customFormat="1" ht="15.75" customHeight="1" x14ac:dyDescent="0.35">
      <c r="A1477" s="174">
        <f t="shared" si="375"/>
        <v>20</v>
      </c>
      <c r="B1477" s="174"/>
      <c r="C1477" s="123" t="s">
        <v>200</v>
      </c>
      <c r="D1477" s="123">
        <f t="shared" si="378"/>
        <v>303.22188</v>
      </c>
      <c r="E1477" s="123">
        <f>(1.7*2.7+1.2*4)*10.764</f>
        <v>101.07396</v>
      </c>
      <c r="F1477" s="123">
        <f t="shared" si="382"/>
        <v>505.36979999999994</v>
      </c>
      <c r="G1477" s="174"/>
      <c r="H1477" s="174"/>
      <c r="I1477" s="38"/>
      <c r="N1477" s="38"/>
    </row>
    <row r="1478" spans="1:14" s="94" customFormat="1" ht="15.75" customHeight="1" x14ac:dyDescent="0.35">
      <c r="A1478" s="174">
        <f t="shared" si="375"/>
        <v>21</v>
      </c>
      <c r="B1478" s="174"/>
      <c r="C1478" s="123" t="s">
        <v>200</v>
      </c>
      <c r="D1478" s="123">
        <f>(23.07+1.5*1.8+1.2*1.2+3.2*0.75)*10.764</f>
        <v>318.72203999999999</v>
      </c>
      <c r="E1478" s="123">
        <f>(1.5*3)*10.764</f>
        <v>48.437999999999995</v>
      </c>
      <c r="F1478" s="123">
        <f t="shared" si="382"/>
        <v>526.52106000000003</v>
      </c>
      <c r="G1478" s="174"/>
      <c r="H1478" s="174"/>
      <c r="I1478" s="38"/>
      <c r="N1478" s="38"/>
    </row>
    <row r="1479" spans="1:14" s="94" customFormat="1" ht="15.75" customHeight="1" x14ac:dyDescent="0.35">
      <c r="A1479" s="174">
        <f t="shared" si="375"/>
        <v>22</v>
      </c>
      <c r="B1479" s="174"/>
      <c r="C1479" s="123" t="s">
        <v>200</v>
      </c>
      <c r="D1479" s="123">
        <f>(23.07+1.8*(1.5+1.2)+3.2*0.75)*10.764</f>
        <v>326.47211999999996</v>
      </c>
      <c r="E1479" s="123">
        <f>(1.2*4)*10.764</f>
        <v>51.667199999999994</v>
      </c>
      <c r="F1479" s="123">
        <f t="shared" si="382"/>
        <v>541.37537999999995</v>
      </c>
      <c r="G1479" s="174"/>
      <c r="H1479" s="174"/>
      <c r="I1479" s="38"/>
      <c r="N1479" s="38"/>
    </row>
    <row r="1480" spans="1:14" s="94" customFormat="1" ht="15.75" customHeight="1" x14ac:dyDescent="0.35">
      <c r="A1480" s="174">
        <f t="shared" si="375"/>
        <v>23</v>
      </c>
      <c r="B1480" s="174"/>
      <c r="C1480" s="123" t="s">
        <v>200</v>
      </c>
      <c r="D1480" s="123">
        <f>(23.07+1.5*1.8+1.2*1.2)*10.764</f>
        <v>292.88844</v>
      </c>
      <c r="E1480" s="123">
        <f>(4.5*1+1.6*2.5)*10.764</f>
        <v>91.494</v>
      </c>
      <c r="F1480" s="123">
        <f t="shared" si="382"/>
        <v>530.82666000000006</v>
      </c>
      <c r="G1480" s="174"/>
      <c r="H1480" s="174"/>
      <c r="I1480" s="38"/>
      <c r="N1480" s="38"/>
    </row>
    <row r="1481" spans="1:14" s="94" customFormat="1" ht="15.75" customHeight="1" x14ac:dyDescent="0.35">
      <c r="A1481" s="174">
        <f t="shared" si="375"/>
        <v>24</v>
      </c>
      <c r="B1481" s="174"/>
      <c r="C1481" s="123" t="s">
        <v>200</v>
      </c>
      <c r="D1481" s="123">
        <f>(23.07+1.5*1.8)*10.764</f>
        <v>277.38827999999995</v>
      </c>
      <c r="E1481" s="123">
        <f>(6.19*1.2+2.3*1.6+1.2*4)*10.764</f>
        <v>171.233712</v>
      </c>
      <c r="F1481" s="123">
        <f>D1481*(($F$422)+1)+(IF(E1481&lt;101,E1481,IF(E1481&lt;201,E1481/2,IF(E1481&lt;=301,E1481/3,E1481/4))))</f>
        <v>501.69927599999994</v>
      </c>
      <c r="G1481" s="174"/>
      <c r="H1481" s="174"/>
      <c r="I1481" s="38"/>
      <c r="N1481" s="38"/>
    </row>
    <row r="1482" spans="1:14" s="94" customFormat="1" ht="15.75" customHeight="1" x14ac:dyDescent="0.35">
      <c r="A1482" s="174">
        <f t="shared" si="375"/>
        <v>25</v>
      </c>
      <c r="B1482" s="174"/>
      <c r="C1482" s="123" t="s">
        <v>200</v>
      </c>
      <c r="D1482" s="123">
        <f>(23.07+1.5*1.8+1.2*1.2)*10.764</f>
        <v>292.88844</v>
      </c>
      <c r="E1482" s="123">
        <f>(4.5*1+1.6*2.5)*10.764</f>
        <v>91.494</v>
      </c>
      <c r="F1482" s="123">
        <f t="shared" ref="F1482:F1488" si="383">D1482*(($F$422)+1)+(IF(E1482&lt;101,E1482,IF(E1482&lt;201,E1482/2,IF(E1482&lt;=301,E1482/3,E1482/4))))</f>
        <v>530.82666000000006</v>
      </c>
      <c r="G1482" s="174"/>
      <c r="H1482" s="174"/>
      <c r="I1482" s="38"/>
      <c r="N1482" s="38"/>
    </row>
    <row r="1483" spans="1:14" s="94" customFormat="1" ht="15.75" customHeight="1" x14ac:dyDescent="0.35">
      <c r="A1483" s="174">
        <f t="shared" si="375"/>
        <v>26</v>
      </c>
      <c r="B1483" s="174"/>
      <c r="C1483" s="123" t="s">
        <v>200</v>
      </c>
      <c r="D1483" s="123">
        <f>(23.07+1.5*1.8+0.6*2.8)*10.764</f>
        <v>295.47179999999997</v>
      </c>
      <c r="E1483" s="123">
        <f>(6.19*1.2+2.3*1.6+1.2*4)*10.764</f>
        <v>171.233712</v>
      </c>
      <c r="F1483" s="123">
        <f t="shared" si="383"/>
        <v>528.82455599999992</v>
      </c>
      <c r="G1483" s="174"/>
      <c r="H1483" s="174"/>
      <c r="I1483" s="38"/>
      <c r="N1483" s="38"/>
    </row>
    <row r="1484" spans="1:14" s="94" customFormat="1" ht="15.75" customHeight="1" x14ac:dyDescent="0.35">
      <c r="A1484" s="174">
        <f t="shared" si="375"/>
        <v>27</v>
      </c>
      <c r="B1484" s="174"/>
      <c r="C1484" s="123" t="s">
        <v>200</v>
      </c>
      <c r="D1484" s="123">
        <f>(23.07+1.5*1.8+0.6*2.8)*10.764</f>
        <v>295.47179999999997</v>
      </c>
      <c r="E1484" s="123">
        <f>(6.19*1.2+2.3*1.6+1.2*4)*10.764</f>
        <v>171.233712</v>
      </c>
      <c r="F1484" s="123">
        <f t="shared" si="383"/>
        <v>528.82455599999992</v>
      </c>
      <c r="G1484" s="174"/>
      <c r="H1484" s="174"/>
      <c r="I1484" s="38"/>
      <c r="N1484" s="38"/>
    </row>
    <row r="1485" spans="1:14" s="94" customFormat="1" ht="15.75" customHeight="1" x14ac:dyDescent="0.35">
      <c r="A1485" s="174">
        <f t="shared" si="375"/>
        <v>28</v>
      </c>
      <c r="B1485" s="174"/>
      <c r="C1485" s="123" t="s">
        <v>200</v>
      </c>
      <c r="D1485" s="123">
        <f>(23.07+1.5*1.8+1.2*1.2)*10.764</f>
        <v>292.88844</v>
      </c>
      <c r="E1485" s="123">
        <f>(4.5*1+1.6*2.5)*10.764</f>
        <v>91.494</v>
      </c>
      <c r="F1485" s="123">
        <f t="shared" si="383"/>
        <v>530.82666000000006</v>
      </c>
      <c r="G1485" s="174"/>
      <c r="H1485" s="174"/>
      <c r="I1485" s="38"/>
      <c r="N1485" s="38"/>
    </row>
    <row r="1486" spans="1:14" s="94" customFormat="1" ht="15.75" customHeight="1" x14ac:dyDescent="0.35">
      <c r="A1486" s="174">
        <f t="shared" si="375"/>
        <v>29</v>
      </c>
      <c r="B1486" s="174"/>
      <c r="C1486" s="123" t="s">
        <v>200</v>
      </c>
      <c r="D1486" s="123">
        <f>(23.07+1.8*(1.5+1.2)+3.2*0.75)*10.764</f>
        <v>326.47211999999996</v>
      </c>
      <c r="E1486" s="123">
        <f>(1.2*4)*10.764</f>
        <v>51.667199999999994</v>
      </c>
      <c r="F1486" s="123">
        <f t="shared" si="383"/>
        <v>541.37537999999995</v>
      </c>
      <c r="G1486" s="174"/>
      <c r="H1486" s="174"/>
      <c r="I1486" s="38"/>
      <c r="N1486" s="38"/>
    </row>
    <row r="1487" spans="1:14" s="94" customFormat="1" ht="15.75" customHeight="1" x14ac:dyDescent="0.35">
      <c r="A1487" s="174">
        <f t="shared" si="375"/>
        <v>30</v>
      </c>
      <c r="B1487" s="174"/>
      <c r="C1487" s="123" t="s">
        <v>200</v>
      </c>
      <c r="D1487" s="123">
        <f>(23.07+1.5*1.8+1.2*1.2)*10.764</f>
        <v>292.88844</v>
      </c>
      <c r="E1487" s="123">
        <f>(4.5*1+1.6*2.5)*10.764</f>
        <v>91.494</v>
      </c>
      <c r="F1487" s="123">
        <f t="shared" si="383"/>
        <v>530.82666000000006</v>
      </c>
      <c r="G1487" s="174"/>
      <c r="H1487" s="174"/>
      <c r="I1487" s="38"/>
      <c r="N1487" s="38"/>
    </row>
    <row r="1488" spans="1:14" s="94" customFormat="1" ht="15.75" customHeight="1" x14ac:dyDescent="0.35">
      <c r="A1488" s="174">
        <f t="shared" si="375"/>
        <v>31</v>
      </c>
      <c r="B1488" s="174"/>
      <c r="C1488" s="123" t="s">
        <v>200</v>
      </c>
      <c r="D1488" s="123">
        <f>(23.07+1.5*1.8+1.2*1.2)*10.764</f>
        <v>292.88844</v>
      </c>
      <c r="E1488" s="123">
        <f>(4.5*1+1.6*2.5)*10.764</f>
        <v>91.494</v>
      </c>
      <c r="F1488" s="123">
        <f t="shared" si="383"/>
        <v>530.82666000000006</v>
      </c>
      <c r="G1488" s="174"/>
      <c r="H1488" s="174"/>
      <c r="I1488" s="38"/>
      <c r="N1488" s="38"/>
    </row>
    <row r="1489" spans="1:14" s="94" customFormat="1" ht="15.75" customHeight="1" x14ac:dyDescent="0.35">
      <c r="A1489" s="174">
        <f t="shared" si="375"/>
        <v>32</v>
      </c>
      <c r="B1489" s="174"/>
      <c r="C1489" s="123" t="s">
        <v>200</v>
      </c>
      <c r="D1489" s="123">
        <f>(23.07+1.5*1.8+3.2*0.75+1.2*1.2)*10.764</f>
        <v>318.72203999999999</v>
      </c>
      <c r="E1489" s="123">
        <f>(3*1.5)*10.764</f>
        <v>48.437999999999995</v>
      </c>
      <c r="F1489" s="123">
        <f>D1489*(($F$422)+1)+(IF(E1489&lt;101,E1489,IF(E1489&lt;201,E1489/2,IF(E1489&lt;=301,E1489/3,E1489/4))))</f>
        <v>526.52106000000003</v>
      </c>
      <c r="G1489" s="174"/>
      <c r="H1489" s="174"/>
      <c r="I1489" s="38"/>
      <c r="N1489" s="38"/>
    </row>
    <row r="1490" spans="1:14" s="94" customFormat="1" ht="15.75" customHeight="1" x14ac:dyDescent="0.35">
      <c r="A1490" s="174">
        <f t="shared" si="375"/>
        <v>33</v>
      </c>
      <c r="B1490" s="174"/>
      <c r="C1490" s="123" t="s">
        <v>200</v>
      </c>
      <c r="D1490" s="123">
        <f>(23.07+1.5*1.8+2.8*0.6)*10.764</f>
        <v>295.47179999999997</v>
      </c>
      <c r="E1490" s="123">
        <f>(6.19*1.2+2.3*1.6+1.2*4)*10.764</f>
        <v>171.233712</v>
      </c>
      <c r="F1490" s="123">
        <f t="shared" ref="F1490:F1493" si="384">D1490*(($F$422)+1)+(IF(E1490&lt;101,E1490,IF(E1490&lt;201,E1490/2,IF(E1490&lt;=301,E1490/3,E1490/4))))</f>
        <v>528.82455599999992</v>
      </c>
      <c r="G1490" s="174"/>
      <c r="H1490" s="174"/>
      <c r="I1490" s="38"/>
      <c r="N1490" s="38"/>
    </row>
    <row r="1491" spans="1:14" s="94" customFormat="1" ht="15.75" customHeight="1" x14ac:dyDescent="0.35">
      <c r="A1491" s="174">
        <f t="shared" si="375"/>
        <v>34</v>
      </c>
      <c r="B1491" s="174"/>
      <c r="C1491" s="123" t="s">
        <v>200</v>
      </c>
      <c r="D1491" s="123">
        <f>(23.07+1.5*1.8+1.2*1.2)*10.764</f>
        <v>292.88844</v>
      </c>
      <c r="E1491" s="123">
        <f>(4.5*1+1.6*2.5)*10.764</f>
        <v>91.494</v>
      </c>
      <c r="F1491" s="123">
        <f t="shared" si="384"/>
        <v>530.82666000000006</v>
      </c>
      <c r="G1491" s="174"/>
      <c r="H1491" s="174"/>
      <c r="I1491" s="38"/>
      <c r="N1491" s="38"/>
    </row>
    <row r="1492" spans="1:14" s="94" customFormat="1" ht="15.75" customHeight="1" x14ac:dyDescent="0.35">
      <c r="A1492" s="174">
        <f t="shared" si="375"/>
        <v>35</v>
      </c>
      <c r="B1492" s="174"/>
      <c r="C1492" s="123" t="s">
        <v>200</v>
      </c>
      <c r="D1492" s="123">
        <f>(23.07+1.5*1.8)*10.764</f>
        <v>277.38827999999995</v>
      </c>
      <c r="E1492" s="123">
        <f>(1.5*3.5+1*3+3*3.7+1*1)*10.764</f>
        <v>219.04740000000001</v>
      </c>
      <c r="F1492" s="123">
        <f t="shared" si="384"/>
        <v>489.09821999999997</v>
      </c>
      <c r="G1492" s="174"/>
      <c r="H1492" s="174"/>
      <c r="I1492" s="38"/>
      <c r="N1492" s="38"/>
    </row>
    <row r="1493" spans="1:14" s="94" customFormat="1" ht="15.75" customHeight="1" x14ac:dyDescent="0.35">
      <c r="A1493" s="174">
        <f t="shared" si="375"/>
        <v>36</v>
      </c>
      <c r="B1493" s="174"/>
      <c r="C1493" s="123" t="s">
        <v>200</v>
      </c>
      <c r="D1493" s="123">
        <f>(23.07+1.5*1.8+1.8*1.2+3.2*0.75)*10.764</f>
        <v>326.47211999999996</v>
      </c>
      <c r="E1493" s="123">
        <f>(4.5*1.2)*10.764</f>
        <v>58.125599999999991</v>
      </c>
      <c r="F1493" s="123">
        <f t="shared" si="384"/>
        <v>547.83377999999993</v>
      </c>
      <c r="G1493" s="174"/>
      <c r="H1493" s="174"/>
      <c r="I1493" s="38"/>
      <c r="N1493" s="38"/>
    </row>
    <row r="1494" spans="1:14" s="94" customFormat="1" ht="15.75" customHeight="1" x14ac:dyDescent="0.35">
      <c r="A1494" s="174">
        <f t="shared" ref="A1494:A1497" si="385">A1493+1</f>
        <v>37</v>
      </c>
      <c r="B1494" s="174"/>
      <c r="C1494" s="123" t="s">
        <v>200</v>
      </c>
      <c r="D1494" s="123">
        <f>(23.07+1.5*1.8+1.8*1.2+3.2*0.75)*10.764</f>
        <v>326.47211999999996</v>
      </c>
      <c r="E1494" s="123">
        <f>(4.5*1.2)*10.764</f>
        <v>58.125599999999991</v>
      </c>
      <c r="F1494" s="123">
        <f t="shared" ref="F1494:F1497" si="386">D1494*(($F$422)+1)+(IF(E1494&lt;101,E1494,IF(E1494&lt;201,E1494/2,IF(E1494&lt;=301,E1494/3,E1494/4))))</f>
        <v>547.83377999999993</v>
      </c>
      <c r="G1494" s="174"/>
      <c r="H1494" s="174"/>
      <c r="I1494" s="38"/>
      <c r="N1494" s="38"/>
    </row>
    <row r="1495" spans="1:14" s="94" customFormat="1" ht="15.75" customHeight="1" x14ac:dyDescent="0.35">
      <c r="A1495" s="174">
        <f t="shared" si="385"/>
        <v>38</v>
      </c>
      <c r="B1495" s="174"/>
      <c r="C1495" s="123" t="s">
        <v>200</v>
      </c>
      <c r="D1495" s="123">
        <f>(23.07+1.5*1.8)*10.764</f>
        <v>277.38827999999995</v>
      </c>
      <c r="E1495" s="123">
        <f>(1.5*3.5+1*3+3*3.7+1*1)*10.764</f>
        <v>219.04740000000001</v>
      </c>
      <c r="F1495" s="123">
        <f t="shared" si="386"/>
        <v>489.09821999999997</v>
      </c>
      <c r="G1495" s="174"/>
      <c r="H1495" s="174"/>
      <c r="I1495" s="38"/>
      <c r="N1495" s="38"/>
    </row>
    <row r="1496" spans="1:14" s="94" customFormat="1" ht="15.75" customHeight="1" x14ac:dyDescent="0.35">
      <c r="A1496" s="174">
        <f t="shared" si="385"/>
        <v>39</v>
      </c>
      <c r="B1496" s="174"/>
      <c r="C1496" s="123" t="s">
        <v>200</v>
      </c>
      <c r="D1496" s="123">
        <f>(23.07+1.5*1.8+1.2*1.2)*10.764</f>
        <v>292.88844</v>
      </c>
      <c r="E1496" s="123">
        <f>(4.5*1+1.6*2.5)*10.764</f>
        <v>91.494</v>
      </c>
      <c r="F1496" s="123">
        <f t="shared" si="386"/>
        <v>530.82666000000006</v>
      </c>
      <c r="G1496" s="174"/>
      <c r="H1496" s="174"/>
      <c r="I1496" s="38"/>
      <c r="N1496" s="38"/>
    </row>
    <row r="1497" spans="1:14" s="94" customFormat="1" ht="15.75" customHeight="1" x14ac:dyDescent="0.35">
      <c r="A1497" s="174">
        <f t="shared" si="385"/>
        <v>40</v>
      </c>
      <c r="B1497" s="174"/>
      <c r="C1497" s="123" t="s">
        <v>200</v>
      </c>
      <c r="D1497" s="123">
        <f>(23.07+1.5*1.8+1.8*1.2+3.2*0.75)*10.764</f>
        <v>326.47211999999996</v>
      </c>
      <c r="E1497" s="123">
        <f>(4.5*1.2)*10.764</f>
        <v>58.125599999999991</v>
      </c>
      <c r="F1497" s="123">
        <f t="shared" si="386"/>
        <v>547.83377999999993</v>
      </c>
      <c r="G1497" s="174"/>
      <c r="H1497" s="174"/>
      <c r="I1497" s="38"/>
      <c r="N1497" s="38"/>
    </row>
    <row r="1498" spans="1:14" s="94" customFormat="1" x14ac:dyDescent="0.35">
      <c r="A1498" s="183" t="s">
        <v>171</v>
      </c>
      <c r="B1498" s="183"/>
      <c r="C1498" s="183"/>
      <c r="D1498" s="183"/>
      <c r="E1498" s="183"/>
      <c r="F1498" s="183"/>
      <c r="G1498" s="183"/>
      <c r="H1498" s="183"/>
      <c r="I1498" s="38"/>
      <c r="L1498" s="182"/>
      <c r="M1498" s="182"/>
    </row>
    <row r="1499" spans="1:14" s="94" customFormat="1" ht="15.75" customHeight="1" x14ac:dyDescent="0.35">
      <c r="A1499" s="174">
        <v>1</v>
      </c>
      <c r="B1499" s="174"/>
      <c r="C1499" s="123" t="s">
        <v>200</v>
      </c>
      <c r="D1499" s="123">
        <f>(23.07+1.8*(1.5+1.2)+0.45*1.68+3.2*0.75+1.2*1.2)*10.764</f>
        <v>350.10986399999996</v>
      </c>
      <c r="E1499" s="123">
        <v>0</v>
      </c>
      <c r="F1499" s="123">
        <f t="shared" ref="F1499:F1500" si="387">D1499*(($F$422)+1)+(IF(E1499&lt;101,E1499,IF(E1499&lt;201,E1499/2,IF(E1499&lt;=301,E1499/3,E1499/4))))</f>
        <v>525.16479599999991</v>
      </c>
      <c r="G1499" s="174" t="str">
        <f>A1498</f>
        <v xml:space="preserve">2nd to 7th, 9th to 11th, 13rd to 15th, 17th to 19th, 21st to 23rd Floor </v>
      </c>
      <c r="H1499" s="174"/>
      <c r="I1499" s="38"/>
      <c r="N1499" s="38"/>
    </row>
    <row r="1500" spans="1:14" s="94" customFormat="1" ht="15.75" customHeight="1" x14ac:dyDescent="0.35">
      <c r="A1500" s="174">
        <f t="shared" ref="A1500:A1538" si="388">A1499+1</f>
        <v>2</v>
      </c>
      <c r="B1500" s="174"/>
      <c r="C1500" s="123" t="s">
        <v>200</v>
      </c>
      <c r="D1500" s="123">
        <f>(23.07+1.8*(1.5+1.2)+0.45*1.68+3.2*0.75+1.2*1.2)*10.764</f>
        <v>350.10986399999996</v>
      </c>
      <c r="E1500" s="123">
        <v>0</v>
      </c>
      <c r="F1500" s="123">
        <f t="shared" si="387"/>
        <v>525.16479599999991</v>
      </c>
      <c r="G1500" s="174" t="str">
        <f t="shared" ref="G1500:G1538" si="389">G1499</f>
        <v xml:space="preserve">2nd to 7th, 9th to 11th, 13rd to 15th, 17th to 19th, 21st to 23rd Floor </v>
      </c>
      <c r="H1500" s="174"/>
      <c r="I1500" s="38"/>
      <c r="N1500" s="38"/>
    </row>
    <row r="1501" spans="1:14" s="94" customFormat="1" ht="15.75" customHeight="1" x14ac:dyDescent="0.35">
      <c r="A1501" s="174">
        <f t="shared" si="388"/>
        <v>3</v>
      </c>
      <c r="B1501" s="174"/>
      <c r="C1501" s="123" t="s">
        <v>200</v>
      </c>
      <c r="D1501" s="123">
        <f t="shared" ref="D1501:D1538" si="390">(23.07+1.8*(1.5+1.2)+0.45*1.68+3.2*0.75+1.2*1.2)*10.764</f>
        <v>350.10986399999996</v>
      </c>
      <c r="E1501" s="123">
        <v>0</v>
      </c>
      <c r="F1501" s="123">
        <f>D1501*(($F$422)+1)+(IF(E1501&lt;101,E1501,IF(E1501&lt;201,E1501/2,IF(E1501&lt;=301,E1501/3,E1501/4))))</f>
        <v>525.16479599999991</v>
      </c>
      <c r="G1501" s="174" t="str">
        <f t="shared" si="389"/>
        <v xml:space="preserve">2nd to 7th, 9th to 11th, 13rd to 15th, 17th to 19th, 21st to 23rd Floor </v>
      </c>
      <c r="H1501" s="174"/>
      <c r="I1501" s="38"/>
      <c r="N1501" s="38"/>
    </row>
    <row r="1502" spans="1:14" s="94" customFormat="1" ht="15.75" customHeight="1" x14ac:dyDescent="0.35">
      <c r="A1502" s="174">
        <f t="shared" si="388"/>
        <v>4</v>
      </c>
      <c r="B1502" s="174"/>
      <c r="C1502" s="123" t="s">
        <v>200</v>
      </c>
      <c r="D1502" s="123">
        <f t="shared" si="390"/>
        <v>350.10986399999996</v>
      </c>
      <c r="E1502" s="123">
        <v>0</v>
      </c>
      <c r="F1502" s="123">
        <f t="shared" ref="F1502:F1505" si="391">D1502*(($F$422)+1)+(IF(E1502&lt;101,E1502,IF(E1502&lt;201,E1502/2,IF(E1502&lt;=301,E1502/3,E1502/4))))</f>
        <v>525.16479599999991</v>
      </c>
      <c r="G1502" s="174" t="str">
        <f t="shared" si="389"/>
        <v xml:space="preserve">2nd to 7th, 9th to 11th, 13rd to 15th, 17th to 19th, 21st to 23rd Floor </v>
      </c>
      <c r="H1502" s="174"/>
      <c r="I1502" s="38"/>
      <c r="N1502" s="38"/>
    </row>
    <row r="1503" spans="1:14" s="94" customFormat="1" ht="15.75" customHeight="1" x14ac:dyDescent="0.35">
      <c r="A1503" s="174">
        <f t="shared" si="388"/>
        <v>5</v>
      </c>
      <c r="B1503" s="174"/>
      <c r="C1503" s="123" t="s">
        <v>200</v>
      </c>
      <c r="D1503" s="123">
        <f t="shared" si="390"/>
        <v>350.10986399999996</v>
      </c>
      <c r="E1503" s="123">
        <v>0</v>
      </c>
      <c r="F1503" s="123">
        <f t="shared" si="391"/>
        <v>525.16479599999991</v>
      </c>
      <c r="G1503" s="174" t="str">
        <f t="shared" si="389"/>
        <v xml:space="preserve">2nd to 7th, 9th to 11th, 13rd to 15th, 17th to 19th, 21st to 23rd Floor </v>
      </c>
      <c r="H1503" s="174"/>
      <c r="I1503" s="38"/>
      <c r="N1503" s="38"/>
    </row>
    <row r="1504" spans="1:14" s="94" customFormat="1" ht="15.75" customHeight="1" x14ac:dyDescent="0.35">
      <c r="A1504" s="174">
        <f t="shared" si="388"/>
        <v>6</v>
      </c>
      <c r="B1504" s="174"/>
      <c r="C1504" s="123" t="s">
        <v>200</v>
      </c>
      <c r="D1504" s="123">
        <f t="shared" si="390"/>
        <v>350.10986399999996</v>
      </c>
      <c r="E1504" s="123">
        <v>0</v>
      </c>
      <c r="F1504" s="123">
        <f t="shared" si="391"/>
        <v>525.16479599999991</v>
      </c>
      <c r="G1504" s="174" t="str">
        <f t="shared" si="389"/>
        <v xml:space="preserve">2nd to 7th, 9th to 11th, 13rd to 15th, 17th to 19th, 21st to 23rd Floor </v>
      </c>
      <c r="H1504" s="174"/>
      <c r="I1504" s="38"/>
      <c r="N1504" s="38"/>
    </row>
    <row r="1505" spans="1:14" s="94" customFormat="1" ht="15.75" customHeight="1" x14ac:dyDescent="0.35">
      <c r="A1505" s="174">
        <f t="shared" si="388"/>
        <v>7</v>
      </c>
      <c r="B1505" s="174"/>
      <c r="C1505" s="123" t="s">
        <v>200</v>
      </c>
      <c r="D1505" s="123">
        <f t="shared" si="390"/>
        <v>350.10986399999996</v>
      </c>
      <c r="E1505" s="123">
        <v>0</v>
      </c>
      <c r="F1505" s="123">
        <f t="shared" si="391"/>
        <v>525.16479599999991</v>
      </c>
      <c r="G1505" s="174" t="str">
        <f t="shared" si="389"/>
        <v xml:space="preserve">2nd to 7th, 9th to 11th, 13rd to 15th, 17th to 19th, 21st to 23rd Floor </v>
      </c>
      <c r="H1505" s="174"/>
      <c r="I1505" s="38"/>
      <c r="N1505" s="38"/>
    </row>
    <row r="1506" spans="1:14" s="94" customFormat="1" ht="15.75" customHeight="1" x14ac:dyDescent="0.35">
      <c r="A1506" s="174">
        <f t="shared" si="388"/>
        <v>8</v>
      </c>
      <c r="B1506" s="174"/>
      <c r="C1506" s="123" t="s">
        <v>200</v>
      </c>
      <c r="D1506" s="123">
        <f t="shared" si="390"/>
        <v>350.10986399999996</v>
      </c>
      <c r="E1506" s="123">
        <v>0</v>
      </c>
      <c r="F1506" s="123">
        <f>D1506*(($F$422)+1)+(IF(E1506&lt;101,E1506,IF(E1506&lt;201,E1506/2,IF(E1506&lt;=301,E1506/3,E1506/4))))</f>
        <v>525.16479599999991</v>
      </c>
      <c r="G1506" s="174" t="str">
        <f t="shared" si="389"/>
        <v xml:space="preserve">2nd to 7th, 9th to 11th, 13rd to 15th, 17th to 19th, 21st to 23rd Floor </v>
      </c>
      <c r="H1506" s="174"/>
      <c r="I1506" s="38"/>
      <c r="N1506" s="38"/>
    </row>
    <row r="1507" spans="1:14" s="94" customFormat="1" ht="15.75" customHeight="1" x14ac:dyDescent="0.35">
      <c r="A1507" s="174">
        <f t="shared" si="388"/>
        <v>9</v>
      </c>
      <c r="B1507" s="174"/>
      <c r="C1507" s="123" t="s">
        <v>200</v>
      </c>
      <c r="D1507" s="123">
        <f t="shared" si="390"/>
        <v>350.10986399999996</v>
      </c>
      <c r="E1507" s="123">
        <v>0</v>
      </c>
      <c r="F1507" s="123">
        <f t="shared" ref="F1507:F1510" si="392">D1507*(($F$422)+1)+(IF(E1507&lt;101,E1507,IF(E1507&lt;201,E1507/2,IF(E1507&lt;=301,E1507/3,E1507/4))))</f>
        <v>525.16479599999991</v>
      </c>
      <c r="G1507" s="174" t="str">
        <f t="shared" si="389"/>
        <v xml:space="preserve">2nd to 7th, 9th to 11th, 13rd to 15th, 17th to 19th, 21st to 23rd Floor </v>
      </c>
      <c r="H1507" s="174"/>
      <c r="I1507" s="38"/>
      <c r="N1507" s="38"/>
    </row>
    <row r="1508" spans="1:14" s="94" customFormat="1" ht="15.75" customHeight="1" x14ac:dyDescent="0.35">
      <c r="A1508" s="174">
        <f t="shared" si="388"/>
        <v>10</v>
      </c>
      <c r="B1508" s="174"/>
      <c r="C1508" s="123" t="s">
        <v>200</v>
      </c>
      <c r="D1508" s="123">
        <f t="shared" si="390"/>
        <v>350.10986399999996</v>
      </c>
      <c r="E1508" s="123">
        <v>0</v>
      </c>
      <c r="F1508" s="123">
        <f t="shared" si="392"/>
        <v>525.16479599999991</v>
      </c>
      <c r="G1508" s="174" t="str">
        <f t="shared" si="389"/>
        <v xml:space="preserve">2nd to 7th, 9th to 11th, 13rd to 15th, 17th to 19th, 21st to 23rd Floor </v>
      </c>
      <c r="H1508" s="174"/>
      <c r="I1508" s="38"/>
      <c r="N1508" s="38"/>
    </row>
    <row r="1509" spans="1:14" s="94" customFormat="1" ht="15.75" customHeight="1" x14ac:dyDescent="0.35">
      <c r="A1509" s="174">
        <f t="shared" si="388"/>
        <v>11</v>
      </c>
      <c r="B1509" s="174"/>
      <c r="C1509" s="123" t="s">
        <v>200</v>
      </c>
      <c r="D1509" s="123">
        <f t="shared" si="390"/>
        <v>350.10986399999996</v>
      </c>
      <c r="E1509" s="123">
        <v>0</v>
      </c>
      <c r="F1509" s="123">
        <f t="shared" si="392"/>
        <v>525.16479599999991</v>
      </c>
      <c r="G1509" s="174" t="str">
        <f t="shared" si="389"/>
        <v xml:space="preserve">2nd to 7th, 9th to 11th, 13rd to 15th, 17th to 19th, 21st to 23rd Floor </v>
      </c>
      <c r="H1509" s="174"/>
      <c r="I1509" s="38"/>
      <c r="N1509" s="38"/>
    </row>
    <row r="1510" spans="1:14" s="94" customFormat="1" ht="15.75" customHeight="1" x14ac:dyDescent="0.35">
      <c r="A1510" s="174">
        <f t="shared" si="388"/>
        <v>12</v>
      </c>
      <c r="B1510" s="174"/>
      <c r="C1510" s="123" t="s">
        <v>200</v>
      </c>
      <c r="D1510" s="123">
        <f t="shared" si="390"/>
        <v>350.10986399999996</v>
      </c>
      <c r="E1510" s="123">
        <v>0</v>
      </c>
      <c r="F1510" s="123">
        <f t="shared" si="392"/>
        <v>525.16479599999991</v>
      </c>
      <c r="G1510" s="174" t="str">
        <f t="shared" si="389"/>
        <v xml:space="preserve">2nd to 7th, 9th to 11th, 13rd to 15th, 17th to 19th, 21st to 23rd Floor </v>
      </c>
      <c r="H1510" s="174"/>
      <c r="I1510" s="38"/>
      <c r="N1510" s="38"/>
    </row>
    <row r="1511" spans="1:14" s="94" customFormat="1" ht="15.75" customHeight="1" x14ac:dyDescent="0.35">
      <c r="A1511" s="174">
        <f t="shared" si="388"/>
        <v>13</v>
      </c>
      <c r="B1511" s="174"/>
      <c r="C1511" s="123" t="s">
        <v>200</v>
      </c>
      <c r="D1511" s="123">
        <f t="shared" si="390"/>
        <v>350.10986399999996</v>
      </c>
      <c r="E1511" s="123">
        <v>0</v>
      </c>
      <c r="F1511" s="123">
        <f>D1511*(($F$422)+1)+(IF(E1511&lt;101,E1511,IF(E1511&lt;201,E1511/2,IF(E1511&lt;=301,E1511/3,E1511/4))))</f>
        <v>525.16479599999991</v>
      </c>
      <c r="G1511" s="174" t="str">
        <f t="shared" si="389"/>
        <v xml:space="preserve">2nd to 7th, 9th to 11th, 13rd to 15th, 17th to 19th, 21st to 23rd Floor </v>
      </c>
      <c r="H1511" s="174"/>
      <c r="I1511" s="38"/>
      <c r="N1511" s="38"/>
    </row>
    <row r="1512" spans="1:14" s="94" customFormat="1" ht="15.75" customHeight="1" x14ac:dyDescent="0.35">
      <c r="A1512" s="174">
        <f t="shared" si="388"/>
        <v>14</v>
      </c>
      <c r="B1512" s="174"/>
      <c r="C1512" s="123" t="s">
        <v>200</v>
      </c>
      <c r="D1512" s="123">
        <f t="shared" si="390"/>
        <v>350.10986399999996</v>
      </c>
      <c r="E1512" s="123">
        <v>0</v>
      </c>
      <c r="F1512" s="123">
        <f t="shared" ref="F1512" si="393">D1512*(($F$422)+1)+(IF(E1512&lt;101,E1512,IF(E1512&lt;201,E1512/2,IF(E1512&lt;=301,E1512/3,E1512/4))))</f>
        <v>525.16479599999991</v>
      </c>
      <c r="G1512" s="174" t="str">
        <f t="shared" si="389"/>
        <v xml:space="preserve">2nd to 7th, 9th to 11th, 13rd to 15th, 17th to 19th, 21st to 23rd Floor </v>
      </c>
      <c r="H1512" s="174"/>
      <c r="I1512" s="38"/>
      <c r="N1512" s="38"/>
    </row>
    <row r="1513" spans="1:14" s="94" customFormat="1" ht="15.75" customHeight="1" x14ac:dyDescent="0.35">
      <c r="A1513" s="174">
        <f t="shared" si="388"/>
        <v>15</v>
      </c>
      <c r="B1513" s="174"/>
      <c r="C1513" s="123" t="s">
        <v>200</v>
      </c>
      <c r="D1513" s="123">
        <f t="shared" si="390"/>
        <v>350.10986399999996</v>
      </c>
      <c r="E1513" s="123">
        <v>0</v>
      </c>
      <c r="F1513" s="123">
        <f>D1513*(($F$422)+1)+(IF(E1513&lt;101,E1513,IF(E1513&lt;201,E1513/2,IF(E1513&lt;=301,E1513/3,E1513/4))))</f>
        <v>525.16479599999991</v>
      </c>
      <c r="G1513" s="174" t="str">
        <f t="shared" si="389"/>
        <v xml:space="preserve">2nd to 7th, 9th to 11th, 13rd to 15th, 17th to 19th, 21st to 23rd Floor </v>
      </c>
      <c r="H1513" s="174"/>
      <c r="I1513" s="38"/>
      <c r="N1513" s="38"/>
    </row>
    <row r="1514" spans="1:14" s="94" customFormat="1" ht="15.75" customHeight="1" x14ac:dyDescent="0.35">
      <c r="A1514" s="174">
        <f t="shared" si="388"/>
        <v>16</v>
      </c>
      <c r="B1514" s="174"/>
      <c r="C1514" s="123" t="s">
        <v>200</v>
      </c>
      <c r="D1514" s="123">
        <f t="shared" si="390"/>
        <v>350.10986399999996</v>
      </c>
      <c r="E1514" s="123">
        <v>0</v>
      </c>
      <c r="F1514" s="123">
        <f t="shared" ref="F1514:F1515" si="394">D1514*(($F$422)+1)+(IF(E1514&lt;101,E1514,IF(E1514&lt;201,E1514/2,IF(E1514&lt;=301,E1514/3,E1514/4))))</f>
        <v>525.16479599999991</v>
      </c>
      <c r="G1514" s="174" t="str">
        <f t="shared" si="389"/>
        <v xml:space="preserve">2nd to 7th, 9th to 11th, 13rd to 15th, 17th to 19th, 21st to 23rd Floor </v>
      </c>
      <c r="H1514" s="174"/>
      <c r="I1514" s="38"/>
      <c r="N1514" s="38"/>
    </row>
    <row r="1515" spans="1:14" s="94" customFormat="1" ht="15.75" customHeight="1" x14ac:dyDescent="0.35">
      <c r="A1515" s="174">
        <f t="shared" si="388"/>
        <v>17</v>
      </c>
      <c r="B1515" s="174"/>
      <c r="C1515" s="123" t="s">
        <v>200</v>
      </c>
      <c r="D1515" s="123">
        <f t="shared" si="390"/>
        <v>350.10986399999996</v>
      </c>
      <c r="E1515" s="123">
        <v>0</v>
      </c>
      <c r="F1515" s="123">
        <f t="shared" si="394"/>
        <v>525.16479599999991</v>
      </c>
      <c r="G1515" s="174" t="str">
        <f t="shared" si="389"/>
        <v xml:space="preserve">2nd to 7th, 9th to 11th, 13rd to 15th, 17th to 19th, 21st to 23rd Floor </v>
      </c>
      <c r="H1515" s="174"/>
      <c r="I1515" s="38"/>
      <c r="N1515" s="38"/>
    </row>
    <row r="1516" spans="1:14" s="94" customFormat="1" ht="15.75" customHeight="1" x14ac:dyDescent="0.35">
      <c r="A1516" s="174">
        <f t="shared" si="388"/>
        <v>18</v>
      </c>
      <c r="B1516" s="174"/>
      <c r="C1516" s="123" t="s">
        <v>200</v>
      </c>
      <c r="D1516" s="123">
        <f t="shared" si="390"/>
        <v>350.10986399999996</v>
      </c>
      <c r="E1516" s="123">
        <v>0</v>
      </c>
      <c r="F1516" s="123">
        <f>D1516*(($F$422)+1)+(IF(E1516&lt;101,E1516,IF(E1516&lt;201,E1516/2,IF(E1516&lt;=301,E1516/3,E1516/4))))</f>
        <v>525.16479599999991</v>
      </c>
      <c r="G1516" s="174" t="str">
        <f t="shared" si="389"/>
        <v xml:space="preserve">2nd to 7th, 9th to 11th, 13rd to 15th, 17th to 19th, 21st to 23rd Floor </v>
      </c>
      <c r="H1516" s="174"/>
      <c r="I1516" s="38"/>
      <c r="N1516" s="38"/>
    </row>
    <row r="1517" spans="1:14" s="94" customFormat="1" ht="15.75" customHeight="1" x14ac:dyDescent="0.35">
      <c r="A1517" s="174">
        <f t="shared" si="388"/>
        <v>19</v>
      </c>
      <c r="B1517" s="174"/>
      <c r="C1517" s="123" t="s">
        <v>200</v>
      </c>
      <c r="D1517" s="123">
        <f t="shared" si="390"/>
        <v>350.10986399999996</v>
      </c>
      <c r="E1517" s="123">
        <v>0</v>
      </c>
      <c r="F1517" s="123">
        <f t="shared" ref="F1517:F1521" si="395">D1517*(($F$422)+1)+(IF(E1517&lt;101,E1517,IF(E1517&lt;201,E1517/2,IF(E1517&lt;=301,E1517/3,E1517/4))))</f>
        <v>525.16479599999991</v>
      </c>
      <c r="G1517" s="174" t="str">
        <f t="shared" si="389"/>
        <v xml:space="preserve">2nd to 7th, 9th to 11th, 13rd to 15th, 17th to 19th, 21st to 23rd Floor </v>
      </c>
      <c r="H1517" s="174"/>
      <c r="I1517" s="38"/>
      <c r="N1517" s="38"/>
    </row>
    <row r="1518" spans="1:14" s="94" customFormat="1" ht="15.75" customHeight="1" x14ac:dyDescent="0.35">
      <c r="A1518" s="174">
        <f t="shared" si="388"/>
        <v>20</v>
      </c>
      <c r="B1518" s="174"/>
      <c r="C1518" s="123" t="s">
        <v>200</v>
      </c>
      <c r="D1518" s="123">
        <f t="shared" si="390"/>
        <v>350.10986399999996</v>
      </c>
      <c r="E1518" s="123">
        <v>0</v>
      </c>
      <c r="F1518" s="123">
        <f t="shared" si="395"/>
        <v>525.16479599999991</v>
      </c>
      <c r="G1518" s="174" t="str">
        <f t="shared" si="389"/>
        <v xml:space="preserve">2nd to 7th, 9th to 11th, 13rd to 15th, 17th to 19th, 21st to 23rd Floor </v>
      </c>
      <c r="H1518" s="174"/>
      <c r="I1518" s="38"/>
      <c r="N1518" s="38"/>
    </row>
    <row r="1519" spans="1:14" s="94" customFormat="1" ht="15.75" customHeight="1" x14ac:dyDescent="0.35">
      <c r="A1519" s="174">
        <f t="shared" si="388"/>
        <v>21</v>
      </c>
      <c r="B1519" s="174"/>
      <c r="C1519" s="123" t="s">
        <v>200</v>
      </c>
      <c r="D1519" s="123">
        <f t="shared" si="390"/>
        <v>350.10986399999996</v>
      </c>
      <c r="E1519" s="123">
        <v>0</v>
      </c>
      <c r="F1519" s="123">
        <f t="shared" si="395"/>
        <v>525.16479599999991</v>
      </c>
      <c r="G1519" s="174" t="str">
        <f t="shared" si="389"/>
        <v xml:space="preserve">2nd to 7th, 9th to 11th, 13rd to 15th, 17th to 19th, 21st to 23rd Floor </v>
      </c>
      <c r="H1519" s="174"/>
      <c r="I1519" s="38"/>
      <c r="N1519" s="38"/>
    </row>
    <row r="1520" spans="1:14" s="94" customFormat="1" ht="15.75" customHeight="1" x14ac:dyDescent="0.35">
      <c r="A1520" s="174">
        <f t="shared" si="388"/>
        <v>22</v>
      </c>
      <c r="B1520" s="174"/>
      <c r="C1520" s="123" t="s">
        <v>200</v>
      </c>
      <c r="D1520" s="123">
        <f t="shared" si="390"/>
        <v>350.10986399999996</v>
      </c>
      <c r="E1520" s="123">
        <v>0</v>
      </c>
      <c r="F1520" s="123">
        <f t="shared" si="395"/>
        <v>525.16479599999991</v>
      </c>
      <c r="G1520" s="174" t="str">
        <f t="shared" si="389"/>
        <v xml:space="preserve">2nd to 7th, 9th to 11th, 13rd to 15th, 17th to 19th, 21st to 23rd Floor </v>
      </c>
      <c r="H1520" s="174"/>
      <c r="I1520" s="38"/>
      <c r="N1520" s="38"/>
    </row>
    <row r="1521" spans="1:14" s="94" customFormat="1" ht="15.75" customHeight="1" x14ac:dyDescent="0.35">
      <c r="A1521" s="174">
        <f t="shared" si="388"/>
        <v>23</v>
      </c>
      <c r="B1521" s="174"/>
      <c r="C1521" s="123" t="s">
        <v>200</v>
      </c>
      <c r="D1521" s="123">
        <f t="shared" si="390"/>
        <v>350.10986399999996</v>
      </c>
      <c r="E1521" s="123">
        <v>0</v>
      </c>
      <c r="F1521" s="123">
        <f t="shared" si="395"/>
        <v>525.16479599999991</v>
      </c>
      <c r="G1521" s="174" t="str">
        <f t="shared" si="389"/>
        <v xml:space="preserve">2nd to 7th, 9th to 11th, 13rd to 15th, 17th to 19th, 21st to 23rd Floor </v>
      </c>
      <c r="H1521" s="174"/>
      <c r="I1521" s="38"/>
      <c r="N1521" s="38"/>
    </row>
    <row r="1522" spans="1:14" s="94" customFormat="1" ht="15.75" customHeight="1" x14ac:dyDescent="0.35">
      <c r="A1522" s="174">
        <f t="shared" si="388"/>
        <v>24</v>
      </c>
      <c r="B1522" s="174"/>
      <c r="C1522" s="123" t="s">
        <v>200</v>
      </c>
      <c r="D1522" s="123">
        <f t="shared" si="390"/>
        <v>350.10986399999996</v>
      </c>
      <c r="E1522" s="123">
        <v>0</v>
      </c>
      <c r="F1522" s="123">
        <f>D1522*(($F$422)+1)+(IF(E1522&lt;101,E1522,IF(E1522&lt;201,E1522/2,IF(E1522&lt;=301,E1522/3,E1522/4))))</f>
        <v>525.16479599999991</v>
      </c>
      <c r="G1522" s="174" t="str">
        <f t="shared" si="389"/>
        <v xml:space="preserve">2nd to 7th, 9th to 11th, 13rd to 15th, 17th to 19th, 21st to 23rd Floor </v>
      </c>
      <c r="H1522" s="174"/>
      <c r="I1522" s="38"/>
      <c r="N1522" s="38"/>
    </row>
    <row r="1523" spans="1:14" s="94" customFormat="1" ht="15.75" customHeight="1" x14ac:dyDescent="0.35">
      <c r="A1523" s="174">
        <f t="shared" si="388"/>
        <v>25</v>
      </c>
      <c r="B1523" s="174"/>
      <c r="C1523" s="123" t="s">
        <v>200</v>
      </c>
      <c r="D1523" s="123">
        <f t="shared" si="390"/>
        <v>350.10986399999996</v>
      </c>
      <c r="E1523" s="123">
        <v>0</v>
      </c>
      <c r="F1523" s="123">
        <f t="shared" ref="F1523:F1529" si="396">D1523*(($F$422)+1)+(IF(E1523&lt;101,E1523,IF(E1523&lt;201,E1523/2,IF(E1523&lt;=301,E1523/3,E1523/4))))</f>
        <v>525.16479599999991</v>
      </c>
      <c r="G1523" s="174" t="str">
        <f t="shared" si="389"/>
        <v xml:space="preserve">2nd to 7th, 9th to 11th, 13rd to 15th, 17th to 19th, 21st to 23rd Floor </v>
      </c>
      <c r="H1523" s="174"/>
      <c r="I1523" s="38"/>
      <c r="N1523" s="38"/>
    </row>
    <row r="1524" spans="1:14" s="94" customFormat="1" ht="15.75" customHeight="1" x14ac:dyDescent="0.35">
      <c r="A1524" s="174">
        <f t="shared" si="388"/>
        <v>26</v>
      </c>
      <c r="B1524" s="174"/>
      <c r="C1524" s="123" t="s">
        <v>200</v>
      </c>
      <c r="D1524" s="123">
        <f t="shared" si="390"/>
        <v>350.10986399999996</v>
      </c>
      <c r="E1524" s="123">
        <v>0</v>
      </c>
      <c r="F1524" s="123">
        <f t="shared" si="396"/>
        <v>525.16479599999991</v>
      </c>
      <c r="G1524" s="174" t="str">
        <f t="shared" si="389"/>
        <v xml:space="preserve">2nd to 7th, 9th to 11th, 13rd to 15th, 17th to 19th, 21st to 23rd Floor </v>
      </c>
      <c r="H1524" s="174"/>
      <c r="I1524" s="38"/>
      <c r="N1524" s="38"/>
    </row>
    <row r="1525" spans="1:14" s="94" customFormat="1" ht="15.75" customHeight="1" x14ac:dyDescent="0.35">
      <c r="A1525" s="174">
        <f t="shared" si="388"/>
        <v>27</v>
      </c>
      <c r="B1525" s="174"/>
      <c r="C1525" s="123" t="s">
        <v>200</v>
      </c>
      <c r="D1525" s="123">
        <f t="shared" si="390"/>
        <v>350.10986399999996</v>
      </c>
      <c r="E1525" s="123">
        <v>0</v>
      </c>
      <c r="F1525" s="123">
        <f t="shared" si="396"/>
        <v>525.16479599999991</v>
      </c>
      <c r="G1525" s="174" t="str">
        <f t="shared" si="389"/>
        <v xml:space="preserve">2nd to 7th, 9th to 11th, 13rd to 15th, 17th to 19th, 21st to 23rd Floor </v>
      </c>
      <c r="H1525" s="174"/>
      <c r="I1525" s="38"/>
      <c r="N1525" s="38"/>
    </row>
    <row r="1526" spans="1:14" s="94" customFormat="1" ht="15.75" customHeight="1" x14ac:dyDescent="0.35">
      <c r="A1526" s="174">
        <f t="shared" si="388"/>
        <v>28</v>
      </c>
      <c r="B1526" s="174"/>
      <c r="C1526" s="123" t="s">
        <v>200</v>
      </c>
      <c r="D1526" s="123">
        <f t="shared" si="390"/>
        <v>350.10986399999996</v>
      </c>
      <c r="E1526" s="123">
        <v>0</v>
      </c>
      <c r="F1526" s="123">
        <f t="shared" si="396"/>
        <v>525.16479599999991</v>
      </c>
      <c r="G1526" s="174" t="str">
        <f t="shared" si="389"/>
        <v xml:space="preserve">2nd to 7th, 9th to 11th, 13rd to 15th, 17th to 19th, 21st to 23rd Floor </v>
      </c>
      <c r="H1526" s="174"/>
      <c r="I1526" s="38"/>
      <c r="N1526" s="38"/>
    </row>
    <row r="1527" spans="1:14" s="94" customFormat="1" ht="15.75" customHeight="1" x14ac:dyDescent="0.35">
      <c r="A1527" s="174">
        <f t="shared" si="388"/>
        <v>29</v>
      </c>
      <c r="B1527" s="174"/>
      <c r="C1527" s="123" t="s">
        <v>200</v>
      </c>
      <c r="D1527" s="123">
        <f t="shared" si="390"/>
        <v>350.10986399999996</v>
      </c>
      <c r="E1527" s="123">
        <v>0</v>
      </c>
      <c r="F1527" s="123">
        <f t="shared" si="396"/>
        <v>525.16479599999991</v>
      </c>
      <c r="G1527" s="174" t="str">
        <f t="shared" si="389"/>
        <v xml:space="preserve">2nd to 7th, 9th to 11th, 13rd to 15th, 17th to 19th, 21st to 23rd Floor </v>
      </c>
      <c r="H1527" s="174"/>
      <c r="I1527" s="38"/>
      <c r="N1527" s="38"/>
    </row>
    <row r="1528" spans="1:14" s="94" customFormat="1" ht="15.75" customHeight="1" x14ac:dyDescent="0.35">
      <c r="A1528" s="174">
        <f t="shared" si="388"/>
        <v>30</v>
      </c>
      <c r="B1528" s="174"/>
      <c r="C1528" s="123" t="s">
        <v>200</v>
      </c>
      <c r="D1528" s="123">
        <f t="shared" si="390"/>
        <v>350.10986399999996</v>
      </c>
      <c r="E1528" s="123">
        <v>0</v>
      </c>
      <c r="F1528" s="123">
        <f t="shared" si="396"/>
        <v>525.16479599999991</v>
      </c>
      <c r="G1528" s="174" t="str">
        <f t="shared" si="389"/>
        <v xml:space="preserve">2nd to 7th, 9th to 11th, 13rd to 15th, 17th to 19th, 21st to 23rd Floor </v>
      </c>
      <c r="H1528" s="174"/>
      <c r="I1528" s="38"/>
      <c r="N1528" s="38"/>
    </row>
    <row r="1529" spans="1:14" s="94" customFormat="1" ht="15.75" customHeight="1" x14ac:dyDescent="0.35">
      <c r="A1529" s="174">
        <f t="shared" si="388"/>
        <v>31</v>
      </c>
      <c r="B1529" s="174"/>
      <c r="C1529" s="123" t="s">
        <v>200</v>
      </c>
      <c r="D1529" s="123">
        <f t="shared" si="390"/>
        <v>350.10986399999996</v>
      </c>
      <c r="E1529" s="123">
        <v>0</v>
      </c>
      <c r="F1529" s="123">
        <f t="shared" si="396"/>
        <v>525.16479599999991</v>
      </c>
      <c r="G1529" s="174" t="str">
        <f t="shared" si="389"/>
        <v xml:space="preserve">2nd to 7th, 9th to 11th, 13rd to 15th, 17th to 19th, 21st to 23rd Floor </v>
      </c>
      <c r="H1529" s="174"/>
      <c r="I1529" s="38"/>
      <c r="N1529" s="38"/>
    </row>
    <row r="1530" spans="1:14" s="94" customFormat="1" ht="15.75" customHeight="1" x14ac:dyDescent="0.35">
      <c r="A1530" s="174">
        <f t="shared" si="388"/>
        <v>32</v>
      </c>
      <c r="B1530" s="174"/>
      <c r="C1530" s="123" t="s">
        <v>200</v>
      </c>
      <c r="D1530" s="123">
        <f t="shared" si="390"/>
        <v>350.10986399999996</v>
      </c>
      <c r="E1530" s="123">
        <v>0</v>
      </c>
      <c r="F1530" s="123">
        <f>D1530*(($F$422)+1)+(IF(E1530&lt;101,E1530,IF(E1530&lt;201,E1530/2,IF(E1530&lt;=301,E1530/3,E1530/4))))</f>
        <v>525.16479599999991</v>
      </c>
      <c r="G1530" s="174" t="str">
        <f t="shared" si="389"/>
        <v xml:space="preserve">2nd to 7th, 9th to 11th, 13rd to 15th, 17th to 19th, 21st to 23rd Floor </v>
      </c>
      <c r="H1530" s="174"/>
      <c r="I1530" s="38"/>
      <c r="N1530" s="38"/>
    </row>
    <row r="1531" spans="1:14" s="94" customFormat="1" ht="15.75" customHeight="1" x14ac:dyDescent="0.35">
      <c r="A1531" s="174">
        <f t="shared" si="388"/>
        <v>33</v>
      </c>
      <c r="B1531" s="174"/>
      <c r="C1531" s="123" t="s">
        <v>200</v>
      </c>
      <c r="D1531" s="123">
        <f t="shared" si="390"/>
        <v>350.10986399999996</v>
      </c>
      <c r="E1531" s="123">
        <v>0</v>
      </c>
      <c r="F1531" s="123">
        <f t="shared" ref="F1531:F1538" si="397">D1531*(($F$422)+1)+(IF(E1531&lt;101,E1531,IF(E1531&lt;201,E1531/2,IF(E1531&lt;=301,E1531/3,E1531/4))))</f>
        <v>525.16479599999991</v>
      </c>
      <c r="G1531" s="174" t="str">
        <f t="shared" si="389"/>
        <v xml:space="preserve">2nd to 7th, 9th to 11th, 13rd to 15th, 17th to 19th, 21st to 23rd Floor </v>
      </c>
      <c r="H1531" s="174"/>
      <c r="I1531" s="38"/>
      <c r="N1531" s="38"/>
    </row>
    <row r="1532" spans="1:14" s="94" customFormat="1" ht="15.75" customHeight="1" x14ac:dyDescent="0.35">
      <c r="A1532" s="174">
        <f t="shared" si="388"/>
        <v>34</v>
      </c>
      <c r="B1532" s="174"/>
      <c r="C1532" s="123" t="s">
        <v>200</v>
      </c>
      <c r="D1532" s="123">
        <f t="shared" si="390"/>
        <v>350.10986399999996</v>
      </c>
      <c r="E1532" s="123">
        <v>0</v>
      </c>
      <c r="F1532" s="123">
        <f t="shared" si="397"/>
        <v>525.16479599999991</v>
      </c>
      <c r="G1532" s="174" t="str">
        <f t="shared" si="389"/>
        <v xml:space="preserve">2nd to 7th, 9th to 11th, 13rd to 15th, 17th to 19th, 21st to 23rd Floor </v>
      </c>
      <c r="H1532" s="174"/>
      <c r="I1532" s="38"/>
      <c r="N1532" s="38"/>
    </row>
    <row r="1533" spans="1:14" s="94" customFormat="1" ht="15.75" customHeight="1" x14ac:dyDescent="0.35">
      <c r="A1533" s="174">
        <f t="shared" si="388"/>
        <v>35</v>
      </c>
      <c r="B1533" s="174"/>
      <c r="C1533" s="123" t="s">
        <v>200</v>
      </c>
      <c r="D1533" s="123">
        <f t="shared" si="390"/>
        <v>350.10986399999996</v>
      </c>
      <c r="E1533" s="123">
        <v>0</v>
      </c>
      <c r="F1533" s="123">
        <f t="shared" si="397"/>
        <v>525.16479599999991</v>
      </c>
      <c r="G1533" s="174" t="str">
        <f t="shared" si="389"/>
        <v xml:space="preserve">2nd to 7th, 9th to 11th, 13rd to 15th, 17th to 19th, 21st to 23rd Floor </v>
      </c>
      <c r="H1533" s="174"/>
      <c r="I1533" s="38"/>
      <c r="N1533" s="38"/>
    </row>
    <row r="1534" spans="1:14" s="94" customFormat="1" ht="15.75" customHeight="1" x14ac:dyDescent="0.35">
      <c r="A1534" s="174">
        <f t="shared" si="388"/>
        <v>36</v>
      </c>
      <c r="B1534" s="174"/>
      <c r="C1534" s="123" t="s">
        <v>200</v>
      </c>
      <c r="D1534" s="123">
        <f t="shared" si="390"/>
        <v>350.10986399999996</v>
      </c>
      <c r="E1534" s="123">
        <v>0</v>
      </c>
      <c r="F1534" s="123">
        <f t="shared" si="397"/>
        <v>525.16479599999991</v>
      </c>
      <c r="G1534" s="174" t="str">
        <f t="shared" si="389"/>
        <v xml:space="preserve">2nd to 7th, 9th to 11th, 13rd to 15th, 17th to 19th, 21st to 23rd Floor </v>
      </c>
      <c r="H1534" s="174"/>
      <c r="I1534" s="38"/>
      <c r="N1534" s="38"/>
    </row>
    <row r="1535" spans="1:14" s="94" customFormat="1" ht="15.75" customHeight="1" x14ac:dyDescent="0.35">
      <c r="A1535" s="174">
        <f t="shared" si="388"/>
        <v>37</v>
      </c>
      <c r="B1535" s="174"/>
      <c r="C1535" s="123" t="s">
        <v>200</v>
      </c>
      <c r="D1535" s="123">
        <f t="shared" si="390"/>
        <v>350.10986399999996</v>
      </c>
      <c r="E1535" s="123">
        <v>0</v>
      </c>
      <c r="F1535" s="123">
        <f t="shared" si="397"/>
        <v>525.16479599999991</v>
      </c>
      <c r="G1535" s="174" t="str">
        <f t="shared" si="389"/>
        <v xml:space="preserve">2nd to 7th, 9th to 11th, 13rd to 15th, 17th to 19th, 21st to 23rd Floor </v>
      </c>
      <c r="H1535" s="174"/>
      <c r="I1535" s="38"/>
      <c r="N1535" s="38"/>
    </row>
    <row r="1536" spans="1:14" s="94" customFormat="1" ht="15.75" customHeight="1" x14ac:dyDescent="0.35">
      <c r="A1536" s="174">
        <f t="shared" si="388"/>
        <v>38</v>
      </c>
      <c r="B1536" s="174"/>
      <c r="C1536" s="123" t="s">
        <v>200</v>
      </c>
      <c r="D1536" s="123">
        <f t="shared" si="390"/>
        <v>350.10986399999996</v>
      </c>
      <c r="E1536" s="123">
        <v>0</v>
      </c>
      <c r="F1536" s="123">
        <f t="shared" si="397"/>
        <v>525.16479599999991</v>
      </c>
      <c r="G1536" s="174" t="str">
        <f t="shared" si="389"/>
        <v xml:space="preserve">2nd to 7th, 9th to 11th, 13rd to 15th, 17th to 19th, 21st to 23rd Floor </v>
      </c>
      <c r="H1536" s="174"/>
      <c r="I1536" s="38"/>
      <c r="N1536" s="38"/>
    </row>
    <row r="1537" spans="1:14" s="94" customFormat="1" ht="15.75" customHeight="1" x14ac:dyDescent="0.35">
      <c r="A1537" s="174">
        <f t="shared" si="388"/>
        <v>39</v>
      </c>
      <c r="B1537" s="174"/>
      <c r="C1537" s="123" t="s">
        <v>200</v>
      </c>
      <c r="D1537" s="123">
        <f t="shared" si="390"/>
        <v>350.10986399999996</v>
      </c>
      <c r="E1537" s="123">
        <v>0</v>
      </c>
      <c r="F1537" s="123">
        <f t="shared" si="397"/>
        <v>525.16479599999991</v>
      </c>
      <c r="G1537" s="174" t="str">
        <f t="shared" si="389"/>
        <v xml:space="preserve">2nd to 7th, 9th to 11th, 13rd to 15th, 17th to 19th, 21st to 23rd Floor </v>
      </c>
      <c r="H1537" s="174"/>
      <c r="I1537" s="38"/>
      <c r="N1537" s="38"/>
    </row>
    <row r="1538" spans="1:14" s="94" customFormat="1" ht="15.75" customHeight="1" x14ac:dyDescent="0.35">
      <c r="A1538" s="174">
        <f t="shared" si="388"/>
        <v>40</v>
      </c>
      <c r="B1538" s="174"/>
      <c r="C1538" s="123" t="s">
        <v>200</v>
      </c>
      <c r="D1538" s="123">
        <f t="shared" si="390"/>
        <v>350.10986399999996</v>
      </c>
      <c r="E1538" s="123">
        <v>0</v>
      </c>
      <c r="F1538" s="123">
        <f t="shared" si="397"/>
        <v>525.16479599999991</v>
      </c>
      <c r="G1538" s="174" t="str">
        <f t="shared" si="389"/>
        <v xml:space="preserve">2nd to 7th, 9th to 11th, 13rd to 15th, 17th to 19th, 21st to 23rd Floor </v>
      </c>
      <c r="H1538" s="174"/>
      <c r="I1538" s="38"/>
      <c r="N1538" s="38"/>
    </row>
    <row r="1539" spans="1:14" s="94" customFormat="1" x14ac:dyDescent="0.35">
      <c r="A1539" s="183" t="s">
        <v>173</v>
      </c>
      <c r="B1539" s="183"/>
      <c r="C1539" s="183"/>
      <c r="D1539" s="183"/>
      <c r="E1539" s="183"/>
      <c r="F1539" s="183"/>
      <c r="G1539" s="183"/>
      <c r="H1539" s="183"/>
      <c r="I1539" s="38"/>
      <c r="L1539" s="182"/>
      <c r="M1539" s="182"/>
    </row>
    <row r="1540" spans="1:14" s="94" customFormat="1" ht="15.75" customHeight="1" x14ac:dyDescent="0.35">
      <c r="A1540" s="174">
        <v>1</v>
      </c>
      <c r="B1540" s="174"/>
      <c r="C1540" s="123" t="s">
        <v>200</v>
      </c>
      <c r="D1540" s="123">
        <f>(23.07+1.8*(1.5+1.2)+0.45*1.68+3.2*0.75+1.2*1.2)*10.764</f>
        <v>350.10986399999996</v>
      </c>
      <c r="E1540" s="123">
        <v>0</v>
      </c>
      <c r="F1540" s="123">
        <f t="shared" ref="F1540:F1541" si="398">D1540*(($F$422)+1)+(IF(E1540&lt;101,E1540,IF(E1540&lt;201,E1540/2,IF(E1540&lt;=301,E1540/3,E1540/4))))</f>
        <v>525.16479599999991</v>
      </c>
      <c r="G1540" s="174" t="str">
        <f>A1539</f>
        <v>8th, 12th, 16th &amp; 20th Floor (Part refuge area)</v>
      </c>
      <c r="H1540" s="174"/>
      <c r="I1540" s="38"/>
      <c r="N1540" s="38"/>
    </row>
    <row r="1541" spans="1:14" s="94" customFormat="1" ht="15.75" customHeight="1" x14ac:dyDescent="0.35">
      <c r="A1541" s="174">
        <f t="shared" ref="A1541:A1579" si="399">A1540+1</f>
        <v>2</v>
      </c>
      <c r="B1541" s="174"/>
      <c r="C1541" s="123" t="s">
        <v>200</v>
      </c>
      <c r="D1541" s="123">
        <f>(23.07+1.8*(1.5+1.2)+0.45*1.68+3.2*0.75+1.2*1.2)*10.764</f>
        <v>350.10986399999996</v>
      </c>
      <c r="E1541" s="123">
        <v>0</v>
      </c>
      <c r="F1541" s="123">
        <f t="shared" si="398"/>
        <v>525.16479599999991</v>
      </c>
      <c r="G1541" s="174" t="str">
        <f t="shared" ref="G1541:G1579" si="400">G1540</f>
        <v>8th, 12th, 16th &amp; 20th Floor (Part refuge area)</v>
      </c>
      <c r="H1541" s="174"/>
      <c r="I1541" s="38"/>
      <c r="N1541" s="38"/>
    </row>
    <row r="1542" spans="1:14" s="94" customFormat="1" ht="15.75" customHeight="1" x14ac:dyDescent="0.35">
      <c r="A1542" s="174">
        <f t="shared" si="399"/>
        <v>3</v>
      </c>
      <c r="B1542" s="174"/>
      <c r="C1542" s="123" t="s">
        <v>200</v>
      </c>
      <c r="D1542" s="123">
        <f t="shared" ref="D1542:D1579" si="401">(23.07+1.8*(1.5+1.2)+0.45*1.68+3.2*0.75+1.2*1.2)*10.764</f>
        <v>350.10986399999996</v>
      </c>
      <c r="E1542" s="123">
        <v>0</v>
      </c>
      <c r="F1542" s="123">
        <f>D1542*(($F$422)+1)+(IF(E1542&lt;101,E1542,IF(E1542&lt;201,E1542/2,IF(E1542&lt;=301,E1542/3,E1542/4))))</f>
        <v>525.16479599999991</v>
      </c>
      <c r="G1542" s="174" t="str">
        <f t="shared" si="400"/>
        <v>8th, 12th, 16th &amp; 20th Floor (Part refuge area)</v>
      </c>
      <c r="H1542" s="174"/>
      <c r="I1542" s="38"/>
      <c r="N1542" s="38"/>
    </row>
    <row r="1543" spans="1:14" s="94" customFormat="1" ht="15.75" customHeight="1" x14ac:dyDescent="0.35">
      <c r="A1543" s="174">
        <f t="shared" si="399"/>
        <v>4</v>
      </c>
      <c r="B1543" s="174"/>
      <c r="C1543" s="123" t="s">
        <v>200</v>
      </c>
      <c r="D1543" s="123">
        <f t="shared" si="401"/>
        <v>350.10986399999996</v>
      </c>
      <c r="E1543" s="123">
        <v>0</v>
      </c>
      <c r="F1543" s="123">
        <f>D1543*(($F$422)+1)+(IF(E1543&lt;101,E1543,IF(E1543&lt;201,E1543/2,IF(E1543&lt;=301,E1543/3,E1543/4))))</f>
        <v>525.16479599999991</v>
      </c>
      <c r="G1543" s="174" t="str">
        <f t="shared" si="400"/>
        <v>8th, 12th, 16th &amp; 20th Floor (Part refuge area)</v>
      </c>
      <c r="H1543" s="174"/>
      <c r="I1543" s="38"/>
      <c r="N1543" s="38"/>
    </row>
    <row r="1544" spans="1:14" s="94" customFormat="1" ht="15.75" customHeight="1" x14ac:dyDescent="0.35">
      <c r="A1544" s="174">
        <f t="shared" si="399"/>
        <v>5</v>
      </c>
      <c r="B1544" s="174"/>
      <c r="C1544" s="174" t="s">
        <v>172</v>
      </c>
      <c r="D1544" s="174"/>
      <c r="E1544" s="174"/>
      <c r="F1544" s="174"/>
      <c r="G1544" s="174" t="str">
        <f t="shared" si="400"/>
        <v>8th, 12th, 16th &amp; 20th Floor (Part refuge area)</v>
      </c>
      <c r="H1544" s="174"/>
      <c r="I1544" s="38"/>
      <c r="N1544" s="38"/>
    </row>
    <row r="1545" spans="1:14" s="94" customFormat="1" ht="15.75" customHeight="1" x14ac:dyDescent="0.35">
      <c r="A1545" s="174">
        <f t="shared" si="399"/>
        <v>6</v>
      </c>
      <c r="B1545" s="174"/>
      <c r="C1545" s="174"/>
      <c r="D1545" s="174"/>
      <c r="E1545" s="174"/>
      <c r="F1545" s="174"/>
      <c r="G1545" s="174" t="str">
        <f t="shared" si="400"/>
        <v>8th, 12th, 16th &amp; 20th Floor (Part refuge area)</v>
      </c>
      <c r="H1545" s="174"/>
      <c r="I1545" s="38"/>
      <c r="N1545" s="38"/>
    </row>
    <row r="1546" spans="1:14" s="94" customFormat="1" ht="15.75" customHeight="1" x14ac:dyDescent="0.35">
      <c r="A1546" s="174">
        <f t="shared" si="399"/>
        <v>7</v>
      </c>
      <c r="B1546" s="174"/>
      <c r="C1546" s="123" t="s">
        <v>200</v>
      </c>
      <c r="D1546" s="123">
        <f t="shared" si="401"/>
        <v>350.10986399999996</v>
      </c>
      <c r="E1546" s="123">
        <v>0</v>
      </c>
      <c r="F1546" s="123">
        <f>D1546*(($F$422)+1)+(IF(E1546&lt;101,E1546,IF(E1546&lt;201,E1546/2,IF(E1546&lt;=301,E1546/3,E1546/4))))</f>
        <v>525.16479599999991</v>
      </c>
      <c r="G1546" s="174" t="str">
        <f t="shared" si="400"/>
        <v>8th, 12th, 16th &amp; 20th Floor (Part refuge area)</v>
      </c>
      <c r="H1546" s="174"/>
      <c r="I1546" s="38"/>
      <c r="N1546" s="38"/>
    </row>
    <row r="1547" spans="1:14" s="94" customFormat="1" ht="15.75" customHeight="1" x14ac:dyDescent="0.35">
      <c r="A1547" s="174">
        <f t="shared" si="399"/>
        <v>8</v>
      </c>
      <c r="B1547" s="174"/>
      <c r="C1547" s="123" t="s">
        <v>200</v>
      </c>
      <c r="D1547" s="123">
        <f t="shared" si="401"/>
        <v>350.10986399999996</v>
      </c>
      <c r="E1547" s="123">
        <v>0</v>
      </c>
      <c r="F1547" s="123">
        <f>D1547*(($F$422)+1)+(IF(E1547&lt;101,E1547,IF(E1547&lt;201,E1547/2,IF(E1547&lt;=301,E1547/3,E1547/4))))</f>
        <v>525.16479599999991</v>
      </c>
      <c r="G1547" s="174" t="str">
        <f t="shared" si="400"/>
        <v>8th, 12th, 16th &amp; 20th Floor (Part refuge area)</v>
      </c>
      <c r="H1547" s="174"/>
      <c r="I1547" s="38"/>
      <c r="N1547" s="38"/>
    </row>
    <row r="1548" spans="1:14" s="94" customFormat="1" ht="15.75" customHeight="1" x14ac:dyDescent="0.35">
      <c r="A1548" s="174">
        <f t="shared" si="399"/>
        <v>9</v>
      </c>
      <c r="B1548" s="174"/>
      <c r="C1548" s="123" t="s">
        <v>200</v>
      </c>
      <c r="D1548" s="123">
        <f t="shared" si="401"/>
        <v>350.10986399999996</v>
      </c>
      <c r="E1548" s="123">
        <v>0</v>
      </c>
      <c r="F1548" s="123">
        <f t="shared" ref="F1548:F1551" si="402">D1548*(($F$422)+1)+(IF(E1548&lt;101,E1548,IF(E1548&lt;201,E1548/2,IF(E1548&lt;=301,E1548/3,E1548/4))))</f>
        <v>525.16479599999991</v>
      </c>
      <c r="G1548" s="174" t="str">
        <f t="shared" si="400"/>
        <v>8th, 12th, 16th &amp; 20th Floor (Part refuge area)</v>
      </c>
      <c r="H1548" s="174"/>
      <c r="I1548" s="38"/>
      <c r="N1548" s="38"/>
    </row>
    <row r="1549" spans="1:14" s="94" customFormat="1" ht="15.75" customHeight="1" x14ac:dyDescent="0.35">
      <c r="A1549" s="174">
        <f t="shared" si="399"/>
        <v>10</v>
      </c>
      <c r="B1549" s="174"/>
      <c r="C1549" s="123" t="s">
        <v>200</v>
      </c>
      <c r="D1549" s="123">
        <f t="shared" si="401"/>
        <v>350.10986399999996</v>
      </c>
      <c r="E1549" s="123">
        <v>0</v>
      </c>
      <c r="F1549" s="123">
        <f t="shared" si="402"/>
        <v>525.16479599999991</v>
      </c>
      <c r="G1549" s="174" t="str">
        <f t="shared" si="400"/>
        <v>8th, 12th, 16th &amp; 20th Floor (Part refuge area)</v>
      </c>
      <c r="H1549" s="174"/>
      <c r="I1549" s="38"/>
      <c r="N1549" s="38"/>
    </row>
    <row r="1550" spans="1:14" s="94" customFormat="1" ht="15.75" customHeight="1" x14ac:dyDescent="0.35">
      <c r="A1550" s="174">
        <f t="shared" si="399"/>
        <v>11</v>
      </c>
      <c r="B1550" s="174"/>
      <c r="C1550" s="123" t="s">
        <v>200</v>
      </c>
      <c r="D1550" s="123">
        <f t="shared" si="401"/>
        <v>350.10986399999996</v>
      </c>
      <c r="E1550" s="123">
        <v>0</v>
      </c>
      <c r="F1550" s="123">
        <f t="shared" si="402"/>
        <v>525.16479599999991</v>
      </c>
      <c r="G1550" s="174" t="str">
        <f t="shared" si="400"/>
        <v>8th, 12th, 16th &amp; 20th Floor (Part refuge area)</v>
      </c>
      <c r="H1550" s="174"/>
      <c r="I1550" s="38"/>
      <c r="N1550" s="38"/>
    </row>
    <row r="1551" spans="1:14" s="94" customFormat="1" ht="15.75" customHeight="1" x14ac:dyDescent="0.35">
      <c r="A1551" s="174">
        <f t="shared" si="399"/>
        <v>12</v>
      </c>
      <c r="B1551" s="174"/>
      <c r="C1551" s="123" t="s">
        <v>200</v>
      </c>
      <c r="D1551" s="123">
        <f t="shared" si="401"/>
        <v>350.10986399999996</v>
      </c>
      <c r="E1551" s="123">
        <v>0</v>
      </c>
      <c r="F1551" s="123">
        <f t="shared" si="402"/>
        <v>525.16479599999991</v>
      </c>
      <c r="G1551" s="174" t="str">
        <f t="shared" si="400"/>
        <v>8th, 12th, 16th &amp; 20th Floor (Part refuge area)</v>
      </c>
      <c r="H1551" s="174"/>
      <c r="I1551" s="38"/>
      <c r="N1551" s="38"/>
    </row>
    <row r="1552" spans="1:14" s="94" customFormat="1" ht="15.75" customHeight="1" x14ac:dyDescent="0.35">
      <c r="A1552" s="174">
        <f t="shared" si="399"/>
        <v>13</v>
      </c>
      <c r="B1552" s="174"/>
      <c r="C1552" s="123" t="s">
        <v>200</v>
      </c>
      <c r="D1552" s="123">
        <f t="shared" si="401"/>
        <v>350.10986399999996</v>
      </c>
      <c r="E1552" s="123">
        <v>0</v>
      </c>
      <c r="F1552" s="123">
        <f>D1552*(($F$422)+1)+(IF(E1552&lt;101,E1552,IF(E1552&lt;201,E1552/2,IF(E1552&lt;=301,E1552/3,E1552/4))))</f>
        <v>525.16479599999991</v>
      </c>
      <c r="G1552" s="174" t="str">
        <f t="shared" si="400"/>
        <v>8th, 12th, 16th &amp; 20th Floor (Part refuge area)</v>
      </c>
      <c r="H1552" s="174"/>
      <c r="I1552" s="38"/>
      <c r="N1552" s="38"/>
    </row>
    <row r="1553" spans="1:14" s="94" customFormat="1" ht="15.75" customHeight="1" x14ac:dyDescent="0.35">
      <c r="A1553" s="174">
        <f t="shared" si="399"/>
        <v>14</v>
      </c>
      <c r="B1553" s="174"/>
      <c r="C1553" s="123" t="s">
        <v>200</v>
      </c>
      <c r="D1553" s="123">
        <f t="shared" si="401"/>
        <v>350.10986399999996</v>
      </c>
      <c r="E1553" s="123">
        <v>0</v>
      </c>
      <c r="F1553" s="123">
        <f t="shared" ref="F1553" si="403">D1553*(($F$422)+1)+(IF(E1553&lt;101,E1553,IF(E1553&lt;201,E1553/2,IF(E1553&lt;=301,E1553/3,E1553/4))))</f>
        <v>525.16479599999991</v>
      </c>
      <c r="G1553" s="174" t="str">
        <f t="shared" si="400"/>
        <v>8th, 12th, 16th &amp; 20th Floor (Part refuge area)</v>
      </c>
      <c r="H1553" s="174"/>
      <c r="I1553" s="38"/>
      <c r="N1553" s="38"/>
    </row>
    <row r="1554" spans="1:14" s="94" customFormat="1" ht="15.75" customHeight="1" x14ac:dyDescent="0.35">
      <c r="A1554" s="174">
        <f t="shared" si="399"/>
        <v>15</v>
      </c>
      <c r="B1554" s="174"/>
      <c r="C1554" s="123" t="s">
        <v>200</v>
      </c>
      <c r="D1554" s="123">
        <f t="shared" si="401"/>
        <v>350.10986399999996</v>
      </c>
      <c r="E1554" s="123">
        <v>0</v>
      </c>
      <c r="F1554" s="123">
        <f>D1554*(($F$422)+1)+(IF(E1554&lt;101,E1554,IF(E1554&lt;201,E1554/2,IF(E1554&lt;=301,E1554/3,E1554/4))))</f>
        <v>525.16479599999991</v>
      </c>
      <c r="G1554" s="174" t="str">
        <f t="shared" si="400"/>
        <v>8th, 12th, 16th &amp; 20th Floor (Part refuge area)</v>
      </c>
      <c r="H1554" s="174"/>
      <c r="I1554" s="38"/>
      <c r="N1554" s="38"/>
    </row>
    <row r="1555" spans="1:14" s="94" customFormat="1" ht="15.75" customHeight="1" x14ac:dyDescent="0.35">
      <c r="A1555" s="174">
        <f t="shared" si="399"/>
        <v>16</v>
      </c>
      <c r="B1555" s="174"/>
      <c r="C1555" s="123" t="s">
        <v>200</v>
      </c>
      <c r="D1555" s="123">
        <f t="shared" si="401"/>
        <v>350.10986399999996</v>
      </c>
      <c r="E1555" s="123">
        <v>0</v>
      </c>
      <c r="F1555" s="123">
        <f t="shared" ref="F1555:F1556" si="404">D1555*(($F$422)+1)+(IF(E1555&lt;101,E1555,IF(E1555&lt;201,E1555/2,IF(E1555&lt;=301,E1555/3,E1555/4))))</f>
        <v>525.16479599999991</v>
      </c>
      <c r="G1555" s="174" t="str">
        <f t="shared" si="400"/>
        <v>8th, 12th, 16th &amp; 20th Floor (Part refuge area)</v>
      </c>
      <c r="H1555" s="174"/>
      <c r="I1555" s="38"/>
      <c r="N1555" s="38"/>
    </row>
    <row r="1556" spans="1:14" s="94" customFormat="1" ht="15.75" customHeight="1" x14ac:dyDescent="0.35">
      <c r="A1556" s="174">
        <f t="shared" si="399"/>
        <v>17</v>
      </c>
      <c r="B1556" s="174"/>
      <c r="C1556" s="123" t="s">
        <v>200</v>
      </c>
      <c r="D1556" s="123">
        <f t="shared" si="401"/>
        <v>350.10986399999996</v>
      </c>
      <c r="E1556" s="123">
        <v>0</v>
      </c>
      <c r="F1556" s="123">
        <f t="shared" si="404"/>
        <v>525.16479599999991</v>
      </c>
      <c r="G1556" s="174" t="str">
        <f t="shared" si="400"/>
        <v>8th, 12th, 16th &amp; 20th Floor (Part refuge area)</v>
      </c>
      <c r="H1556" s="174"/>
      <c r="I1556" s="38"/>
      <c r="N1556" s="38"/>
    </row>
    <row r="1557" spans="1:14" s="94" customFormat="1" ht="15.75" customHeight="1" x14ac:dyDescent="0.35">
      <c r="A1557" s="174">
        <f t="shared" si="399"/>
        <v>18</v>
      </c>
      <c r="B1557" s="174"/>
      <c r="C1557" s="123" t="s">
        <v>200</v>
      </c>
      <c r="D1557" s="123">
        <f t="shared" si="401"/>
        <v>350.10986399999996</v>
      </c>
      <c r="E1557" s="123">
        <v>0</v>
      </c>
      <c r="F1557" s="123">
        <f>D1557*(($F$422)+1)+(IF(E1557&lt;101,E1557,IF(E1557&lt;201,E1557/2,IF(E1557&lt;=301,E1557/3,E1557/4))))</f>
        <v>525.16479599999991</v>
      </c>
      <c r="G1557" s="174" t="str">
        <f t="shared" si="400"/>
        <v>8th, 12th, 16th &amp; 20th Floor (Part refuge area)</v>
      </c>
      <c r="H1557" s="174"/>
      <c r="I1557" s="38"/>
      <c r="N1557" s="38"/>
    </row>
    <row r="1558" spans="1:14" s="94" customFormat="1" ht="15.75" customHeight="1" x14ac:dyDescent="0.35">
      <c r="A1558" s="174">
        <f t="shared" si="399"/>
        <v>19</v>
      </c>
      <c r="B1558" s="174"/>
      <c r="C1558" s="123" t="s">
        <v>200</v>
      </c>
      <c r="D1558" s="123">
        <f t="shared" si="401"/>
        <v>350.10986399999996</v>
      </c>
      <c r="E1558" s="123">
        <v>0</v>
      </c>
      <c r="F1558" s="123">
        <f>D1558*(($F$422)+1)+(IF(E1558&lt;101,E1558,IF(E1558&lt;201,E1558/2,IF(E1558&lt;=301,E1558/3,E1558/4))))</f>
        <v>525.16479599999991</v>
      </c>
      <c r="G1558" s="174" t="str">
        <f t="shared" si="400"/>
        <v>8th, 12th, 16th &amp; 20th Floor (Part refuge area)</v>
      </c>
      <c r="H1558" s="174"/>
      <c r="I1558" s="38"/>
      <c r="N1558" s="38"/>
    </row>
    <row r="1559" spans="1:14" s="94" customFormat="1" ht="15.75" customHeight="1" x14ac:dyDescent="0.35">
      <c r="A1559" s="174">
        <f t="shared" si="399"/>
        <v>20</v>
      </c>
      <c r="B1559" s="174"/>
      <c r="C1559" s="123" t="s">
        <v>200</v>
      </c>
      <c r="D1559" s="123">
        <f t="shared" si="401"/>
        <v>350.10986399999996</v>
      </c>
      <c r="E1559" s="123">
        <v>0</v>
      </c>
      <c r="F1559" s="123">
        <f>D1559*(($F$422)+1)+(IF(E1559&lt;101,E1559,IF(E1559&lt;201,E1559/2,IF(E1559&lt;=301,E1559/3,E1559/4))))</f>
        <v>525.16479599999991</v>
      </c>
      <c r="G1559" s="174" t="str">
        <f t="shared" si="400"/>
        <v>8th, 12th, 16th &amp; 20th Floor (Part refuge area)</v>
      </c>
      <c r="H1559" s="174"/>
      <c r="I1559" s="38"/>
      <c r="N1559" s="38"/>
    </row>
    <row r="1560" spans="1:14" s="94" customFormat="1" ht="15.75" customHeight="1" x14ac:dyDescent="0.35">
      <c r="A1560" s="174">
        <f t="shared" si="399"/>
        <v>21</v>
      </c>
      <c r="B1560" s="174"/>
      <c r="C1560" s="123" t="s">
        <v>200</v>
      </c>
      <c r="D1560" s="123">
        <f t="shared" si="401"/>
        <v>350.10986399999996</v>
      </c>
      <c r="E1560" s="123">
        <v>0</v>
      </c>
      <c r="F1560" s="123">
        <f>D1560*(($F$422)+1)+(IF(E1560&lt;101,E1560,IF(E1560&lt;201,E1560/2,IF(E1560&lt;=301,E1560/3,E1560/4))))</f>
        <v>525.16479599999991</v>
      </c>
      <c r="G1560" s="174" t="str">
        <f t="shared" si="400"/>
        <v>8th, 12th, 16th &amp; 20th Floor (Part refuge area)</v>
      </c>
      <c r="H1560" s="174"/>
      <c r="I1560" s="38"/>
      <c r="N1560" s="38"/>
    </row>
    <row r="1561" spans="1:14" s="94" customFormat="1" ht="15.75" customHeight="1" x14ac:dyDescent="0.35">
      <c r="A1561" s="174">
        <f t="shared" si="399"/>
        <v>22</v>
      </c>
      <c r="B1561" s="174"/>
      <c r="C1561" s="123" t="s">
        <v>200</v>
      </c>
      <c r="D1561" s="123">
        <f t="shared" si="401"/>
        <v>350.10986399999996</v>
      </c>
      <c r="E1561" s="123">
        <v>0</v>
      </c>
      <c r="F1561" s="123">
        <f>D1561*(($F$422)+1)+(IF(E1561&lt;101,E1561,IF(E1561&lt;201,E1561/2,IF(E1561&lt;=301,E1561/3,E1561/4))))</f>
        <v>525.16479599999991</v>
      </c>
      <c r="G1561" s="174" t="str">
        <f t="shared" si="400"/>
        <v>8th, 12th, 16th &amp; 20th Floor (Part refuge area)</v>
      </c>
      <c r="H1561" s="174"/>
      <c r="I1561" s="38"/>
      <c r="N1561" s="38"/>
    </row>
    <row r="1562" spans="1:14" s="94" customFormat="1" ht="15.75" customHeight="1" x14ac:dyDescent="0.35">
      <c r="A1562" s="174">
        <f t="shared" si="399"/>
        <v>23</v>
      </c>
      <c r="B1562" s="174"/>
      <c r="C1562" s="174" t="s">
        <v>172</v>
      </c>
      <c r="D1562" s="174"/>
      <c r="E1562" s="174"/>
      <c r="F1562" s="174"/>
      <c r="G1562" s="174" t="str">
        <f t="shared" si="400"/>
        <v>8th, 12th, 16th &amp; 20th Floor (Part refuge area)</v>
      </c>
      <c r="H1562" s="174"/>
      <c r="I1562" s="38"/>
      <c r="N1562" s="38"/>
    </row>
    <row r="1563" spans="1:14" s="94" customFormat="1" ht="15.75" customHeight="1" x14ac:dyDescent="0.35">
      <c r="A1563" s="174">
        <f t="shared" si="399"/>
        <v>24</v>
      </c>
      <c r="B1563" s="174"/>
      <c r="C1563" s="123" t="s">
        <v>200</v>
      </c>
      <c r="D1563" s="123">
        <f t="shared" si="401"/>
        <v>350.10986399999996</v>
      </c>
      <c r="E1563" s="123">
        <v>0</v>
      </c>
      <c r="F1563" s="123">
        <f t="shared" ref="F1563:F1568" si="405">D1563*(($F$422)+1)+(IF(E1563&lt;101,E1563,IF(E1563&lt;201,E1563/2,IF(E1563&lt;=301,E1563/3,E1563/4))))</f>
        <v>525.16479599999991</v>
      </c>
      <c r="G1563" s="174" t="str">
        <f t="shared" si="400"/>
        <v>8th, 12th, 16th &amp; 20th Floor (Part refuge area)</v>
      </c>
      <c r="H1563" s="174"/>
      <c r="I1563" s="38"/>
      <c r="N1563" s="38"/>
    </row>
    <row r="1564" spans="1:14" s="94" customFormat="1" ht="15.75" customHeight="1" x14ac:dyDescent="0.35">
      <c r="A1564" s="174">
        <f t="shared" si="399"/>
        <v>25</v>
      </c>
      <c r="B1564" s="174"/>
      <c r="C1564" s="123" t="s">
        <v>200</v>
      </c>
      <c r="D1564" s="123">
        <f t="shared" si="401"/>
        <v>350.10986399999996</v>
      </c>
      <c r="E1564" s="123">
        <v>0</v>
      </c>
      <c r="F1564" s="123">
        <f t="shared" si="405"/>
        <v>525.16479599999991</v>
      </c>
      <c r="G1564" s="174" t="str">
        <f t="shared" si="400"/>
        <v>8th, 12th, 16th &amp; 20th Floor (Part refuge area)</v>
      </c>
      <c r="H1564" s="174"/>
      <c r="I1564" s="38"/>
      <c r="N1564" s="38"/>
    </row>
    <row r="1565" spans="1:14" s="94" customFormat="1" ht="15.75" customHeight="1" x14ac:dyDescent="0.35">
      <c r="A1565" s="174">
        <f t="shared" si="399"/>
        <v>26</v>
      </c>
      <c r="B1565" s="174"/>
      <c r="C1565" s="123" t="s">
        <v>200</v>
      </c>
      <c r="D1565" s="123">
        <f t="shared" si="401"/>
        <v>350.10986399999996</v>
      </c>
      <c r="E1565" s="123">
        <v>0</v>
      </c>
      <c r="F1565" s="123">
        <f t="shared" si="405"/>
        <v>525.16479599999991</v>
      </c>
      <c r="G1565" s="174" t="str">
        <f t="shared" si="400"/>
        <v>8th, 12th, 16th &amp; 20th Floor (Part refuge area)</v>
      </c>
      <c r="H1565" s="174"/>
      <c r="I1565" s="38"/>
      <c r="N1565" s="38"/>
    </row>
    <row r="1566" spans="1:14" s="94" customFormat="1" ht="15.75" customHeight="1" x14ac:dyDescent="0.35">
      <c r="A1566" s="174">
        <f t="shared" si="399"/>
        <v>27</v>
      </c>
      <c r="B1566" s="174"/>
      <c r="C1566" s="123" t="s">
        <v>200</v>
      </c>
      <c r="D1566" s="123">
        <f t="shared" si="401"/>
        <v>350.10986399999996</v>
      </c>
      <c r="E1566" s="123">
        <v>0</v>
      </c>
      <c r="F1566" s="123">
        <f t="shared" si="405"/>
        <v>525.16479599999991</v>
      </c>
      <c r="G1566" s="174" t="str">
        <f t="shared" si="400"/>
        <v>8th, 12th, 16th &amp; 20th Floor (Part refuge area)</v>
      </c>
      <c r="H1566" s="174"/>
      <c r="I1566" s="38"/>
      <c r="N1566" s="38"/>
    </row>
    <row r="1567" spans="1:14" s="94" customFormat="1" ht="15.75" customHeight="1" x14ac:dyDescent="0.35">
      <c r="A1567" s="174">
        <f t="shared" si="399"/>
        <v>28</v>
      </c>
      <c r="B1567" s="174"/>
      <c r="C1567" s="123" t="s">
        <v>200</v>
      </c>
      <c r="D1567" s="123">
        <f t="shared" si="401"/>
        <v>350.10986399999996</v>
      </c>
      <c r="E1567" s="123">
        <v>0</v>
      </c>
      <c r="F1567" s="123">
        <f t="shared" si="405"/>
        <v>525.16479599999991</v>
      </c>
      <c r="G1567" s="174" t="str">
        <f t="shared" si="400"/>
        <v>8th, 12th, 16th &amp; 20th Floor (Part refuge area)</v>
      </c>
      <c r="H1567" s="174"/>
      <c r="I1567" s="38"/>
      <c r="N1567" s="38"/>
    </row>
    <row r="1568" spans="1:14" s="94" customFormat="1" ht="15.75" customHeight="1" x14ac:dyDescent="0.35">
      <c r="A1568" s="174">
        <f t="shared" si="399"/>
        <v>29</v>
      </c>
      <c r="B1568" s="174"/>
      <c r="C1568" s="123" t="s">
        <v>200</v>
      </c>
      <c r="D1568" s="123">
        <f t="shared" si="401"/>
        <v>350.10986399999996</v>
      </c>
      <c r="E1568" s="123">
        <v>0</v>
      </c>
      <c r="F1568" s="123">
        <f t="shared" si="405"/>
        <v>525.16479599999991</v>
      </c>
      <c r="G1568" s="174" t="str">
        <f t="shared" si="400"/>
        <v>8th, 12th, 16th &amp; 20th Floor (Part refuge area)</v>
      </c>
      <c r="H1568" s="174"/>
      <c r="I1568" s="38"/>
      <c r="N1568" s="38"/>
    </row>
    <row r="1569" spans="1:14" s="94" customFormat="1" ht="15.75" customHeight="1" x14ac:dyDescent="0.35">
      <c r="A1569" s="174">
        <f t="shared" si="399"/>
        <v>30</v>
      </c>
      <c r="B1569" s="174"/>
      <c r="C1569" s="174" t="s">
        <v>172</v>
      </c>
      <c r="D1569" s="174"/>
      <c r="E1569" s="174"/>
      <c r="F1569" s="174"/>
      <c r="G1569" s="174" t="str">
        <f t="shared" si="400"/>
        <v>8th, 12th, 16th &amp; 20th Floor (Part refuge area)</v>
      </c>
      <c r="H1569" s="174"/>
      <c r="I1569" s="38"/>
      <c r="N1569" s="38"/>
    </row>
    <row r="1570" spans="1:14" s="94" customFormat="1" ht="15.75" customHeight="1" x14ac:dyDescent="0.35">
      <c r="A1570" s="174">
        <f t="shared" si="399"/>
        <v>31</v>
      </c>
      <c r="B1570" s="174"/>
      <c r="C1570" s="174"/>
      <c r="D1570" s="174"/>
      <c r="E1570" s="174"/>
      <c r="F1570" s="174"/>
      <c r="G1570" s="174" t="str">
        <f t="shared" si="400"/>
        <v>8th, 12th, 16th &amp; 20th Floor (Part refuge area)</v>
      </c>
      <c r="H1570" s="174"/>
      <c r="I1570" s="38"/>
      <c r="N1570" s="38"/>
    </row>
    <row r="1571" spans="1:14" s="94" customFormat="1" ht="15.75" customHeight="1" x14ac:dyDescent="0.35">
      <c r="A1571" s="174">
        <f t="shared" si="399"/>
        <v>32</v>
      </c>
      <c r="B1571" s="174"/>
      <c r="C1571" s="123" t="s">
        <v>200</v>
      </c>
      <c r="D1571" s="123">
        <f t="shared" si="401"/>
        <v>350.10986399999996</v>
      </c>
      <c r="E1571" s="123">
        <v>0</v>
      </c>
      <c r="F1571" s="123">
        <f>D1571*(($F$422)+1)+(IF(E1571&lt;101,E1571,IF(E1571&lt;201,E1571/2,IF(E1571&lt;=301,E1571/3,E1571/4))))</f>
        <v>525.16479599999991</v>
      </c>
      <c r="G1571" s="174" t="str">
        <f t="shared" si="400"/>
        <v>8th, 12th, 16th &amp; 20th Floor (Part refuge area)</v>
      </c>
      <c r="H1571" s="174"/>
      <c r="I1571" s="38"/>
      <c r="N1571" s="38"/>
    </row>
    <row r="1572" spans="1:14" s="94" customFormat="1" ht="15.75" customHeight="1" x14ac:dyDescent="0.35">
      <c r="A1572" s="174">
        <f t="shared" si="399"/>
        <v>33</v>
      </c>
      <c r="B1572" s="174"/>
      <c r="C1572" s="123" t="s">
        <v>200</v>
      </c>
      <c r="D1572" s="123">
        <f t="shared" si="401"/>
        <v>350.10986399999996</v>
      </c>
      <c r="E1572" s="123">
        <v>0</v>
      </c>
      <c r="F1572" s="123">
        <f t="shared" ref="F1572:F1579" si="406">D1572*(($F$422)+1)+(IF(E1572&lt;101,E1572,IF(E1572&lt;201,E1572/2,IF(E1572&lt;=301,E1572/3,E1572/4))))</f>
        <v>525.16479599999991</v>
      </c>
      <c r="G1572" s="174" t="str">
        <f t="shared" si="400"/>
        <v>8th, 12th, 16th &amp; 20th Floor (Part refuge area)</v>
      </c>
      <c r="H1572" s="174"/>
      <c r="I1572" s="38"/>
      <c r="N1572" s="38"/>
    </row>
    <row r="1573" spans="1:14" s="94" customFormat="1" ht="15.75" customHeight="1" x14ac:dyDescent="0.35">
      <c r="A1573" s="174">
        <f t="shared" si="399"/>
        <v>34</v>
      </c>
      <c r="B1573" s="174"/>
      <c r="C1573" s="123" t="s">
        <v>200</v>
      </c>
      <c r="D1573" s="123">
        <f t="shared" si="401"/>
        <v>350.10986399999996</v>
      </c>
      <c r="E1573" s="123">
        <v>0</v>
      </c>
      <c r="F1573" s="123">
        <f t="shared" si="406"/>
        <v>525.16479599999991</v>
      </c>
      <c r="G1573" s="174" t="str">
        <f t="shared" si="400"/>
        <v>8th, 12th, 16th &amp; 20th Floor (Part refuge area)</v>
      </c>
      <c r="H1573" s="174"/>
      <c r="I1573" s="38"/>
      <c r="N1573" s="38"/>
    </row>
    <row r="1574" spans="1:14" s="94" customFormat="1" ht="15.75" customHeight="1" x14ac:dyDescent="0.35">
      <c r="A1574" s="174">
        <f t="shared" si="399"/>
        <v>35</v>
      </c>
      <c r="B1574" s="174"/>
      <c r="C1574" s="123" t="s">
        <v>200</v>
      </c>
      <c r="D1574" s="123">
        <f t="shared" si="401"/>
        <v>350.10986399999996</v>
      </c>
      <c r="E1574" s="123">
        <v>0</v>
      </c>
      <c r="F1574" s="123">
        <f t="shared" si="406"/>
        <v>525.16479599999991</v>
      </c>
      <c r="G1574" s="174" t="str">
        <f t="shared" si="400"/>
        <v>8th, 12th, 16th &amp; 20th Floor (Part refuge area)</v>
      </c>
      <c r="H1574" s="174"/>
      <c r="I1574" s="38"/>
      <c r="N1574" s="38"/>
    </row>
    <row r="1575" spans="1:14" s="94" customFormat="1" ht="15.75" customHeight="1" x14ac:dyDescent="0.35">
      <c r="A1575" s="174">
        <f t="shared" si="399"/>
        <v>36</v>
      </c>
      <c r="B1575" s="174"/>
      <c r="C1575" s="123" t="s">
        <v>200</v>
      </c>
      <c r="D1575" s="123">
        <f t="shared" si="401"/>
        <v>350.10986399999996</v>
      </c>
      <c r="E1575" s="123">
        <v>0</v>
      </c>
      <c r="F1575" s="123">
        <f t="shared" si="406"/>
        <v>525.16479599999991</v>
      </c>
      <c r="G1575" s="174" t="str">
        <f t="shared" si="400"/>
        <v>8th, 12th, 16th &amp; 20th Floor (Part refuge area)</v>
      </c>
      <c r="H1575" s="174"/>
      <c r="I1575" s="38"/>
      <c r="N1575" s="38"/>
    </row>
    <row r="1576" spans="1:14" s="94" customFormat="1" ht="15.75" customHeight="1" x14ac:dyDescent="0.35">
      <c r="A1576" s="174">
        <f t="shared" si="399"/>
        <v>37</v>
      </c>
      <c r="B1576" s="174"/>
      <c r="C1576" s="123" t="s">
        <v>200</v>
      </c>
      <c r="D1576" s="123">
        <f t="shared" si="401"/>
        <v>350.10986399999996</v>
      </c>
      <c r="E1576" s="123">
        <v>0</v>
      </c>
      <c r="F1576" s="123">
        <f t="shared" si="406"/>
        <v>525.16479599999991</v>
      </c>
      <c r="G1576" s="174" t="str">
        <f t="shared" si="400"/>
        <v>8th, 12th, 16th &amp; 20th Floor (Part refuge area)</v>
      </c>
      <c r="H1576" s="174"/>
      <c r="I1576" s="38"/>
      <c r="N1576" s="38"/>
    </row>
    <row r="1577" spans="1:14" s="94" customFormat="1" ht="15.75" customHeight="1" x14ac:dyDescent="0.35">
      <c r="A1577" s="174">
        <f t="shared" si="399"/>
        <v>38</v>
      </c>
      <c r="B1577" s="174"/>
      <c r="C1577" s="123" t="s">
        <v>200</v>
      </c>
      <c r="D1577" s="123">
        <f t="shared" si="401"/>
        <v>350.10986399999996</v>
      </c>
      <c r="E1577" s="123">
        <v>0</v>
      </c>
      <c r="F1577" s="123">
        <f t="shared" si="406"/>
        <v>525.16479599999991</v>
      </c>
      <c r="G1577" s="174" t="str">
        <f t="shared" si="400"/>
        <v>8th, 12th, 16th &amp; 20th Floor (Part refuge area)</v>
      </c>
      <c r="H1577" s="174"/>
      <c r="I1577" s="38"/>
      <c r="N1577" s="38"/>
    </row>
    <row r="1578" spans="1:14" s="94" customFormat="1" ht="15.75" customHeight="1" x14ac:dyDescent="0.35">
      <c r="A1578" s="174">
        <f t="shared" si="399"/>
        <v>39</v>
      </c>
      <c r="B1578" s="174"/>
      <c r="C1578" s="123" t="s">
        <v>200</v>
      </c>
      <c r="D1578" s="123">
        <f t="shared" si="401"/>
        <v>350.10986399999996</v>
      </c>
      <c r="E1578" s="123">
        <v>0</v>
      </c>
      <c r="F1578" s="123">
        <f t="shared" si="406"/>
        <v>525.16479599999991</v>
      </c>
      <c r="G1578" s="174" t="str">
        <f t="shared" si="400"/>
        <v>8th, 12th, 16th &amp; 20th Floor (Part refuge area)</v>
      </c>
      <c r="H1578" s="174"/>
      <c r="I1578" s="38"/>
      <c r="N1578" s="38"/>
    </row>
    <row r="1579" spans="1:14" s="94" customFormat="1" ht="15.75" customHeight="1" x14ac:dyDescent="0.35">
      <c r="A1579" s="174">
        <f t="shared" si="399"/>
        <v>40</v>
      </c>
      <c r="B1579" s="174"/>
      <c r="C1579" s="123" t="s">
        <v>200</v>
      </c>
      <c r="D1579" s="123">
        <f t="shared" si="401"/>
        <v>350.10986399999996</v>
      </c>
      <c r="E1579" s="123">
        <v>0</v>
      </c>
      <c r="F1579" s="123">
        <f t="shared" si="406"/>
        <v>525.16479599999991</v>
      </c>
      <c r="G1579" s="174" t="str">
        <f t="shared" si="400"/>
        <v>8th, 12th, 16th &amp; 20th Floor (Part refuge area)</v>
      </c>
      <c r="H1579" s="174"/>
      <c r="I1579" s="38"/>
      <c r="N1579" s="38"/>
    </row>
    <row r="1580" spans="1:14" s="1" customFormat="1" x14ac:dyDescent="0.35">
      <c r="A1580" s="223" t="s">
        <v>71</v>
      </c>
      <c r="B1580" s="223"/>
      <c r="C1580" s="223"/>
      <c r="D1580" s="223"/>
      <c r="E1580" s="223"/>
      <c r="F1580" s="223"/>
      <c r="G1580" s="223"/>
      <c r="H1580" s="223"/>
    </row>
    <row r="1581" spans="1:14" s="121" customFormat="1" ht="49.5" customHeight="1" x14ac:dyDescent="0.35">
      <c r="A1581" s="120" t="s">
        <v>216</v>
      </c>
      <c r="B1581" s="188" t="s">
        <v>254</v>
      </c>
      <c r="C1581" s="188"/>
      <c r="D1581" s="188"/>
      <c r="E1581" s="188"/>
      <c r="F1581" s="188"/>
      <c r="G1581" s="188"/>
      <c r="H1581" s="188"/>
    </row>
    <row r="1582" spans="1:14" s="1" customFormat="1" x14ac:dyDescent="0.35">
      <c r="A1582" s="128" t="s">
        <v>216</v>
      </c>
      <c r="B1582" s="188" t="str">
        <f>(IF(F421="Saleable area Loading :","We have considered Saleable area of Flats as per our Calculation.","We considered Saleable area of Flat as per Builder area Sheet."))</f>
        <v>We have considered Saleable area of Flats as per our Calculation.</v>
      </c>
      <c r="C1582" s="188"/>
      <c r="D1582" s="188"/>
      <c r="E1582" s="188"/>
      <c r="F1582" s="188"/>
      <c r="G1582" s="188"/>
      <c r="H1582" s="188"/>
    </row>
    <row r="1583" spans="1:14" s="1" customFormat="1" x14ac:dyDescent="0.35">
      <c r="A1583" s="128" t="s">
        <v>216</v>
      </c>
      <c r="B1583" s="188" t="str">
        <f>(IF(F260="Saleable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3" s="188"/>
      <c r="D1583" s="188"/>
      <c r="E1583" s="188"/>
      <c r="F1583" s="188"/>
      <c r="G1583" s="188"/>
      <c r="H1583" s="188"/>
    </row>
    <row r="1584" spans="1:14" s="1" customFormat="1" x14ac:dyDescent="0.35">
      <c r="A1584" s="128" t="s">
        <v>216</v>
      </c>
      <c r="B1584" s="253" t="s">
        <v>136</v>
      </c>
      <c r="C1584" s="253"/>
      <c r="D1584" s="253"/>
      <c r="E1584" s="253"/>
      <c r="F1584" s="253"/>
      <c r="G1584" s="253"/>
      <c r="H1584" s="253"/>
    </row>
    <row r="1585" spans="1:8" s="1" customFormat="1" x14ac:dyDescent="0.35">
      <c r="A1585" s="128" t="s">
        <v>216</v>
      </c>
      <c r="B1585" s="253" t="s">
        <v>197</v>
      </c>
      <c r="C1585" s="253"/>
      <c r="D1585" s="253"/>
      <c r="E1585" s="253"/>
      <c r="F1585" s="253"/>
      <c r="G1585" s="253"/>
      <c r="H1585" s="253"/>
    </row>
    <row r="1586" spans="1:8" s="1" customFormat="1" x14ac:dyDescent="0.35">
      <c r="A1586" s="128" t="s">
        <v>216</v>
      </c>
      <c r="B1586" s="188" t="s">
        <v>137</v>
      </c>
      <c r="C1586" s="188"/>
      <c r="D1586" s="188"/>
      <c r="E1586" s="188"/>
      <c r="F1586" s="188"/>
      <c r="G1586" s="188"/>
      <c r="H1586" s="188"/>
    </row>
    <row r="1587" spans="1:8" s="1" customFormat="1" x14ac:dyDescent="0.35">
      <c r="A1587" s="128" t="s">
        <v>216</v>
      </c>
      <c r="B1587" s="188" t="s">
        <v>138</v>
      </c>
      <c r="C1587" s="188"/>
      <c r="D1587" s="188"/>
      <c r="E1587" s="188"/>
      <c r="F1587" s="188"/>
      <c r="G1587" s="188"/>
      <c r="H1587" s="188"/>
    </row>
    <row r="1588" spans="1:8" s="1" customFormat="1" hidden="1" x14ac:dyDescent="0.35">
      <c r="A1588" s="128" t="s">
        <v>216</v>
      </c>
      <c r="B1588" s="188" t="s">
        <v>215</v>
      </c>
      <c r="C1588" s="188"/>
      <c r="D1588" s="188"/>
      <c r="E1588" s="188"/>
      <c r="F1588" s="188"/>
      <c r="G1588" s="188"/>
      <c r="H1588" s="188"/>
    </row>
    <row r="1589" spans="1:8" s="1" customFormat="1" x14ac:dyDescent="0.35">
      <c r="A1589" s="128" t="s">
        <v>216</v>
      </c>
      <c r="B1589" s="188" t="s">
        <v>199</v>
      </c>
      <c r="C1589" s="188"/>
      <c r="D1589" s="188"/>
      <c r="E1589" s="188"/>
      <c r="F1589" s="188"/>
      <c r="G1589" s="188"/>
      <c r="H1589" s="188"/>
    </row>
    <row r="1590" spans="1:8" s="1" customFormat="1" ht="31.5" hidden="1" customHeight="1" x14ac:dyDescent="0.35">
      <c r="A1590" s="128" t="s">
        <v>216</v>
      </c>
      <c r="B1590" s="188" t="s">
        <v>201</v>
      </c>
      <c r="C1590" s="188"/>
      <c r="D1590" s="188"/>
      <c r="E1590" s="188"/>
      <c r="F1590" s="188"/>
      <c r="G1590" s="188"/>
      <c r="H1590" s="188"/>
    </row>
    <row r="1591" spans="1:8" s="1" customFormat="1" ht="17.25" customHeight="1" x14ac:dyDescent="0.35">
      <c r="A1591" s="128" t="s">
        <v>216</v>
      </c>
      <c r="B1591" s="188" t="s">
        <v>207</v>
      </c>
      <c r="C1591" s="188"/>
      <c r="D1591" s="188"/>
      <c r="E1591" s="188"/>
      <c r="F1591" s="188"/>
      <c r="G1591" s="188"/>
      <c r="H1591" s="188"/>
    </row>
    <row r="1592" spans="1:8" s="1" customFormat="1" ht="17.25" customHeight="1" x14ac:dyDescent="0.35">
      <c r="A1592" s="108" t="s">
        <v>216</v>
      </c>
      <c r="B1592" s="185" t="s">
        <v>220</v>
      </c>
      <c r="C1592" s="186"/>
      <c r="D1592" s="186"/>
      <c r="E1592" s="186"/>
      <c r="F1592" s="186"/>
      <c r="G1592" s="186"/>
      <c r="H1592" s="187"/>
    </row>
    <row r="1593" spans="1:8" x14ac:dyDescent="0.35">
      <c r="A1593" s="224" t="s">
        <v>64</v>
      </c>
      <c r="B1593" s="224"/>
      <c r="C1593" s="224"/>
      <c r="D1593" s="224"/>
      <c r="E1593" s="224"/>
      <c r="F1593" s="224"/>
      <c r="G1593" s="224"/>
      <c r="H1593" s="224"/>
    </row>
    <row r="1594" spans="1:8" x14ac:dyDescent="0.35">
      <c r="A1594" s="194" t="s">
        <v>65</v>
      </c>
      <c r="B1594" s="194"/>
      <c r="C1594" s="194"/>
      <c r="D1594" s="194"/>
      <c r="E1594" s="194"/>
      <c r="F1594" s="194"/>
      <c r="G1594" s="194"/>
      <c r="H1594" s="194"/>
    </row>
    <row r="1595" spans="1:8" ht="15.75" customHeight="1" x14ac:dyDescent="0.35">
      <c r="A1595" s="195" t="s">
        <v>66</v>
      </c>
      <c r="B1595" s="195"/>
      <c r="C1595" s="195"/>
      <c r="D1595" s="195"/>
      <c r="E1595" s="195"/>
      <c r="F1595" s="195"/>
      <c r="G1595" s="195"/>
      <c r="H1595" s="195"/>
    </row>
    <row r="1596" spans="1:8" x14ac:dyDescent="0.35">
      <c r="A1596" s="194" t="s">
        <v>67</v>
      </c>
      <c r="B1596" s="194"/>
      <c r="C1596" s="194"/>
      <c r="D1596" s="194"/>
      <c r="E1596" s="194"/>
      <c r="F1596" s="194"/>
      <c r="G1596" s="194"/>
      <c r="H1596" s="194"/>
    </row>
    <row r="1597" spans="1:8" x14ac:dyDescent="0.35">
      <c r="A1597" s="194" t="s">
        <v>68</v>
      </c>
      <c r="B1597" s="194"/>
      <c r="C1597" s="194"/>
      <c r="D1597" s="194"/>
      <c r="E1597" s="194"/>
      <c r="F1597" s="194"/>
      <c r="G1597" s="194"/>
      <c r="H1597" s="194"/>
    </row>
    <row r="1598" spans="1:8" x14ac:dyDescent="0.35">
      <c r="A1598" s="194" t="s">
        <v>139</v>
      </c>
      <c r="B1598" s="194"/>
      <c r="C1598" s="194"/>
      <c r="D1598" s="194"/>
      <c r="E1598" s="194"/>
      <c r="F1598" s="194"/>
      <c r="G1598" s="194"/>
      <c r="H1598" s="194"/>
    </row>
    <row r="1599" spans="1:8" ht="35.25" customHeight="1" x14ac:dyDescent="0.35">
      <c r="A1599" s="222" t="s">
        <v>140</v>
      </c>
      <c r="B1599" s="222"/>
      <c r="C1599" s="222"/>
      <c r="D1599" s="222"/>
      <c r="E1599" s="222"/>
      <c r="F1599" s="222"/>
      <c r="G1599" s="222"/>
      <c r="H1599" s="222"/>
    </row>
    <row r="1600" spans="1:8" x14ac:dyDescent="0.35">
      <c r="A1600" s="220" t="s">
        <v>82</v>
      </c>
      <c r="B1600" s="220"/>
      <c r="C1600" s="220" t="s">
        <v>256</v>
      </c>
      <c r="D1600" s="220"/>
      <c r="E1600" s="220" t="s">
        <v>117</v>
      </c>
      <c r="F1600" s="220"/>
      <c r="G1600" s="220" t="s">
        <v>257</v>
      </c>
      <c r="H1600" s="220"/>
    </row>
    <row r="1601" spans="1:8" x14ac:dyDescent="0.35">
      <c r="A1601" s="219" t="s">
        <v>84</v>
      </c>
      <c r="B1601" s="219"/>
      <c r="C1601" s="219"/>
      <c r="D1601" s="219"/>
      <c r="E1601" s="219"/>
      <c r="F1601" s="219"/>
      <c r="G1601" s="219"/>
      <c r="H1601" s="219"/>
    </row>
    <row r="1602" spans="1:8" x14ac:dyDescent="0.35">
      <c r="A1602" s="219"/>
      <c r="B1602" s="219"/>
      <c r="C1602" s="219"/>
      <c r="D1602" s="219"/>
      <c r="E1602" s="219"/>
      <c r="F1602" s="219"/>
      <c r="G1602" s="219"/>
      <c r="H1602" s="219"/>
    </row>
    <row r="1603" spans="1:8" x14ac:dyDescent="0.35">
      <c r="A1603" s="219"/>
      <c r="B1603" s="219"/>
      <c r="C1603" s="219"/>
      <c r="D1603" s="219"/>
      <c r="E1603" s="219"/>
      <c r="F1603" s="219"/>
      <c r="G1603" s="219"/>
      <c r="H1603" s="219"/>
    </row>
    <row r="1604" spans="1:8" x14ac:dyDescent="0.35">
      <c r="A1604" s="11" t="s">
        <v>69</v>
      </c>
      <c r="B1604" s="12"/>
      <c r="C1604" s="12"/>
      <c r="D1604" s="11" t="str">
        <f>E8</f>
        <v>Suraksha Smart City - Phase I</v>
      </c>
      <c r="F1604" s="12"/>
      <c r="G1604" s="12"/>
      <c r="H1604" s="12"/>
    </row>
    <row r="1605" spans="1:8" x14ac:dyDescent="0.35">
      <c r="A1605" s="12"/>
      <c r="B1605" s="12"/>
      <c r="C1605" s="12"/>
      <c r="D1605" s="12"/>
      <c r="E1605" s="12"/>
      <c r="F1605" s="12"/>
      <c r="G1605" s="12"/>
      <c r="H1605" s="12"/>
    </row>
    <row r="1606" spans="1:8" x14ac:dyDescent="0.35">
      <c r="A1606" s="12"/>
      <c r="B1606" s="12"/>
      <c r="C1606" s="12"/>
      <c r="D1606" s="12"/>
      <c r="E1606" s="12"/>
      <c r="F1606" s="12"/>
      <c r="G1606" s="12"/>
      <c r="H1606" s="12"/>
    </row>
    <row r="1607" spans="1:8" ht="15" customHeight="1" x14ac:dyDescent="0.35"/>
    <row r="1626" spans="3:10" x14ac:dyDescent="0.35">
      <c r="J1626"/>
    </row>
    <row r="1628" spans="3:10" x14ac:dyDescent="0.35">
      <c r="C1628"/>
    </row>
    <row r="1630" spans="3:10" x14ac:dyDescent="0.35">
      <c r="D1630"/>
    </row>
    <row r="1650" spans="1:1" x14ac:dyDescent="0.35">
      <c r="A1650" s="14" t="s">
        <v>70</v>
      </c>
    </row>
    <row r="1685" hidden="1" x14ac:dyDescent="0.35"/>
    <row r="1686" hidden="1" x14ac:dyDescent="0.35"/>
    <row r="1687" hidden="1" x14ac:dyDescent="0.35"/>
    <row r="1688" hidden="1" x14ac:dyDescent="0.35"/>
    <row r="1689" hidden="1" x14ac:dyDescent="0.35"/>
    <row r="1690" hidden="1" x14ac:dyDescent="0.35"/>
    <row r="1691" hidden="1" x14ac:dyDescent="0.35"/>
    <row r="1692" hidden="1" x14ac:dyDescent="0.35"/>
    <row r="1693" hidden="1" x14ac:dyDescent="0.35"/>
  </sheetData>
  <mergeCells count="2188">
    <mergeCell ref="A166:B166"/>
    <mergeCell ref="E166:F175"/>
    <mergeCell ref="G166:H175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577:B1577"/>
    <mergeCell ref="A1578:B1578"/>
    <mergeCell ref="A92:B92"/>
    <mergeCell ref="C92:H92"/>
    <mergeCell ref="A94:B94"/>
    <mergeCell ref="C94:H94"/>
    <mergeCell ref="A95:B95"/>
    <mergeCell ref="E95:F95"/>
    <mergeCell ref="G95:H95"/>
    <mergeCell ref="A96:B96"/>
    <mergeCell ref="E96:F105"/>
    <mergeCell ref="G96:H105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76:B176"/>
    <mergeCell ref="C176:D176"/>
    <mergeCell ref="E176:F176"/>
    <mergeCell ref="G176:H176"/>
    <mergeCell ref="A162:B162"/>
    <mergeCell ref="C162:H162"/>
    <mergeCell ref="A164:B164"/>
    <mergeCell ref="C164:H164"/>
    <mergeCell ref="A165:B165"/>
    <mergeCell ref="E165:F165"/>
    <mergeCell ref="G165:H165"/>
    <mergeCell ref="A1558:B1558"/>
    <mergeCell ref="A1559:B1559"/>
    <mergeCell ref="A1560:B1560"/>
    <mergeCell ref="B1591:H1591"/>
    <mergeCell ref="A215:B215"/>
    <mergeCell ref="A216:B216"/>
    <mergeCell ref="A217:B217"/>
    <mergeCell ref="A218:B218"/>
    <mergeCell ref="B1589:H1589"/>
    <mergeCell ref="C254:D254"/>
    <mergeCell ref="E254:F254"/>
    <mergeCell ref="G254:H254"/>
    <mergeCell ref="A255:B255"/>
    <mergeCell ref="C255:D255"/>
    <mergeCell ref="E255:F255"/>
    <mergeCell ref="G255:H255"/>
    <mergeCell ref="A1579:B1579"/>
    <mergeCell ref="A1573:B1573"/>
    <mergeCell ref="A1574:B1574"/>
    <mergeCell ref="A1575:B1575"/>
    <mergeCell ref="A55:C56"/>
    <mergeCell ref="A205:B205"/>
    <mergeCell ref="C205:H205"/>
    <mergeCell ref="A207:B207"/>
    <mergeCell ref="C207:H207"/>
    <mergeCell ref="A208:B208"/>
    <mergeCell ref="E208:F208"/>
    <mergeCell ref="G208:H208"/>
    <mergeCell ref="A209:B209"/>
    <mergeCell ref="E209:F218"/>
    <mergeCell ref="G209:H218"/>
    <mergeCell ref="A210:B210"/>
    <mergeCell ref="A211:B211"/>
    <mergeCell ref="A212:B212"/>
    <mergeCell ref="A213:B213"/>
    <mergeCell ref="A1576:B1576"/>
    <mergeCell ref="A1476:B1476"/>
    <mergeCell ref="A1477:B1477"/>
    <mergeCell ref="A1478:B1478"/>
    <mergeCell ref="A1479:B1479"/>
    <mergeCell ref="A1480:B1480"/>
    <mergeCell ref="A1462:B1462"/>
    <mergeCell ref="A1463:B1463"/>
    <mergeCell ref="A1464:B1464"/>
    <mergeCell ref="A1465:B1465"/>
    <mergeCell ref="A1456:H1456"/>
    <mergeCell ref="A1457:H1457"/>
    <mergeCell ref="C1544:F1545"/>
    <mergeCell ref="C1562:F1562"/>
    <mergeCell ref="C1569:F1570"/>
    <mergeCell ref="A1571:B1571"/>
    <mergeCell ref="A1572:B1572"/>
    <mergeCell ref="A1566:B1566"/>
    <mergeCell ref="A1567:B1567"/>
    <mergeCell ref="A1568:B1568"/>
    <mergeCell ref="A1569:B1569"/>
    <mergeCell ref="A1570:B1570"/>
    <mergeCell ref="A1561:B1561"/>
    <mergeCell ref="A1562:B1562"/>
    <mergeCell ref="A1563:B1563"/>
    <mergeCell ref="A1564:B1564"/>
    <mergeCell ref="A1565:B1565"/>
    <mergeCell ref="A1556:B1556"/>
    <mergeCell ref="A1557:B1557"/>
    <mergeCell ref="A1543:B1543"/>
    <mergeCell ref="A1544:B1544"/>
    <mergeCell ref="A1545:B1545"/>
    <mergeCell ref="A1536:B1536"/>
    <mergeCell ref="A1537:B1537"/>
    <mergeCell ref="A1538:B1538"/>
    <mergeCell ref="A1539:H1539"/>
    <mergeCell ref="A1551:B1551"/>
    <mergeCell ref="A1552:B1552"/>
    <mergeCell ref="A1553:B1553"/>
    <mergeCell ref="A1554:B1554"/>
    <mergeCell ref="A1555:B1555"/>
    <mergeCell ref="A1546:B1546"/>
    <mergeCell ref="A1547:B1547"/>
    <mergeCell ref="A1548:B1548"/>
    <mergeCell ref="A1549:B1549"/>
    <mergeCell ref="A1550:B1550"/>
    <mergeCell ref="A1541:B1541"/>
    <mergeCell ref="A1542:B1542"/>
    <mergeCell ref="L1539:M1539"/>
    <mergeCell ref="A1540:B1540"/>
    <mergeCell ref="A1531:B1531"/>
    <mergeCell ref="A1532:B1532"/>
    <mergeCell ref="A1533:B1533"/>
    <mergeCell ref="A1534:B1534"/>
    <mergeCell ref="A1535:B1535"/>
    <mergeCell ref="A1526:B1526"/>
    <mergeCell ref="A1527:B1527"/>
    <mergeCell ref="A1528:B1528"/>
    <mergeCell ref="A1529:B1529"/>
    <mergeCell ref="A1530:B1530"/>
    <mergeCell ref="A1501:B1501"/>
    <mergeCell ref="A1502:B1502"/>
    <mergeCell ref="A1503:B1503"/>
    <mergeCell ref="A1504:B1504"/>
    <mergeCell ref="A1505:B1505"/>
    <mergeCell ref="A1521:B1521"/>
    <mergeCell ref="A1522:B1522"/>
    <mergeCell ref="A1523:B1523"/>
    <mergeCell ref="A1524:B1524"/>
    <mergeCell ref="A1525:B1525"/>
    <mergeCell ref="A1516:B1516"/>
    <mergeCell ref="A1517:B1517"/>
    <mergeCell ref="A1518:B1518"/>
    <mergeCell ref="A1519:B1519"/>
    <mergeCell ref="A1520:B1520"/>
    <mergeCell ref="L1498:M1498"/>
    <mergeCell ref="A1499:B1499"/>
    <mergeCell ref="A1500:B1500"/>
    <mergeCell ref="A1511:B1511"/>
    <mergeCell ref="A1512:B1512"/>
    <mergeCell ref="A1513:B1513"/>
    <mergeCell ref="A1514:B1514"/>
    <mergeCell ref="A1515:B1515"/>
    <mergeCell ref="A1506:B1506"/>
    <mergeCell ref="A1507:B1507"/>
    <mergeCell ref="A1508:B1508"/>
    <mergeCell ref="A1509:B1509"/>
    <mergeCell ref="A1510:B1510"/>
    <mergeCell ref="A1481:B1481"/>
    <mergeCell ref="A1482:B1482"/>
    <mergeCell ref="A1483:B1483"/>
    <mergeCell ref="A1484:B1484"/>
    <mergeCell ref="A1485:B1485"/>
    <mergeCell ref="A1491:B1491"/>
    <mergeCell ref="A1492:B1492"/>
    <mergeCell ref="A1493:B1493"/>
    <mergeCell ref="A1494:B1494"/>
    <mergeCell ref="A1495:B1495"/>
    <mergeCell ref="A1486:B1486"/>
    <mergeCell ref="A1487:B1487"/>
    <mergeCell ref="A1488:B1488"/>
    <mergeCell ref="A1489:B1489"/>
    <mergeCell ref="A1490:B1490"/>
    <mergeCell ref="A1496:B1496"/>
    <mergeCell ref="A1497:B1497"/>
    <mergeCell ref="A1498:H1498"/>
    <mergeCell ref="L1457:M1457"/>
    <mergeCell ref="A1458:B1458"/>
    <mergeCell ref="A1459:B1459"/>
    <mergeCell ref="A1460:B1460"/>
    <mergeCell ref="A1461:B1461"/>
    <mergeCell ref="A1471:B1471"/>
    <mergeCell ref="A1472:B1472"/>
    <mergeCell ref="A1473:B1473"/>
    <mergeCell ref="A1474:B1474"/>
    <mergeCell ref="A1475:B1475"/>
    <mergeCell ref="A1466:B1466"/>
    <mergeCell ref="A1467:B1467"/>
    <mergeCell ref="A1468:B1468"/>
    <mergeCell ref="A1469:B1469"/>
    <mergeCell ref="A1470:B1470"/>
    <mergeCell ref="A1455:B1455"/>
    <mergeCell ref="A1446:B1446"/>
    <mergeCell ref="C1449:F1449"/>
    <mergeCell ref="A1449:B1449"/>
    <mergeCell ref="A1450:B1450"/>
    <mergeCell ref="A1441:B1441"/>
    <mergeCell ref="A1442:B1442"/>
    <mergeCell ref="A1443:B1443"/>
    <mergeCell ref="A1444:B1444"/>
    <mergeCell ref="A1445:B1445"/>
    <mergeCell ref="C1442:F1442"/>
    <mergeCell ref="A1448:B1448"/>
    <mergeCell ref="L411:M411"/>
    <mergeCell ref="A412:B412"/>
    <mergeCell ref="L412:M412"/>
    <mergeCell ref="A413:B413"/>
    <mergeCell ref="L413:M413"/>
    <mergeCell ref="L407:M407"/>
    <mergeCell ref="A408:B408"/>
    <mergeCell ref="L408:M408"/>
    <mergeCell ref="A409:B409"/>
    <mergeCell ref="L409:M409"/>
    <mergeCell ref="A410:B410"/>
    <mergeCell ref="L410:M410"/>
    <mergeCell ref="L419:M419"/>
    <mergeCell ref="A414:B414"/>
    <mergeCell ref="L414:M414"/>
    <mergeCell ref="A415:B415"/>
    <mergeCell ref="L415:M415"/>
    <mergeCell ref="A416:B416"/>
    <mergeCell ref="L416:M416"/>
    <mergeCell ref="A1447:B1447"/>
    <mergeCell ref="A1436:B1436"/>
    <mergeCell ref="A1437:B1437"/>
    <mergeCell ref="A1433:B1433"/>
    <mergeCell ref="A1434:B1434"/>
    <mergeCell ref="A1435:B1435"/>
    <mergeCell ref="A1426:B1426"/>
    <mergeCell ref="A1427:B1427"/>
    <mergeCell ref="A1428:B1428"/>
    <mergeCell ref="A1429:B1429"/>
    <mergeCell ref="A1430:B1430"/>
    <mergeCell ref="A1451:B1451"/>
    <mergeCell ref="A1452:B1452"/>
    <mergeCell ref="A1453:B1453"/>
    <mergeCell ref="A1454:B1454"/>
    <mergeCell ref="L417:M417"/>
    <mergeCell ref="A418:B418"/>
    <mergeCell ref="L418:M418"/>
    <mergeCell ref="A419:B419"/>
    <mergeCell ref="A1438:B1438"/>
    <mergeCell ref="A1439:B1439"/>
    <mergeCell ref="A1440:B1440"/>
    <mergeCell ref="A1431:B1431"/>
    <mergeCell ref="A1432:B1432"/>
    <mergeCell ref="A1421:B1421"/>
    <mergeCell ref="A1422:B1422"/>
    <mergeCell ref="A1423:B1423"/>
    <mergeCell ref="A1409:B1409"/>
    <mergeCell ref="A1410:B1410"/>
    <mergeCell ref="A1401:B1401"/>
    <mergeCell ref="A1402:B1402"/>
    <mergeCell ref="A1403:B1403"/>
    <mergeCell ref="A1404:B1404"/>
    <mergeCell ref="A1405:B1405"/>
    <mergeCell ref="A1424:B1424"/>
    <mergeCell ref="A1425:B1425"/>
    <mergeCell ref="C1424:F1425"/>
    <mergeCell ref="A1416:B1416"/>
    <mergeCell ref="A1417:B1417"/>
    <mergeCell ref="A1418:B1418"/>
    <mergeCell ref="A1419:H1419"/>
    <mergeCell ref="L1419:M1419"/>
    <mergeCell ref="A1420:B1420"/>
    <mergeCell ref="A1411:B1411"/>
    <mergeCell ref="A1412:B1412"/>
    <mergeCell ref="A1413:B1413"/>
    <mergeCell ref="A1414:B1414"/>
    <mergeCell ref="A1415:B1415"/>
    <mergeCell ref="L1382:M1382"/>
    <mergeCell ref="A1383:B1383"/>
    <mergeCell ref="A1384:B1384"/>
    <mergeCell ref="A1385:B1385"/>
    <mergeCell ref="A1396:B1396"/>
    <mergeCell ref="A1397:B1397"/>
    <mergeCell ref="A1398:B1398"/>
    <mergeCell ref="A1399:B1399"/>
    <mergeCell ref="A1400:B1400"/>
    <mergeCell ref="A1391:B1391"/>
    <mergeCell ref="A1392:B1392"/>
    <mergeCell ref="A1393:B1393"/>
    <mergeCell ref="A1394:B1394"/>
    <mergeCell ref="A1395:B1395"/>
    <mergeCell ref="A1406:B1406"/>
    <mergeCell ref="A1407:B1407"/>
    <mergeCell ref="A1408:B1408"/>
    <mergeCell ref="A1376:B1376"/>
    <mergeCell ref="A1377:B1377"/>
    <mergeCell ref="A1378:B1378"/>
    <mergeCell ref="A1379:B1379"/>
    <mergeCell ref="A1380:B1380"/>
    <mergeCell ref="A1371:B1371"/>
    <mergeCell ref="A1372:B1372"/>
    <mergeCell ref="A1373:B1373"/>
    <mergeCell ref="A1374:B1374"/>
    <mergeCell ref="A1375:B1375"/>
    <mergeCell ref="A1386:B1386"/>
    <mergeCell ref="A1387:B1387"/>
    <mergeCell ref="A1388:B1388"/>
    <mergeCell ref="A1389:B1389"/>
    <mergeCell ref="A1390:B1390"/>
    <mergeCell ref="A1381:B1381"/>
    <mergeCell ref="A1382:H1382"/>
    <mergeCell ref="A1356:B1356"/>
    <mergeCell ref="A1357:B1357"/>
    <mergeCell ref="A1358:B1358"/>
    <mergeCell ref="A1359:B1359"/>
    <mergeCell ref="A1360:B1360"/>
    <mergeCell ref="A1351:B1351"/>
    <mergeCell ref="A1352:B1352"/>
    <mergeCell ref="A1353:B1353"/>
    <mergeCell ref="A1354:B1354"/>
    <mergeCell ref="A1355:B1355"/>
    <mergeCell ref="A1366:B1366"/>
    <mergeCell ref="A1367:B1367"/>
    <mergeCell ref="A1368:B1368"/>
    <mergeCell ref="A1369:B1369"/>
    <mergeCell ref="A1370:B1370"/>
    <mergeCell ref="A1361:B1361"/>
    <mergeCell ref="A1362:B1362"/>
    <mergeCell ref="A1363:B1363"/>
    <mergeCell ref="A1364:B1364"/>
    <mergeCell ref="A1365:B1365"/>
    <mergeCell ref="A1346:B1346"/>
    <mergeCell ref="A1347:B1347"/>
    <mergeCell ref="A1348:B1348"/>
    <mergeCell ref="A1349:B1349"/>
    <mergeCell ref="A1350:B1350"/>
    <mergeCell ref="L399:M399"/>
    <mergeCell ref="A400:B400"/>
    <mergeCell ref="L400:M400"/>
    <mergeCell ref="A1344:H1344"/>
    <mergeCell ref="A1345:H1345"/>
    <mergeCell ref="L1345:M1345"/>
    <mergeCell ref="A401:H401"/>
    <mergeCell ref="A402:H402"/>
    <mergeCell ref="A403:B403"/>
    <mergeCell ref="L403:M403"/>
    <mergeCell ref="A404:B404"/>
    <mergeCell ref="L404:M404"/>
    <mergeCell ref="A405:B405"/>
    <mergeCell ref="L405:M405"/>
    <mergeCell ref="A406:B406"/>
    <mergeCell ref="L406:M406"/>
    <mergeCell ref="A407:B407"/>
    <mergeCell ref="A1335:B1335"/>
    <mergeCell ref="A1336:B1336"/>
    <mergeCell ref="A1337:B1337"/>
    <mergeCell ref="A1330:B1330"/>
    <mergeCell ref="A1331:B1331"/>
    <mergeCell ref="A1332:B1332"/>
    <mergeCell ref="A1333:B1333"/>
    <mergeCell ref="A1334:B1334"/>
    <mergeCell ref="A1325:B1325"/>
    <mergeCell ref="A1326:B1326"/>
    <mergeCell ref="A1340:B1340"/>
    <mergeCell ref="A1341:B1341"/>
    <mergeCell ref="A1342:B1342"/>
    <mergeCell ref="A1343:B1343"/>
    <mergeCell ref="A411:B411"/>
    <mergeCell ref="L395:M395"/>
    <mergeCell ref="A396:B396"/>
    <mergeCell ref="L396:M396"/>
    <mergeCell ref="A397:B397"/>
    <mergeCell ref="L397:M397"/>
    <mergeCell ref="A398:B398"/>
    <mergeCell ref="L398:M398"/>
    <mergeCell ref="A1338:B1338"/>
    <mergeCell ref="A1339:B1339"/>
    <mergeCell ref="A1327:B1327"/>
    <mergeCell ref="A1328:B1328"/>
    <mergeCell ref="A1329:B1329"/>
    <mergeCell ref="A1320:B1320"/>
    <mergeCell ref="A1310:B1310"/>
    <mergeCell ref="A1311:B1311"/>
    <mergeCell ref="A1312:B1312"/>
    <mergeCell ref="A1313:B1313"/>
    <mergeCell ref="A1314:B1314"/>
    <mergeCell ref="A1305:B1305"/>
    <mergeCell ref="A1306:B1306"/>
    <mergeCell ref="A1307:B1307"/>
    <mergeCell ref="A1308:B1308"/>
    <mergeCell ref="A1309:B1309"/>
    <mergeCell ref="A1321:B1321"/>
    <mergeCell ref="A1322:B1322"/>
    <mergeCell ref="A1323:B1323"/>
    <mergeCell ref="A1324:B1324"/>
    <mergeCell ref="C1328:F1330"/>
    <mergeCell ref="A1315:H1315"/>
    <mergeCell ref="L1315:M1315"/>
    <mergeCell ref="A1316:B1316"/>
    <mergeCell ref="A1317:B1317"/>
    <mergeCell ref="A1318:B1318"/>
    <mergeCell ref="A1319:B1319"/>
    <mergeCell ref="A1290:B1290"/>
    <mergeCell ref="A1291:B1291"/>
    <mergeCell ref="A1292:B1292"/>
    <mergeCell ref="A1293:B1293"/>
    <mergeCell ref="A1294:B1294"/>
    <mergeCell ref="A1285:B1285"/>
    <mergeCell ref="A1286:H1286"/>
    <mergeCell ref="L1286:M1286"/>
    <mergeCell ref="A1287:B1287"/>
    <mergeCell ref="A1288:B1288"/>
    <mergeCell ref="A1289:B1289"/>
    <mergeCell ref="A1300:B1300"/>
    <mergeCell ref="A1301:B1301"/>
    <mergeCell ref="A1302:B1302"/>
    <mergeCell ref="A1303:B1303"/>
    <mergeCell ref="A1304:B1304"/>
    <mergeCell ref="A1295:B1295"/>
    <mergeCell ref="A1296:B1296"/>
    <mergeCell ref="A1297:B1297"/>
    <mergeCell ref="A1298:B1298"/>
    <mergeCell ref="A1299:B1299"/>
    <mergeCell ref="A1270:B1270"/>
    <mergeCell ref="A1271:B1271"/>
    <mergeCell ref="A1272:B1272"/>
    <mergeCell ref="A1273:B1273"/>
    <mergeCell ref="A1274:B1274"/>
    <mergeCell ref="A1265:B1265"/>
    <mergeCell ref="A1266:B1266"/>
    <mergeCell ref="A1267:B1267"/>
    <mergeCell ref="A1268:B1268"/>
    <mergeCell ref="A1269:B1269"/>
    <mergeCell ref="A1280:B1280"/>
    <mergeCell ref="A1281:B1281"/>
    <mergeCell ref="A1282:B1282"/>
    <mergeCell ref="A1283:B1283"/>
    <mergeCell ref="A1284:B1284"/>
    <mergeCell ref="A1275:B1275"/>
    <mergeCell ref="A1276:B1276"/>
    <mergeCell ref="A1277:B1277"/>
    <mergeCell ref="A1278:B1278"/>
    <mergeCell ref="A1279:B1279"/>
    <mergeCell ref="A1261:B1261"/>
    <mergeCell ref="A1262:B1262"/>
    <mergeCell ref="A1263:B1263"/>
    <mergeCell ref="A1264:B1264"/>
    <mergeCell ref="L320:M320"/>
    <mergeCell ref="A294:H294"/>
    <mergeCell ref="A1256:H1256"/>
    <mergeCell ref="A1257:H1257"/>
    <mergeCell ref="L1257:M1257"/>
    <mergeCell ref="A1258:B1258"/>
    <mergeCell ref="A1259:B1259"/>
    <mergeCell ref="A385:H385"/>
    <mergeCell ref="A386:H386"/>
    <mergeCell ref="A387:B387"/>
    <mergeCell ref="L387:M387"/>
    <mergeCell ref="A388:B388"/>
    <mergeCell ref="L388:M388"/>
    <mergeCell ref="A389:B389"/>
    <mergeCell ref="L389:M389"/>
    <mergeCell ref="A390:B390"/>
    <mergeCell ref="A392:B392"/>
    <mergeCell ref="L392:M392"/>
    <mergeCell ref="A393:B393"/>
    <mergeCell ref="L393:M393"/>
    <mergeCell ref="A394:B394"/>
    <mergeCell ref="L394:M394"/>
    <mergeCell ref="A395:B395"/>
    <mergeCell ref="L319:M319"/>
    <mergeCell ref="L312:M312"/>
    <mergeCell ref="A313:B313"/>
    <mergeCell ref="L313:M313"/>
    <mergeCell ref="A314:B314"/>
    <mergeCell ref="A1260:B1260"/>
    <mergeCell ref="A549:B549"/>
    <mergeCell ref="G549:H549"/>
    <mergeCell ref="C517:F517"/>
    <mergeCell ref="C530:F530"/>
    <mergeCell ref="C537:F537"/>
    <mergeCell ref="C546:F546"/>
    <mergeCell ref="L390:M390"/>
    <mergeCell ref="A391:B391"/>
    <mergeCell ref="A544:B544"/>
    <mergeCell ref="G544:H544"/>
    <mergeCell ref="A545:B545"/>
    <mergeCell ref="G545:H545"/>
    <mergeCell ref="A546:B546"/>
    <mergeCell ref="G546:H546"/>
    <mergeCell ref="A547:B547"/>
    <mergeCell ref="G547:H547"/>
    <mergeCell ref="A548:B548"/>
    <mergeCell ref="G548:H548"/>
    <mergeCell ref="A539:B539"/>
    <mergeCell ref="G539:H539"/>
    <mergeCell ref="A1031:B1031"/>
    <mergeCell ref="A1032:B1032"/>
    <mergeCell ref="A1033:B1033"/>
    <mergeCell ref="A1053:B1053"/>
    <mergeCell ref="A1054:B1054"/>
    <mergeCell ref="A1055:B1055"/>
    <mergeCell ref="A1056:B1056"/>
    <mergeCell ref="A1057:B1057"/>
    <mergeCell ref="A1058:B1058"/>
    <mergeCell ref="A540:B540"/>
    <mergeCell ref="G540:H540"/>
    <mergeCell ref="L310:M310"/>
    <mergeCell ref="A311:B311"/>
    <mergeCell ref="L311:M311"/>
    <mergeCell ref="L305:M305"/>
    <mergeCell ref="A306:B306"/>
    <mergeCell ref="L306:M306"/>
    <mergeCell ref="A307:B307"/>
    <mergeCell ref="L307:M307"/>
    <mergeCell ref="A305:B305"/>
    <mergeCell ref="L316:M316"/>
    <mergeCell ref="A317:B317"/>
    <mergeCell ref="L317:M317"/>
    <mergeCell ref="L314:M314"/>
    <mergeCell ref="A315:B315"/>
    <mergeCell ref="L315:M315"/>
    <mergeCell ref="L391:M391"/>
    <mergeCell ref="A358:H358"/>
    <mergeCell ref="A359:H359"/>
    <mergeCell ref="A360:B360"/>
    <mergeCell ref="L360:M360"/>
    <mergeCell ref="A361:B361"/>
    <mergeCell ref="L361:M361"/>
    <mergeCell ref="A362:B362"/>
    <mergeCell ref="A363:B363"/>
    <mergeCell ref="L363:M363"/>
    <mergeCell ref="A364:B364"/>
    <mergeCell ref="L364:M364"/>
    <mergeCell ref="L377:M377"/>
    <mergeCell ref="A378:B378"/>
    <mergeCell ref="L378:M378"/>
    <mergeCell ref="A379:B379"/>
    <mergeCell ref="L379:M379"/>
    <mergeCell ref="A541:B541"/>
    <mergeCell ref="G541:H541"/>
    <mergeCell ref="A542:B542"/>
    <mergeCell ref="G542:H542"/>
    <mergeCell ref="A543:B543"/>
    <mergeCell ref="G543:H543"/>
    <mergeCell ref="A538:B538"/>
    <mergeCell ref="G538:H538"/>
    <mergeCell ref="A529:B529"/>
    <mergeCell ref="G529:H529"/>
    <mergeCell ref="A530:B530"/>
    <mergeCell ref="G530:H530"/>
    <mergeCell ref="A531:B531"/>
    <mergeCell ref="G531:H531"/>
    <mergeCell ref="A532:B532"/>
    <mergeCell ref="G532:H532"/>
    <mergeCell ref="A533:B533"/>
    <mergeCell ref="G533:H533"/>
    <mergeCell ref="A525:B525"/>
    <mergeCell ref="G525:H525"/>
    <mergeCell ref="A526:B526"/>
    <mergeCell ref="G526:H526"/>
    <mergeCell ref="A527:B527"/>
    <mergeCell ref="G527:H527"/>
    <mergeCell ref="A534:B534"/>
    <mergeCell ref="G534:H534"/>
    <mergeCell ref="A535:B535"/>
    <mergeCell ref="G535:H535"/>
    <mergeCell ref="A536:B536"/>
    <mergeCell ref="G536:H536"/>
    <mergeCell ref="A537:B537"/>
    <mergeCell ref="G537:H537"/>
    <mergeCell ref="A519:B519"/>
    <mergeCell ref="G519:H519"/>
    <mergeCell ref="A528:B528"/>
    <mergeCell ref="G528:H528"/>
    <mergeCell ref="A520:B520"/>
    <mergeCell ref="G520:H520"/>
    <mergeCell ref="A521:B521"/>
    <mergeCell ref="G521:H521"/>
    <mergeCell ref="A522:B522"/>
    <mergeCell ref="G522:H522"/>
    <mergeCell ref="A523:B523"/>
    <mergeCell ref="G523:H523"/>
    <mergeCell ref="A524:B524"/>
    <mergeCell ref="G524:H524"/>
    <mergeCell ref="A515:B515"/>
    <mergeCell ref="G515:H515"/>
    <mergeCell ref="A516:B516"/>
    <mergeCell ref="G516:H516"/>
    <mergeCell ref="A517:B517"/>
    <mergeCell ref="G517:H517"/>
    <mergeCell ref="A518:B518"/>
    <mergeCell ref="G518:H518"/>
    <mergeCell ref="A196:B196"/>
    <mergeCell ref="A197:B197"/>
    <mergeCell ref="G181:H190"/>
    <mergeCell ref="A182:B182"/>
    <mergeCell ref="A183:B183"/>
    <mergeCell ref="A184:B184"/>
    <mergeCell ref="F221:H221"/>
    <mergeCell ref="A221:E221"/>
    <mergeCell ref="G510:H510"/>
    <mergeCell ref="G428:H428"/>
    <mergeCell ref="G425:H425"/>
    <mergeCell ref="D260:D261"/>
    <mergeCell ref="A223:E223"/>
    <mergeCell ref="A270:B270"/>
    <mergeCell ref="A264:B264"/>
    <mergeCell ref="A265:B265"/>
    <mergeCell ref="A266:B266"/>
    <mergeCell ref="A267:B267"/>
    <mergeCell ref="A268:B268"/>
    <mergeCell ref="A224:E224"/>
    <mergeCell ref="F224:H224"/>
    <mergeCell ref="F223:H223"/>
    <mergeCell ref="F229:H229"/>
    <mergeCell ref="A240:B240"/>
    <mergeCell ref="A442:B442"/>
    <mergeCell ref="G442:H442"/>
    <mergeCell ref="A443:B443"/>
    <mergeCell ref="G511:H511"/>
    <mergeCell ref="G509:H509"/>
    <mergeCell ref="A230:E230"/>
    <mergeCell ref="A179:B179"/>
    <mergeCell ref="C179:H179"/>
    <mergeCell ref="A180:B180"/>
    <mergeCell ref="E180:F180"/>
    <mergeCell ref="G180:H180"/>
    <mergeCell ref="A225:E225"/>
    <mergeCell ref="F225:H225"/>
    <mergeCell ref="A226:E226"/>
    <mergeCell ref="A228:E228"/>
    <mergeCell ref="F222:H222"/>
    <mergeCell ref="A227:E227"/>
    <mergeCell ref="A198:B198"/>
    <mergeCell ref="A199:B199"/>
    <mergeCell ref="A200:B200"/>
    <mergeCell ref="A202:B202"/>
    <mergeCell ref="A203:B203"/>
    <mergeCell ref="A222:E222"/>
    <mergeCell ref="G430:H430"/>
    <mergeCell ref="C245:D245"/>
    <mergeCell ref="G245:H245"/>
    <mergeCell ref="A269:B269"/>
    <mergeCell ref="A295:H295"/>
    <mergeCell ref="A296:B296"/>
    <mergeCell ref="A437:B437"/>
    <mergeCell ref="A309:B309"/>
    <mergeCell ref="A310:B310"/>
    <mergeCell ref="G438:H438"/>
    <mergeCell ref="A439:B439"/>
    <mergeCell ref="B1586:H1586"/>
    <mergeCell ref="B1583:H1583"/>
    <mergeCell ref="B1582:H1582"/>
    <mergeCell ref="B1584:H1584"/>
    <mergeCell ref="B1585:H1585"/>
    <mergeCell ref="L424:M424"/>
    <mergeCell ref="A420:H420"/>
    <mergeCell ref="A421:A422"/>
    <mergeCell ref="A429:B429"/>
    <mergeCell ref="A426:B426"/>
    <mergeCell ref="A427:B427"/>
    <mergeCell ref="A428:B428"/>
    <mergeCell ref="A514:B514"/>
    <mergeCell ref="G429:H429"/>
    <mergeCell ref="G513:H513"/>
    <mergeCell ref="G512:H512"/>
    <mergeCell ref="G514:H514"/>
    <mergeCell ref="A513:B513"/>
    <mergeCell ref="A512:B512"/>
    <mergeCell ref="A509:B509"/>
    <mergeCell ref="B421:B422"/>
    <mergeCell ref="A508:H508"/>
    <mergeCell ref="A432:B432"/>
    <mergeCell ref="G432:H432"/>
    <mergeCell ref="G439:H439"/>
    <mergeCell ref="A440:B440"/>
    <mergeCell ref="G440:H440"/>
    <mergeCell ref="G433:H433"/>
    <mergeCell ref="A441:B441"/>
    <mergeCell ref="G441:H441"/>
    <mergeCell ref="A435:B435"/>
    <mergeCell ref="G435:H435"/>
    <mergeCell ref="A436:B436"/>
    <mergeCell ref="G443:H443"/>
    <mergeCell ref="A75:B75"/>
    <mergeCell ref="C246:D246"/>
    <mergeCell ref="E246:F246"/>
    <mergeCell ref="G246:H246"/>
    <mergeCell ref="F226:H226"/>
    <mergeCell ref="A220:E220"/>
    <mergeCell ref="A191:B191"/>
    <mergeCell ref="C191:H191"/>
    <mergeCell ref="A263:H263"/>
    <mergeCell ref="E260:E261"/>
    <mergeCell ref="G260:H261"/>
    <mergeCell ref="A181:B181"/>
    <mergeCell ref="E181:F190"/>
    <mergeCell ref="A188:B188"/>
    <mergeCell ref="A189:B189"/>
    <mergeCell ref="A190:B190"/>
    <mergeCell ref="A193:B193"/>
    <mergeCell ref="C193:H193"/>
    <mergeCell ref="A194:B194"/>
    <mergeCell ref="E194:F194"/>
    <mergeCell ref="G194:H194"/>
    <mergeCell ref="A195:B195"/>
    <mergeCell ref="E195:F204"/>
    <mergeCell ref="G195:H204"/>
    <mergeCell ref="G436:H436"/>
    <mergeCell ref="A214:B214"/>
    <mergeCell ref="G437:H437"/>
    <mergeCell ref="A438:B438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G68:H77"/>
    <mergeCell ref="A76:B76"/>
    <mergeCell ref="A77:B77"/>
    <mergeCell ref="D58:H58"/>
    <mergeCell ref="A41:D41"/>
    <mergeCell ref="E41:H41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E42:H42"/>
    <mergeCell ref="E43:H43"/>
    <mergeCell ref="E44:H44"/>
    <mergeCell ref="A42:D42"/>
    <mergeCell ref="A43:D43"/>
    <mergeCell ref="A44:D44"/>
    <mergeCell ref="A39:D39"/>
    <mergeCell ref="E39:H39"/>
    <mergeCell ref="F31:H31"/>
    <mergeCell ref="F32:H32"/>
    <mergeCell ref="A20:D21"/>
    <mergeCell ref="E20:H21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3:H13"/>
    <mergeCell ref="A14:B14"/>
    <mergeCell ref="C14:H14"/>
    <mergeCell ref="C15:H15"/>
    <mergeCell ref="A10:D10"/>
    <mergeCell ref="E10:H10"/>
    <mergeCell ref="A45:H45"/>
    <mergeCell ref="D54:H54"/>
    <mergeCell ref="A54:C54"/>
    <mergeCell ref="G47:H47"/>
    <mergeCell ref="A48:B49"/>
    <mergeCell ref="A74:B74"/>
    <mergeCell ref="A67:B67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57:C57"/>
    <mergeCell ref="A58:C58"/>
    <mergeCell ref="D57:H57"/>
    <mergeCell ref="E68:F77"/>
    <mergeCell ref="A1601:H1603"/>
    <mergeCell ref="A1600:B1600"/>
    <mergeCell ref="E1600:F1600"/>
    <mergeCell ref="C1600:D1600"/>
    <mergeCell ref="G1600:H1600"/>
    <mergeCell ref="A233:H233"/>
    <mergeCell ref="A231:E231"/>
    <mergeCell ref="F231:H231"/>
    <mergeCell ref="A232:E232"/>
    <mergeCell ref="F232:H232"/>
    <mergeCell ref="A424:H424"/>
    <mergeCell ref="A246:B246"/>
    <mergeCell ref="A511:B511"/>
    <mergeCell ref="A235:B235"/>
    <mergeCell ref="A1596:H1596"/>
    <mergeCell ref="A244:H244"/>
    <mergeCell ref="A1599:H1599"/>
    <mergeCell ref="A1597:H1597"/>
    <mergeCell ref="A1580:H1580"/>
    <mergeCell ref="C260:C261"/>
    <mergeCell ref="A1593:H1593"/>
    <mergeCell ref="A1594:H1594"/>
    <mergeCell ref="E245:F245"/>
    <mergeCell ref="E234:F234"/>
    <mergeCell ref="A258:H258"/>
    <mergeCell ref="G427:H427"/>
    <mergeCell ref="A234:B234"/>
    <mergeCell ref="A453:B453"/>
    <mergeCell ref="G453:H453"/>
    <mergeCell ref="A433:B433"/>
    <mergeCell ref="B1587:H1587"/>
    <mergeCell ref="B1588:H1588"/>
    <mergeCell ref="F230:H230"/>
    <mergeCell ref="A510:B510"/>
    <mergeCell ref="A259:H259"/>
    <mergeCell ref="G234:H234"/>
    <mergeCell ref="A229:E229"/>
    <mergeCell ref="C235:D235"/>
    <mergeCell ref="E235:F235"/>
    <mergeCell ref="G426:H426"/>
    <mergeCell ref="B260:B261"/>
    <mergeCell ref="A260:A261"/>
    <mergeCell ref="C421:C422"/>
    <mergeCell ref="A446:B446"/>
    <mergeCell ref="G446:H446"/>
    <mergeCell ref="A447:B447"/>
    <mergeCell ref="G447:H447"/>
    <mergeCell ref="A448:B448"/>
    <mergeCell ref="G448:H448"/>
    <mergeCell ref="A449:B449"/>
    <mergeCell ref="G449:H449"/>
    <mergeCell ref="A450:B450"/>
    <mergeCell ref="G450:H450"/>
    <mergeCell ref="A451:B451"/>
    <mergeCell ref="G451:H451"/>
    <mergeCell ref="A452:B452"/>
    <mergeCell ref="G452:H452"/>
    <mergeCell ref="A462:B462"/>
    <mergeCell ref="G462:H462"/>
    <mergeCell ref="A463:B463"/>
    <mergeCell ref="G463:H463"/>
    <mergeCell ref="A464:B464"/>
    <mergeCell ref="A434:B434"/>
    <mergeCell ref="G434:H434"/>
    <mergeCell ref="A253:B253"/>
    <mergeCell ref="C253:D253"/>
    <mergeCell ref="E253:F253"/>
    <mergeCell ref="G253:H253"/>
    <mergeCell ref="A241:B241"/>
    <mergeCell ref="C241:D241"/>
    <mergeCell ref="E241:F241"/>
    <mergeCell ref="G46:H46"/>
    <mergeCell ref="G48:H48"/>
    <mergeCell ref="D52:H52"/>
    <mergeCell ref="C48:E48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C46:E46"/>
    <mergeCell ref="G237:H237"/>
    <mergeCell ref="A238:B238"/>
    <mergeCell ref="C238:D238"/>
    <mergeCell ref="E238:F238"/>
    <mergeCell ref="G238:H238"/>
    <mergeCell ref="A239:B239"/>
    <mergeCell ref="F227:H227"/>
    <mergeCell ref="C234:D234"/>
    <mergeCell ref="A444:B444"/>
    <mergeCell ref="G444:H444"/>
    <mergeCell ref="A445:B445"/>
    <mergeCell ref="G445:H445"/>
    <mergeCell ref="F228:H228"/>
    <mergeCell ref="L299:M299"/>
    <mergeCell ref="L304:M304"/>
    <mergeCell ref="A399:B399"/>
    <mergeCell ref="A417:B417"/>
    <mergeCell ref="L300:M300"/>
    <mergeCell ref="E40:H40"/>
    <mergeCell ref="A40:D40"/>
    <mergeCell ref="A1598:H1598"/>
    <mergeCell ref="A430:B430"/>
    <mergeCell ref="A1595:H1595"/>
    <mergeCell ref="A425:B425"/>
    <mergeCell ref="A245:B245"/>
    <mergeCell ref="D421:D422"/>
    <mergeCell ref="E421:E422"/>
    <mergeCell ref="G421:H422"/>
    <mergeCell ref="A185:B185"/>
    <mergeCell ref="A186:B186"/>
    <mergeCell ref="A187:B187"/>
    <mergeCell ref="A177:B177"/>
    <mergeCell ref="C177:H177"/>
    <mergeCell ref="A201:B201"/>
    <mergeCell ref="A73:B73"/>
    <mergeCell ref="F220:H220"/>
    <mergeCell ref="A219:H219"/>
    <mergeCell ref="G235:H235"/>
    <mergeCell ref="A204:B204"/>
    <mergeCell ref="A46:B46"/>
    <mergeCell ref="E256:F256"/>
    <mergeCell ref="G256:H256"/>
    <mergeCell ref="L271:M271"/>
    <mergeCell ref="A272:B272"/>
    <mergeCell ref="G272:H272"/>
    <mergeCell ref="L272:M272"/>
    <mergeCell ref="A423:H423"/>
    <mergeCell ref="A431:B431"/>
    <mergeCell ref="G431:H431"/>
    <mergeCell ref="L270:M270"/>
    <mergeCell ref="L269:M269"/>
    <mergeCell ref="G266:H266"/>
    <mergeCell ref="G264:H264"/>
    <mergeCell ref="G270:H270"/>
    <mergeCell ref="G269:H269"/>
    <mergeCell ref="G265:H265"/>
    <mergeCell ref="G268:H268"/>
    <mergeCell ref="G267:H267"/>
    <mergeCell ref="L268:M268"/>
    <mergeCell ref="L267:M267"/>
    <mergeCell ref="L266:M266"/>
    <mergeCell ref="L265:M265"/>
    <mergeCell ref="L264:M264"/>
    <mergeCell ref="L296:M296"/>
    <mergeCell ref="A297:B297"/>
    <mergeCell ref="L297:M297"/>
    <mergeCell ref="A298:B298"/>
    <mergeCell ref="L298:M298"/>
    <mergeCell ref="A299:B299"/>
    <mergeCell ref="L362:M362"/>
    <mergeCell ref="L308:M308"/>
    <mergeCell ref="L309:M309"/>
    <mergeCell ref="A454:B454"/>
    <mergeCell ref="G454:H454"/>
    <mergeCell ref="A455:B455"/>
    <mergeCell ref="G455:H455"/>
    <mergeCell ref="A456:B456"/>
    <mergeCell ref="G456:H456"/>
    <mergeCell ref="A457:B457"/>
    <mergeCell ref="G457:H457"/>
    <mergeCell ref="A458:B458"/>
    <mergeCell ref="G458:H458"/>
    <mergeCell ref="A459:B459"/>
    <mergeCell ref="G459:H459"/>
    <mergeCell ref="A460:B460"/>
    <mergeCell ref="G460:H460"/>
    <mergeCell ref="A365:B365"/>
    <mergeCell ref="L365:M365"/>
    <mergeCell ref="A366:B366"/>
    <mergeCell ref="L366:M366"/>
    <mergeCell ref="A367:B367"/>
    <mergeCell ref="L367:M367"/>
    <mergeCell ref="A368:B368"/>
    <mergeCell ref="L368:M368"/>
    <mergeCell ref="A369:B369"/>
    <mergeCell ref="L369:M369"/>
    <mergeCell ref="A370:B370"/>
    <mergeCell ref="L370:M370"/>
    <mergeCell ref="A371:B371"/>
    <mergeCell ref="L371:M371"/>
    <mergeCell ref="L375:M375"/>
    <mergeCell ref="A376:B376"/>
    <mergeCell ref="L376:M376"/>
    <mergeCell ref="A377:B377"/>
    <mergeCell ref="G469:H469"/>
    <mergeCell ref="A497:B497"/>
    <mergeCell ref="G497:H497"/>
    <mergeCell ref="A498:B498"/>
    <mergeCell ref="G498:H498"/>
    <mergeCell ref="G488:H488"/>
    <mergeCell ref="A489:B489"/>
    <mergeCell ref="G489:H489"/>
    <mergeCell ref="A490:B490"/>
    <mergeCell ref="G490:H490"/>
    <mergeCell ref="A494:B494"/>
    <mergeCell ref="G494:H494"/>
    <mergeCell ref="A495:B495"/>
    <mergeCell ref="G495:H495"/>
    <mergeCell ref="A496:B496"/>
    <mergeCell ref="G496:H496"/>
    <mergeCell ref="A491:B491"/>
    <mergeCell ref="G491:H491"/>
    <mergeCell ref="A492:B492"/>
    <mergeCell ref="G492:H492"/>
    <mergeCell ref="A470:B470"/>
    <mergeCell ref="G470:H470"/>
    <mergeCell ref="A471:B471"/>
    <mergeCell ref="G471:H471"/>
    <mergeCell ref="A472:B472"/>
    <mergeCell ref="G472:H472"/>
    <mergeCell ref="A473:B473"/>
    <mergeCell ref="G473:H473"/>
    <mergeCell ref="A474:B474"/>
    <mergeCell ref="G474:H474"/>
    <mergeCell ref="A475:B475"/>
    <mergeCell ref="A499:B499"/>
    <mergeCell ref="G499:H499"/>
    <mergeCell ref="A487:B487"/>
    <mergeCell ref="G487:H487"/>
    <mergeCell ref="G475:H475"/>
    <mergeCell ref="A476:B476"/>
    <mergeCell ref="G476:H476"/>
    <mergeCell ref="A477:B477"/>
    <mergeCell ref="G477:H477"/>
    <mergeCell ref="A478:B478"/>
    <mergeCell ref="G478:H478"/>
    <mergeCell ref="A500:B500"/>
    <mergeCell ref="G500:H500"/>
    <mergeCell ref="A506:B506"/>
    <mergeCell ref="G506:H506"/>
    <mergeCell ref="A479:B479"/>
    <mergeCell ref="G479:H479"/>
    <mergeCell ref="A480:B480"/>
    <mergeCell ref="G480:H480"/>
    <mergeCell ref="A481:B481"/>
    <mergeCell ref="G481:H481"/>
    <mergeCell ref="A482:B482"/>
    <mergeCell ref="G482:H482"/>
    <mergeCell ref="A483:B483"/>
    <mergeCell ref="G483:H483"/>
    <mergeCell ref="A484:B484"/>
    <mergeCell ref="G484:H484"/>
    <mergeCell ref="A485:B485"/>
    <mergeCell ref="G485:H485"/>
    <mergeCell ref="A486:B486"/>
    <mergeCell ref="G486:H486"/>
    <mergeCell ref="A488:B488"/>
    <mergeCell ref="A461:B461"/>
    <mergeCell ref="G461:H461"/>
    <mergeCell ref="G464:H464"/>
    <mergeCell ref="A465:B465"/>
    <mergeCell ref="G465:H465"/>
    <mergeCell ref="A466:H466"/>
    <mergeCell ref="L466:M466"/>
    <mergeCell ref="A467:B467"/>
    <mergeCell ref="G467:H467"/>
    <mergeCell ref="A468:B468"/>
    <mergeCell ref="G468:H468"/>
    <mergeCell ref="A469:B469"/>
    <mergeCell ref="A372:B372"/>
    <mergeCell ref="L372:M372"/>
    <mergeCell ref="A373:B373"/>
    <mergeCell ref="L373:M373"/>
    <mergeCell ref="A845:B845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52:H552"/>
    <mergeCell ref="L552:M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79:B579"/>
    <mergeCell ref="A580:B580"/>
    <mergeCell ref="A581:H581"/>
    <mergeCell ref="L581:M581"/>
    <mergeCell ref="A582:B582"/>
    <mergeCell ref="A583:B583"/>
    <mergeCell ref="A584:B584"/>
    <mergeCell ref="A585:B585"/>
    <mergeCell ref="A586:B586"/>
    <mergeCell ref="A846:B846"/>
    <mergeCell ref="A847:B847"/>
    <mergeCell ref="A848:B848"/>
    <mergeCell ref="A849:B849"/>
    <mergeCell ref="A850:B850"/>
    <mergeCell ref="A574:B574"/>
    <mergeCell ref="A575:B575"/>
    <mergeCell ref="A576:B576"/>
    <mergeCell ref="A577:B577"/>
    <mergeCell ref="A578:B578"/>
    <mergeCell ref="L610:M610"/>
    <mergeCell ref="A611:B611"/>
    <mergeCell ref="A612:B612"/>
    <mergeCell ref="A613:B613"/>
    <mergeCell ref="A614:B614"/>
    <mergeCell ref="A597:B597"/>
    <mergeCell ref="A598:B598"/>
    <mergeCell ref="A599:B599"/>
    <mergeCell ref="A600:B600"/>
    <mergeCell ref="A601:B601"/>
    <mergeCell ref="A380:B380"/>
    <mergeCell ref="L380:M380"/>
    <mergeCell ref="A381:B381"/>
    <mergeCell ref="L381:M381"/>
    <mergeCell ref="A382:B382"/>
    <mergeCell ref="L382:M382"/>
    <mergeCell ref="A383:B383"/>
    <mergeCell ref="L383:M383"/>
    <mergeCell ref="A384:B384"/>
    <mergeCell ref="L384:M384"/>
    <mergeCell ref="A840:H840"/>
    <mergeCell ref="A841:H841"/>
    <mergeCell ref="L841:M841"/>
    <mergeCell ref="A507:B507"/>
    <mergeCell ref="G507:H507"/>
    <mergeCell ref="A501:B501"/>
    <mergeCell ref="G501:H501"/>
    <mergeCell ref="A502:B502"/>
    <mergeCell ref="G502:H502"/>
    <mergeCell ref="A503:B503"/>
    <mergeCell ref="G503:H503"/>
    <mergeCell ref="A504:B504"/>
    <mergeCell ref="G504:H504"/>
    <mergeCell ref="A505:B505"/>
    <mergeCell ref="G505:H505"/>
    <mergeCell ref="A493:B493"/>
    <mergeCell ref="A561:B561"/>
    <mergeCell ref="A587:B587"/>
    <mergeCell ref="A570:B570"/>
    <mergeCell ref="A571:B571"/>
    <mergeCell ref="A572:B572"/>
    <mergeCell ref="A573:B573"/>
    <mergeCell ref="L870:M870"/>
    <mergeCell ref="A871:B871"/>
    <mergeCell ref="A872:B872"/>
    <mergeCell ref="A873:B873"/>
    <mergeCell ref="A874:B874"/>
    <mergeCell ref="A875:B875"/>
    <mergeCell ref="A876:B876"/>
    <mergeCell ref="A877:B877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B1590:H1590"/>
    <mergeCell ref="A273:H273"/>
    <mergeCell ref="A550:H550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05:B905"/>
    <mergeCell ref="A906:B906"/>
    <mergeCell ref="A907:B907"/>
    <mergeCell ref="A908:B908"/>
    <mergeCell ref="A909:B909"/>
    <mergeCell ref="A910:B910"/>
    <mergeCell ref="A899:H899"/>
    <mergeCell ref="A900:B900"/>
    <mergeCell ref="A901:B901"/>
    <mergeCell ref="A902:B902"/>
    <mergeCell ref="A903:B903"/>
    <mergeCell ref="A904:B904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L284:M284"/>
    <mergeCell ref="A285:B285"/>
    <mergeCell ref="B1581:H1581"/>
    <mergeCell ref="A924:B924"/>
    <mergeCell ref="A925:B925"/>
    <mergeCell ref="A926:B926"/>
    <mergeCell ref="A927:B927"/>
    <mergeCell ref="A236:B236"/>
    <mergeCell ref="C236:D236"/>
    <mergeCell ref="E236:F236"/>
    <mergeCell ref="G236:H236"/>
    <mergeCell ref="A250:B250"/>
    <mergeCell ref="C250:D250"/>
    <mergeCell ref="E250:F250"/>
    <mergeCell ref="G250:H250"/>
    <mergeCell ref="A911:B911"/>
    <mergeCell ref="A912:B912"/>
    <mergeCell ref="C912:F914"/>
    <mergeCell ref="A913:B913"/>
    <mergeCell ref="A914:B914"/>
    <mergeCell ref="A896:B896"/>
    <mergeCell ref="A897:B897"/>
    <mergeCell ref="A898:B898"/>
    <mergeCell ref="L899:M899"/>
    <mergeCell ref="A895:B895"/>
    <mergeCell ref="G871:H898"/>
    <mergeCell ref="A878:B878"/>
    <mergeCell ref="A879:B879"/>
    <mergeCell ref="A880:B880"/>
    <mergeCell ref="A881:B881"/>
    <mergeCell ref="A882:B882"/>
    <mergeCell ref="A883:B883"/>
    <mergeCell ref="L285:M285"/>
    <mergeCell ref="A286:B286"/>
    <mergeCell ref="L286:M286"/>
    <mergeCell ref="A287:B287"/>
    <mergeCell ref="L287:M287"/>
    <mergeCell ref="A288:B288"/>
    <mergeCell ref="L288:M288"/>
    <mergeCell ref="A289:B289"/>
    <mergeCell ref="L289:M289"/>
    <mergeCell ref="A290:B290"/>
    <mergeCell ref="L290:M290"/>
    <mergeCell ref="A291:B291"/>
    <mergeCell ref="L291:M291"/>
    <mergeCell ref="B1592:H1592"/>
    <mergeCell ref="A274:H274"/>
    <mergeCell ref="A275:H275"/>
    <mergeCell ref="A276:B276"/>
    <mergeCell ref="L276:M276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A281:B281"/>
    <mergeCell ref="L281:M281"/>
    <mergeCell ref="A282:B282"/>
    <mergeCell ref="L282:M282"/>
    <mergeCell ref="A283:B283"/>
    <mergeCell ref="L283:M283"/>
    <mergeCell ref="L326:M326"/>
    <mergeCell ref="A327:B327"/>
    <mergeCell ref="L327:M327"/>
    <mergeCell ref="A328:B328"/>
    <mergeCell ref="L328:M328"/>
    <mergeCell ref="A329:B329"/>
    <mergeCell ref="L329:M329"/>
    <mergeCell ref="A330:B330"/>
    <mergeCell ref="L330:M330"/>
    <mergeCell ref="A331:B331"/>
    <mergeCell ref="L331:M331"/>
    <mergeCell ref="A292:B292"/>
    <mergeCell ref="L292:M292"/>
    <mergeCell ref="A293:B293"/>
    <mergeCell ref="L293:M293"/>
    <mergeCell ref="A321:H321"/>
    <mergeCell ref="A322:H322"/>
    <mergeCell ref="A323:B323"/>
    <mergeCell ref="L323:M323"/>
    <mergeCell ref="A324:B324"/>
    <mergeCell ref="L324:M324"/>
    <mergeCell ref="A325:B325"/>
    <mergeCell ref="L325:M325"/>
    <mergeCell ref="A301:B301"/>
    <mergeCell ref="L301:M301"/>
    <mergeCell ref="A302:B302"/>
    <mergeCell ref="L302:M302"/>
    <mergeCell ref="A303:B303"/>
    <mergeCell ref="L303:M303"/>
    <mergeCell ref="A318:B318"/>
    <mergeCell ref="L318:M318"/>
    <mergeCell ref="A319:B319"/>
    <mergeCell ref="L339:M339"/>
    <mergeCell ref="A340:B340"/>
    <mergeCell ref="L340:M340"/>
    <mergeCell ref="A341:B341"/>
    <mergeCell ref="L341:M341"/>
    <mergeCell ref="A342:B342"/>
    <mergeCell ref="L342:M342"/>
    <mergeCell ref="A343:B343"/>
    <mergeCell ref="L343:M343"/>
    <mergeCell ref="A344:B344"/>
    <mergeCell ref="L344:M344"/>
    <mergeCell ref="A332:B332"/>
    <mergeCell ref="L332:M332"/>
    <mergeCell ref="A333:B333"/>
    <mergeCell ref="L333:M333"/>
    <mergeCell ref="A334:B334"/>
    <mergeCell ref="L334:M334"/>
    <mergeCell ref="A335:B335"/>
    <mergeCell ref="L335:M335"/>
    <mergeCell ref="A336:B336"/>
    <mergeCell ref="L336:M336"/>
    <mergeCell ref="A337:H337"/>
    <mergeCell ref="A338:H338"/>
    <mergeCell ref="A353:B353"/>
    <mergeCell ref="L353:M353"/>
    <mergeCell ref="A354:B354"/>
    <mergeCell ref="L354:M354"/>
    <mergeCell ref="A355:B355"/>
    <mergeCell ref="L355:M355"/>
    <mergeCell ref="A356:B356"/>
    <mergeCell ref="L356:M356"/>
    <mergeCell ref="A357:B357"/>
    <mergeCell ref="L357:M357"/>
    <mergeCell ref="A347:H347"/>
    <mergeCell ref="A551:H551"/>
    <mergeCell ref="G349:H357"/>
    <mergeCell ref="G360:H384"/>
    <mergeCell ref="G387:H400"/>
    <mergeCell ref="G403:H419"/>
    <mergeCell ref="A345:B345"/>
    <mergeCell ref="L345:M345"/>
    <mergeCell ref="A346:H346"/>
    <mergeCell ref="A348:H348"/>
    <mergeCell ref="A349:B349"/>
    <mergeCell ref="L349:M349"/>
    <mergeCell ref="A350:B350"/>
    <mergeCell ref="L350:M350"/>
    <mergeCell ref="A351:B351"/>
    <mergeCell ref="L351:M351"/>
    <mergeCell ref="A352:B352"/>
    <mergeCell ref="L352:M352"/>
    <mergeCell ref="G493:H493"/>
    <mergeCell ref="A374:B374"/>
    <mergeCell ref="L374:M374"/>
    <mergeCell ref="A375:B375"/>
    <mergeCell ref="A602:B602"/>
    <mergeCell ref="A603:B603"/>
    <mergeCell ref="A604:B604"/>
    <mergeCell ref="A605:B605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630:B630"/>
    <mergeCell ref="A631:B631"/>
    <mergeCell ref="A632:B632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06:B606"/>
    <mergeCell ref="A607:B607"/>
    <mergeCell ref="A608:B608"/>
    <mergeCell ref="A609:B609"/>
    <mergeCell ref="A610:H610"/>
    <mergeCell ref="A633:B633"/>
    <mergeCell ref="A634:B634"/>
    <mergeCell ref="A635:B635"/>
    <mergeCell ref="A636:B636"/>
    <mergeCell ref="A637:B637"/>
    <mergeCell ref="A638:B638"/>
    <mergeCell ref="C623:F625"/>
    <mergeCell ref="G553:H580"/>
    <mergeCell ref="G582:H609"/>
    <mergeCell ref="G611:H638"/>
    <mergeCell ref="G842:H869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40:H640"/>
    <mergeCell ref="A624:B624"/>
    <mergeCell ref="A625:B625"/>
    <mergeCell ref="A626:B626"/>
    <mergeCell ref="A627:B627"/>
    <mergeCell ref="A628:B628"/>
    <mergeCell ref="A629:B629"/>
    <mergeCell ref="G900:H927"/>
    <mergeCell ref="G1258:H1285"/>
    <mergeCell ref="G1287:H1314"/>
    <mergeCell ref="G1316:H1343"/>
    <mergeCell ref="G1346:H1381"/>
    <mergeCell ref="G1383:H1418"/>
    <mergeCell ref="G1420:H1455"/>
    <mergeCell ref="G1458:H1497"/>
    <mergeCell ref="G1499:H1538"/>
    <mergeCell ref="G1540:H1579"/>
    <mergeCell ref="A639:H639"/>
    <mergeCell ref="A641:H641"/>
    <mergeCell ref="L641:M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54:B654"/>
    <mergeCell ref="A655:B655"/>
    <mergeCell ref="A884:B884"/>
    <mergeCell ref="A885:B885"/>
    <mergeCell ref="A886:B886"/>
    <mergeCell ref="A869:B869"/>
    <mergeCell ref="A870:H870"/>
    <mergeCell ref="L640:M640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9:B679"/>
    <mergeCell ref="A680:B680"/>
    <mergeCell ref="A681:B681"/>
    <mergeCell ref="G642:H677"/>
    <mergeCell ref="A678:H678"/>
    <mergeCell ref="L678:M678"/>
    <mergeCell ref="G679:H714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H715"/>
    <mergeCell ref="L715:M715"/>
    <mergeCell ref="A716:B716"/>
    <mergeCell ref="G716:H751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C720:F721"/>
    <mergeCell ref="C737:F737"/>
    <mergeCell ref="C745:F745"/>
    <mergeCell ref="A752:H752"/>
    <mergeCell ref="A753:H753"/>
    <mergeCell ref="L753:M753"/>
    <mergeCell ref="A754:B754"/>
    <mergeCell ref="G754:H781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H782"/>
    <mergeCell ref="L782:M782"/>
    <mergeCell ref="A783:B783"/>
    <mergeCell ref="A784:B784"/>
    <mergeCell ref="A785:B785"/>
    <mergeCell ref="A786:B786"/>
    <mergeCell ref="A832:B832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C824:F826"/>
    <mergeCell ref="A804:B804"/>
    <mergeCell ref="A805:B805"/>
    <mergeCell ref="A806:B806"/>
    <mergeCell ref="A807:B807"/>
    <mergeCell ref="A808:B808"/>
    <mergeCell ref="A809:B809"/>
    <mergeCell ref="A810:B810"/>
    <mergeCell ref="G783:H810"/>
    <mergeCell ref="A811:H811"/>
    <mergeCell ref="L811:M811"/>
    <mergeCell ref="A812:B812"/>
    <mergeCell ref="G812:H839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833:B833"/>
    <mergeCell ref="A834:B834"/>
    <mergeCell ref="A835:B835"/>
    <mergeCell ref="A836:B836"/>
    <mergeCell ref="A837:B837"/>
    <mergeCell ref="A838:B838"/>
    <mergeCell ref="A839:B839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59:B859"/>
    <mergeCell ref="A842:B842"/>
    <mergeCell ref="A843:B843"/>
    <mergeCell ref="A844:B844"/>
    <mergeCell ref="A996:B996"/>
    <mergeCell ref="A997:B997"/>
    <mergeCell ref="A998:B998"/>
    <mergeCell ref="A999:B999"/>
    <mergeCell ref="A1000:B1000"/>
    <mergeCell ref="A1001:B1001"/>
    <mergeCell ref="A1002:B1002"/>
    <mergeCell ref="A928:H928"/>
    <mergeCell ref="A929:H929"/>
    <mergeCell ref="L929:M929"/>
    <mergeCell ref="A930:B930"/>
    <mergeCell ref="G930:H965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943:B943"/>
    <mergeCell ref="A944:B944"/>
    <mergeCell ref="A945:B945"/>
    <mergeCell ref="A965:B965"/>
    <mergeCell ref="A948:B948"/>
    <mergeCell ref="A949:B949"/>
    <mergeCell ref="A950:B950"/>
    <mergeCell ref="A951:B951"/>
    <mergeCell ref="A946:B946"/>
    <mergeCell ref="A947:B947"/>
    <mergeCell ref="A966:H966"/>
    <mergeCell ref="L966:M966"/>
    <mergeCell ref="A967:B967"/>
    <mergeCell ref="G967:H1002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94:B994"/>
    <mergeCell ref="A995:B995"/>
    <mergeCell ref="A1003:H1003"/>
    <mergeCell ref="L1003:M1003"/>
    <mergeCell ref="A1004:B1004"/>
    <mergeCell ref="G1004:H1039"/>
    <mergeCell ref="A1005:B1005"/>
    <mergeCell ref="A1006:B1006"/>
    <mergeCell ref="A1007:B1007"/>
    <mergeCell ref="A1008:B1008"/>
    <mergeCell ref="A1009:B1009"/>
    <mergeCell ref="A1010:B1010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1028:B1028"/>
    <mergeCell ref="A1029:B1029"/>
    <mergeCell ref="A1030:B1030"/>
    <mergeCell ref="C1008:F1009"/>
    <mergeCell ref="C1026:F1026"/>
    <mergeCell ref="C1033:F1033"/>
    <mergeCell ref="A1040:H1040"/>
    <mergeCell ref="A1041:H1041"/>
    <mergeCell ref="L1041:M1041"/>
    <mergeCell ref="A1042:B1042"/>
    <mergeCell ref="A1043:B1043"/>
    <mergeCell ref="A1044:B1044"/>
    <mergeCell ref="A1045:B1045"/>
    <mergeCell ref="A1046:B1046"/>
    <mergeCell ref="A1047:B1047"/>
    <mergeCell ref="A1048:B1048"/>
    <mergeCell ref="A1049:B1049"/>
    <mergeCell ref="A1050:B1050"/>
    <mergeCell ref="A1034:B1034"/>
    <mergeCell ref="A1035:B1035"/>
    <mergeCell ref="A1036:B1036"/>
    <mergeCell ref="A1037:B1037"/>
    <mergeCell ref="A1038:B1038"/>
    <mergeCell ref="A1039:B1039"/>
    <mergeCell ref="A1051:B1051"/>
    <mergeCell ref="A1052:B1052"/>
    <mergeCell ref="A1059:B1059"/>
    <mergeCell ref="A1060:B1060"/>
    <mergeCell ref="A1061:B1061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G1042:H1069"/>
    <mergeCell ref="A1070:H1070"/>
    <mergeCell ref="L1070:M1070"/>
    <mergeCell ref="A1071:B1071"/>
    <mergeCell ref="G1071:H1098"/>
    <mergeCell ref="A1072:B1072"/>
    <mergeCell ref="A1073:B1073"/>
    <mergeCell ref="A1074:B1074"/>
    <mergeCell ref="A1075:B1075"/>
    <mergeCell ref="A1076:B1076"/>
    <mergeCell ref="A1077:B1077"/>
    <mergeCell ref="A1078:B1078"/>
    <mergeCell ref="A1079:B1079"/>
    <mergeCell ref="A1080:B1080"/>
    <mergeCell ref="A1081:B1081"/>
    <mergeCell ref="A1082:B1082"/>
    <mergeCell ref="A1083:B1083"/>
    <mergeCell ref="A1084:B1084"/>
    <mergeCell ref="A1085:B1085"/>
    <mergeCell ref="A1122:B1122"/>
    <mergeCell ref="A1123:B1123"/>
    <mergeCell ref="A1124:B1124"/>
    <mergeCell ref="A1125:B1125"/>
    <mergeCell ref="A1126:B1126"/>
    <mergeCell ref="A1127:B1127"/>
    <mergeCell ref="A1086:B1086"/>
    <mergeCell ref="A1087:B1087"/>
    <mergeCell ref="L1099:M1099"/>
    <mergeCell ref="A1100:B1100"/>
    <mergeCell ref="G1100:H1127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113:B1113"/>
    <mergeCell ref="A1114:B1114"/>
    <mergeCell ref="A1115:B1115"/>
    <mergeCell ref="A1116:B1116"/>
    <mergeCell ref="A1117:B1117"/>
    <mergeCell ref="C1112:F1114"/>
    <mergeCell ref="A1156:B1156"/>
    <mergeCell ref="A1157:B1157"/>
    <mergeCell ref="A1158:B1158"/>
    <mergeCell ref="A1159:B1159"/>
    <mergeCell ref="A1160:B1160"/>
    <mergeCell ref="A1161:B1161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96:B1096"/>
    <mergeCell ref="A1097:B1097"/>
    <mergeCell ref="A1098:B1098"/>
    <mergeCell ref="A1099:H1099"/>
    <mergeCell ref="A1118:B1118"/>
    <mergeCell ref="A1119:B1119"/>
    <mergeCell ref="A1120:B1120"/>
    <mergeCell ref="A1121:B1121"/>
    <mergeCell ref="A1192:B1192"/>
    <mergeCell ref="A1193:B1193"/>
    <mergeCell ref="A1194:B1194"/>
    <mergeCell ref="A1195:B1195"/>
    <mergeCell ref="A1196:B1196"/>
    <mergeCell ref="A1197:B1197"/>
    <mergeCell ref="A1128:H1128"/>
    <mergeCell ref="A1129:H1129"/>
    <mergeCell ref="A1130:H1130"/>
    <mergeCell ref="L1130:M1130"/>
    <mergeCell ref="A1131:B1131"/>
    <mergeCell ref="A1132:B1132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G1131:H1171"/>
    <mergeCell ref="A1172:H1172"/>
    <mergeCell ref="L1172:M1172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209:B1209"/>
    <mergeCell ref="A1210:B1210"/>
    <mergeCell ref="A1211:B1211"/>
    <mergeCell ref="A1212:B1212"/>
    <mergeCell ref="A1213:B1213"/>
    <mergeCell ref="A1214:H1214"/>
    <mergeCell ref="A1162:B1162"/>
    <mergeCell ref="A1163:B1163"/>
    <mergeCell ref="A1133:B1133"/>
    <mergeCell ref="A1134:B1134"/>
    <mergeCell ref="A1135:B1135"/>
    <mergeCell ref="A1136:B1136"/>
    <mergeCell ref="A1173:B1173"/>
    <mergeCell ref="G1173:H1213"/>
    <mergeCell ref="A1174:B1174"/>
    <mergeCell ref="A1175:B1175"/>
    <mergeCell ref="A1176:B1176"/>
    <mergeCell ref="A1177:B1177"/>
    <mergeCell ref="A1178:B1178"/>
    <mergeCell ref="A1179:B1179"/>
    <mergeCell ref="A1180:B1180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L1214:M1214"/>
    <mergeCell ref="A1215:B1215"/>
    <mergeCell ref="G1215:H125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1:B1231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47:B1247"/>
    <mergeCell ref="A1248:B1248"/>
    <mergeCell ref="A1249:B1249"/>
    <mergeCell ref="A1250:B1250"/>
    <mergeCell ref="A1251:B1251"/>
    <mergeCell ref="A1252:B1252"/>
    <mergeCell ref="A1253:B1253"/>
    <mergeCell ref="A1254:B1254"/>
    <mergeCell ref="A1255:B1255"/>
    <mergeCell ref="C1223:F1223"/>
    <mergeCell ref="C1236:F1236"/>
    <mergeCell ref="C1243:F1243"/>
    <mergeCell ref="C1252:F1252"/>
    <mergeCell ref="A237:B237"/>
    <mergeCell ref="C237:D237"/>
    <mergeCell ref="E237:F237"/>
    <mergeCell ref="A249:B249"/>
    <mergeCell ref="C249:D249"/>
    <mergeCell ref="E249:F249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C239:D239"/>
    <mergeCell ref="E239:F239"/>
    <mergeCell ref="G239:H239"/>
    <mergeCell ref="A247:B247"/>
    <mergeCell ref="C247:D247"/>
    <mergeCell ref="E247:F247"/>
    <mergeCell ref="G247:H247"/>
    <mergeCell ref="A248:B248"/>
    <mergeCell ref="C248:D248"/>
    <mergeCell ref="E248:F248"/>
    <mergeCell ref="G248:H248"/>
    <mergeCell ref="C240:D240"/>
    <mergeCell ref="E240:F240"/>
    <mergeCell ref="G240:H240"/>
    <mergeCell ref="A243:B243"/>
    <mergeCell ref="C243:D243"/>
    <mergeCell ref="G241:H241"/>
    <mergeCell ref="A242:B242"/>
    <mergeCell ref="C242:D242"/>
    <mergeCell ref="E242:F242"/>
    <mergeCell ref="G242:H242"/>
    <mergeCell ref="E243:F243"/>
    <mergeCell ref="G243:H243"/>
    <mergeCell ref="G249:H249"/>
    <mergeCell ref="A251:B251"/>
    <mergeCell ref="C251:D251"/>
    <mergeCell ref="E251:F251"/>
    <mergeCell ref="G251:H251"/>
    <mergeCell ref="A252:B252"/>
    <mergeCell ref="C252:D252"/>
    <mergeCell ref="E252:F252"/>
    <mergeCell ref="G252:H252"/>
    <mergeCell ref="A257:B257"/>
    <mergeCell ref="C257:D257"/>
    <mergeCell ref="E257:F257"/>
    <mergeCell ref="G257:H257"/>
    <mergeCell ref="G276:H293"/>
    <mergeCell ref="G296:H320"/>
    <mergeCell ref="G323:H336"/>
    <mergeCell ref="G339:H345"/>
    <mergeCell ref="A339:B339"/>
    <mergeCell ref="A326:B326"/>
    <mergeCell ref="A284:B284"/>
    <mergeCell ref="A254:B254"/>
    <mergeCell ref="A262:H262"/>
    <mergeCell ref="A271:B271"/>
    <mergeCell ref="G271:H271"/>
    <mergeCell ref="A300:B300"/>
    <mergeCell ref="A304:B304"/>
    <mergeCell ref="A308:B308"/>
    <mergeCell ref="A312:B312"/>
    <mergeCell ref="A316:B316"/>
    <mergeCell ref="A320:B320"/>
    <mergeCell ref="A256:B256"/>
    <mergeCell ref="C256:D256"/>
    <mergeCell ref="A106:B106"/>
    <mergeCell ref="C106:H106"/>
    <mergeCell ref="A108:B108"/>
    <mergeCell ref="C108:H108"/>
    <mergeCell ref="A109:B109"/>
    <mergeCell ref="E109:F109"/>
    <mergeCell ref="G109:H109"/>
    <mergeCell ref="A110:B110"/>
    <mergeCell ref="E110:F119"/>
    <mergeCell ref="G110:H119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48:B148"/>
    <mergeCell ref="C148:H148"/>
    <mergeCell ref="A150:B150"/>
    <mergeCell ref="C150:H150"/>
    <mergeCell ref="A151:B151"/>
    <mergeCell ref="E151:F151"/>
    <mergeCell ref="G151:H151"/>
    <mergeCell ref="A152:B152"/>
    <mergeCell ref="E152:F161"/>
    <mergeCell ref="G152:H161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20:B120"/>
    <mergeCell ref="C120:H120"/>
    <mergeCell ref="A122:B122"/>
    <mergeCell ref="C122:H122"/>
    <mergeCell ref="A123:B123"/>
    <mergeCell ref="E123:F123"/>
    <mergeCell ref="G123:H123"/>
    <mergeCell ref="A124:B124"/>
    <mergeCell ref="E124:F133"/>
    <mergeCell ref="G124:H133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134:B134"/>
    <mergeCell ref="C134:H134"/>
    <mergeCell ref="A136:B136"/>
    <mergeCell ref="C136:H136"/>
    <mergeCell ref="A137:B137"/>
    <mergeCell ref="E137:F137"/>
    <mergeCell ref="G137:H137"/>
    <mergeCell ref="A138:B138"/>
    <mergeCell ref="E138:F147"/>
    <mergeCell ref="G138:H147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7" max="16383" man="1"/>
    <brk id="161" max="16383" man="1"/>
    <brk id="1603" max="16383" man="1"/>
    <brk id="164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M18" sqref="M18"/>
    </sheetView>
  </sheetViews>
  <sheetFormatPr defaultRowHeight="14.5" x14ac:dyDescent="0.35"/>
  <cols>
    <col min="2" max="2" width="14.1796875" customWidth="1"/>
    <col min="3" max="3" width="14.81640625" customWidth="1"/>
    <col min="9" max="9" width="7" style="57" customWidth="1"/>
    <col min="10" max="10" width="8.1796875" customWidth="1"/>
    <col min="11" max="11" width="23.1796875" customWidth="1"/>
    <col min="12" max="12" width="10.54296875" customWidth="1"/>
  </cols>
  <sheetData>
    <row r="1" spans="1:12" x14ac:dyDescent="0.35">
      <c r="A1" s="269" t="s">
        <v>154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2" ht="15" thickBot="1" x14ac:dyDescent="0.4"/>
    <row r="3" spans="1:12" ht="15.75" customHeight="1" x14ac:dyDescent="0.35">
      <c r="A3" s="276" t="s">
        <v>153</v>
      </c>
      <c r="B3" s="277"/>
      <c r="C3" s="274" t="s">
        <v>160</v>
      </c>
      <c r="D3" s="274"/>
      <c r="E3" s="274"/>
      <c r="F3" s="274"/>
      <c r="G3" s="274"/>
      <c r="H3" s="274"/>
      <c r="I3" s="274"/>
      <c r="J3" s="274"/>
      <c r="K3" s="55" t="str">
        <f ca="1">(IF(F7&gt;99%,"All work completed. Please provide OC.",IF(F7&gt;89.8%,"Plinth, RCC, Brick, Plaster, Flooring, Painting work Completed. Finishing work is in process.",IF(F7&lt;94%,(IF(C7=0,"Work not yet Started.",IF(D7=25%,"Piling work in process",IF(D7=50%,"Excavation work in process",IF(D7=100%,"Excavation work Completed. ","0")))&amp;(IF(C8=0%,"",IF(C8=L9,"Footing work is process",IF(C8=L10,"Footing work Completed",IF(C8=L11,"1st Basement Completed",IF(C8=L12,"1st &amp; 2nd Basement Completed",IF(C8=L13,"1st to 3rd Basement Completed",IF(C8=L14,"1st to 4th Basement Completed",IF(C8=L15,"Plinth work is process",IF(C8=L16,"Plinth work completed","0")))))))))))&amp;(IF(C9=(D4+G4+I4),", RCC Slab",IF(C9&gt;0,", RCC upto "&amp;C9&amp;" Slab",""))&amp;(IF(C10=I4,", Brickwork",IF(C10&gt;0,", Brickwork upto "&amp;C10&amp;" Floor",""))&amp;(IF(C11=I4,", Internal Plaster",IF(C11&gt;0,", Internal Plaster upto "&amp;C11&amp;" Floor",""))&amp;(IF(C12=I4,", External Plaster",IF(C12&gt;0,", External Plaster upto "&amp;C12&amp;" Floor",""))&amp;(IF(C13=I4,", Flooring",IF(C13&gt;0,", Flooring upto "&amp;C13&amp;" Floor",""))&amp;(IF(C14=I4,", Painting",IF(C14&gt;0,", Painting upto "&amp;C14&amp;" Floor",""))&amp;(IF(C15&gt;0,", Finishing upto "&amp;C15&amp;" Floor","")&amp;(IF(C9&gt;0.5," Completed",""))))))))))))))</f>
        <v>Excavation work Completed. Plinth work completed, RCC Slab Completed</v>
      </c>
      <c r="L3" s="79"/>
    </row>
    <row r="4" spans="1:12" ht="15.5" x14ac:dyDescent="0.35">
      <c r="A4" s="66" t="s">
        <v>156</v>
      </c>
      <c r="B4" s="84">
        <v>0</v>
      </c>
      <c r="C4" s="77" t="s">
        <v>75</v>
      </c>
      <c r="D4" s="77">
        <v>1</v>
      </c>
      <c r="E4" s="242" t="s">
        <v>74</v>
      </c>
      <c r="F4" s="242"/>
      <c r="G4" s="56">
        <v>0</v>
      </c>
      <c r="H4" s="87" t="s">
        <v>87</v>
      </c>
      <c r="I4" s="242">
        <f ca="1">--TRIM(RIGHT(SUBSTITUTE(LEFT(C3,_xlfn.AGGREGATE(16,6,FIND({0,1,2,3,4,5,6,7,8,9},C3,ROW(INDIRECT("1:"&amp;LEN(C3)))),1))," ",REPT(" ",LEN(C3))),LEN(C3)))</f>
        <v>20</v>
      </c>
      <c r="J4" s="242"/>
      <c r="K4" s="55"/>
      <c r="L4" s="79"/>
    </row>
    <row r="5" spans="1:12" ht="15.75" customHeight="1" x14ac:dyDescent="0.35">
      <c r="A5" s="270" t="s">
        <v>97</v>
      </c>
      <c r="B5" s="271"/>
      <c r="C5" s="148" t="str">
        <f ca="1">K3</f>
        <v>Excavation work Completed. Plinth work completed, RCC Slab Completed</v>
      </c>
      <c r="D5" s="148"/>
      <c r="E5" s="148"/>
      <c r="F5" s="148"/>
      <c r="G5" s="148"/>
      <c r="H5" s="148"/>
      <c r="I5" s="148"/>
      <c r="J5" s="148"/>
      <c r="K5" s="55" t="s">
        <v>115</v>
      </c>
      <c r="L5" s="79"/>
    </row>
    <row r="6" spans="1:12" ht="15.75" customHeight="1" x14ac:dyDescent="0.35">
      <c r="A6" s="272" t="s">
        <v>50</v>
      </c>
      <c r="B6" s="273"/>
      <c r="C6" s="78" t="s">
        <v>152</v>
      </c>
      <c r="D6" s="275" t="s">
        <v>90</v>
      </c>
      <c r="E6" s="275"/>
      <c r="F6" s="275" t="s">
        <v>92</v>
      </c>
      <c r="G6" s="275"/>
      <c r="H6" s="275" t="s">
        <v>91</v>
      </c>
      <c r="I6" s="275"/>
      <c r="J6" s="275"/>
      <c r="K6" s="47" t="s">
        <v>155</v>
      </c>
      <c r="L6" s="80">
        <f ca="1">I4*25%</f>
        <v>5</v>
      </c>
    </row>
    <row r="7" spans="1:12" ht="15.75" customHeight="1" x14ac:dyDescent="0.35">
      <c r="A7" s="267" t="s">
        <v>141</v>
      </c>
      <c r="B7" s="268"/>
      <c r="C7" s="9">
        <f ca="1">L8</f>
        <v>20</v>
      </c>
      <c r="D7" s="266">
        <f ca="1">((100/I4)*C7)/100</f>
        <v>1</v>
      </c>
      <c r="E7" s="266"/>
      <c r="F7" s="266">
        <f ca="1">(((C8/I4*10)+(40/(D4+G4+I4)*C9)+(7.5/(I4)*C10)+(7.5/(I4)*C11)+(10/I4*C12)+(10/I4*C13)+(5/I4*C14)+(5/I4*C15)+(5/I4*C16))/100)</f>
        <v>0.5</v>
      </c>
      <c r="G7" s="266"/>
      <c r="H7" s="266">
        <f ca="1">((((C7/I4)*20)+((C8/I4)*25)+(30/(I4+G4+D4)*C9)+(5/I4*C10)+(5/I4*C11)+(5/I4*C12)+(5/I4*C13)+(0/I4*C14)+(0/I4*C15)+(5/I4*C16))/100)</f>
        <v>0.75</v>
      </c>
      <c r="I7" s="266"/>
      <c r="J7" s="266"/>
      <c r="K7" s="47" t="s">
        <v>110</v>
      </c>
      <c r="L7" s="81">
        <f ca="1">I4*50%</f>
        <v>10</v>
      </c>
    </row>
    <row r="8" spans="1:12" ht="15.5" x14ac:dyDescent="0.35">
      <c r="A8" s="267" t="s">
        <v>51</v>
      </c>
      <c r="B8" s="268"/>
      <c r="C8" s="10">
        <f ca="1">L16</f>
        <v>20</v>
      </c>
      <c r="D8" s="266">
        <f ca="1">((100/I4)*C8)/100</f>
        <v>1</v>
      </c>
      <c r="E8" s="266"/>
      <c r="F8" s="266"/>
      <c r="G8" s="266"/>
      <c r="H8" s="266"/>
      <c r="I8" s="266"/>
      <c r="J8" s="266"/>
      <c r="K8" s="47" t="s">
        <v>111</v>
      </c>
      <c r="L8" s="81">
        <f ca="1">I4</f>
        <v>20</v>
      </c>
    </row>
    <row r="9" spans="1:12" ht="15.75" customHeight="1" x14ac:dyDescent="0.35">
      <c r="A9" s="267" t="s">
        <v>142</v>
      </c>
      <c r="B9" s="268"/>
      <c r="C9" s="10">
        <f ca="1">D4+I4</f>
        <v>21</v>
      </c>
      <c r="D9" s="266">
        <f ca="1">((100/(D4+G4+I4))*C9)/100</f>
        <v>1</v>
      </c>
      <c r="E9" s="266"/>
      <c r="F9" s="266"/>
      <c r="G9" s="266"/>
      <c r="H9" s="266"/>
      <c r="I9" s="266"/>
      <c r="J9" s="266"/>
      <c r="K9" s="47" t="s">
        <v>112</v>
      </c>
      <c r="L9" s="82">
        <f ca="1">(IF(B4&gt;1,(I4/(B4+2)),I4/4))</f>
        <v>5</v>
      </c>
    </row>
    <row r="10" spans="1:12" ht="15.75" customHeight="1" x14ac:dyDescent="0.35">
      <c r="A10" s="267" t="s">
        <v>149</v>
      </c>
      <c r="B10" s="268" t="s">
        <v>143</v>
      </c>
      <c r="C10" s="9">
        <v>0</v>
      </c>
      <c r="D10" s="266">
        <f ca="1">((100/I4)*C10)/100</f>
        <v>0</v>
      </c>
      <c r="E10" s="266"/>
      <c r="F10" s="266"/>
      <c r="G10" s="266"/>
      <c r="H10" s="266"/>
      <c r="I10" s="266"/>
      <c r="J10" s="266"/>
      <c r="K10" s="47" t="s">
        <v>113</v>
      </c>
      <c r="L10" s="82">
        <f ca="1">(IF(B4&gt;1,(I4/(B4+2)+L9),I4/4+L9))</f>
        <v>10</v>
      </c>
    </row>
    <row r="11" spans="1:12" ht="15.75" customHeight="1" x14ac:dyDescent="0.35">
      <c r="A11" s="267" t="s">
        <v>150</v>
      </c>
      <c r="B11" s="268" t="s">
        <v>143</v>
      </c>
      <c r="C11" s="9">
        <v>0</v>
      </c>
      <c r="D11" s="266">
        <f ca="1">((100/I4)*C11)/100</f>
        <v>0</v>
      </c>
      <c r="E11" s="266"/>
      <c r="F11" s="266"/>
      <c r="G11" s="266"/>
      <c r="H11" s="266"/>
      <c r="I11" s="266"/>
      <c r="J11" s="266"/>
      <c r="K11" s="47" t="s">
        <v>161</v>
      </c>
      <c r="L11" s="82">
        <f>(IF(B4&gt;1,(I4/(B4+2)+L10),0))</f>
        <v>0</v>
      </c>
    </row>
    <row r="12" spans="1:12" ht="15.75" customHeight="1" x14ac:dyDescent="0.35">
      <c r="A12" s="267" t="s">
        <v>148</v>
      </c>
      <c r="B12" s="268" t="s">
        <v>145</v>
      </c>
      <c r="C12" s="9">
        <v>0</v>
      </c>
      <c r="D12" s="266">
        <f ca="1">((100/(I4))*C12)/100</f>
        <v>0</v>
      </c>
      <c r="E12" s="266"/>
      <c r="F12" s="266"/>
      <c r="G12" s="266"/>
      <c r="H12" s="266"/>
      <c r="I12" s="266"/>
      <c r="J12" s="266"/>
      <c r="K12" s="47" t="s">
        <v>157</v>
      </c>
      <c r="L12" s="82">
        <f>(IF(B4&gt;2,(I4/(B4+2)+L11),0))</f>
        <v>0</v>
      </c>
    </row>
    <row r="13" spans="1:12" ht="15.75" customHeight="1" x14ac:dyDescent="0.35">
      <c r="A13" s="267" t="s">
        <v>144</v>
      </c>
      <c r="B13" s="268" t="s">
        <v>144</v>
      </c>
      <c r="C13" s="9">
        <v>0</v>
      </c>
      <c r="D13" s="266">
        <f ca="1">((100/I4)*C13)/100</f>
        <v>0</v>
      </c>
      <c r="E13" s="266"/>
      <c r="F13" s="266"/>
      <c r="G13" s="266"/>
      <c r="H13" s="266"/>
      <c r="I13" s="266"/>
      <c r="J13" s="266"/>
      <c r="K13" s="47" t="s">
        <v>158</v>
      </c>
      <c r="L13" s="83">
        <f>(IF(B4&gt;3,(I4/(B4+2)+L12),0))</f>
        <v>0</v>
      </c>
    </row>
    <row r="14" spans="1:12" ht="15.75" customHeight="1" x14ac:dyDescent="0.35">
      <c r="A14" s="267" t="s">
        <v>151</v>
      </c>
      <c r="B14" s="268"/>
      <c r="C14" s="9">
        <v>0</v>
      </c>
      <c r="D14" s="266">
        <f ca="1">((100/I4)*C14)/100</f>
        <v>0</v>
      </c>
      <c r="E14" s="266"/>
      <c r="F14" s="266"/>
      <c r="G14" s="266"/>
      <c r="H14" s="266"/>
      <c r="I14" s="266"/>
      <c r="J14" s="266"/>
      <c r="K14" s="47" t="s">
        <v>159</v>
      </c>
      <c r="L14" s="82">
        <f>(IF(B4&gt;4,(I4/(B4+2)+L13),0))</f>
        <v>0</v>
      </c>
    </row>
    <row r="15" spans="1:12" ht="15.75" customHeight="1" x14ac:dyDescent="0.35">
      <c r="A15" s="267" t="s">
        <v>146</v>
      </c>
      <c r="B15" s="268" t="s">
        <v>146</v>
      </c>
      <c r="C15" s="9">
        <v>0</v>
      </c>
      <c r="D15" s="266">
        <f ca="1">((100/(I4))*C15)/100</f>
        <v>0</v>
      </c>
      <c r="E15" s="266"/>
      <c r="F15" s="266"/>
      <c r="G15" s="266"/>
      <c r="H15" s="266"/>
      <c r="I15" s="266"/>
      <c r="J15" s="266"/>
      <c r="K15" s="47" t="s">
        <v>162</v>
      </c>
      <c r="L15" s="82">
        <f ca="1">(IF(B4=1,(I4/(B4+3)+L10),IF(B4=0,(I4/4+L10),IF(B4&gt;1,0))))</f>
        <v>15</v>
      </c>
    </row>
    <row r="16" spans="1:12" ht="16.5" customHeight="1" thickBot="1" x14ac:dyDescent="0.4">
      <c r="A16" s="278" t="s">
        <v>147</v>
      </c>
      <c r="B16" s="279"/>
      <c r="C16" s="9">
        <v>0</v>
      </c>
      <c r="D16" s="266">
        <f ca="1">((100/(I4))*C16)/100</f>
        <v>0</v>
      </c>
      <c r="E16" s="266"/>
      <c r="F16" s="266"/>
      <c r="G16" s="266"/>
      <c r="H16" s="266"/>
      <c r="I16" s="266"/>
      <c r="J16" s="266"/>
      <c r="K16" s="47" t="s">
        <v>114</v>
      </c>
      <c r="L16" s="82">
        <f ca="1">(IF(B4&gt;1.5,(I4/(B4+2)+L10+MAX(0,L11-L10)+MAX(0,L12-L11)+MAX(0,L13-L12)+MAX(0,L14-L13)+MAX(0,L15-L14)),IF(B4=1,(I4/(B4+3)+L15),IF(B4=0,I4/4+L15))))</f>
        <v>20</v>
      </c>
    </row>
    <row r="18" spans="1:10" x14ac:dyDescent="0.35">
      <c r="F18" s="43">
        <f ca="1">F7</f>
        <v>0.5</v>
      </c>
      <c r="H18" s="43">
        <f ca="1">H7</f>
        <v>0.75</v>
      </c>
    </row>
    <row r="19" spans="1:10" ht="15.5" x14ac:dyDescent="0.35">
      <c r="A19" s="45"/>
      <c r="B19" s="45"/>
      <c r="C19" s="46"/>
      <c r="D19" s="68"/>
      <c r="E19" s="68"/>
      <c r="F19" s="68"/>
      <c r="G19" s="68"/>
      <c r="H19" s="68"/>
      <c r="I19" s="47"/>
      <c r="J19" s="21"/>
    </row>
  </sheetData>
  <mergeCells count="33">
    <mergeCell ref="A14:B14"/>
    <mergeCell ref="A3:B3"/>
    <mergeCell ref="H7:J16"/>
    <mergeCell ref="D6:E6"/>
    <mergeCell ref="A7:B7"/>
    <mergeCell ref="F7:G16"/>
    <mergeCell ref="A8:B8"/>
    <mergeCell ref="A15:B15"/>
    <mergeCell ref="A16:B16"/>
    <mergeCell ref="D7:E7"/>
    <mergeCell ref="D13:E13"/>
    <mergeCell ref="D14:E14"/>
    <mergeCell ref="D15:E15"/>
    <mergeCell ref="D16:E16"/>
    <mergeCell ref="D8:E8"/>
    <mergeCell ref="A13:B13"/>
    <mergeCell ref="A1:J1"/>
    <mergeCell ref="A5:B5"/>
    <mergeCell ref="A6:B6"/>
    <mergeCell ref="C3:J3"/>
    <mergeCell ref="I4:J4"/>
    <mergeCell ref="H6:J6"/>
    <mergeCell ref="F6:G6"/>
    <mergeCell ref="C5:J5"/>
    <mergeCell ref="E4:F4"/>
    <mergeCell ref="D9:E9"/>
    <mergeCell ref="D10:E10"/>
    <mergeCell ref="D11:E11"/>
    <mergeCell ref="D12:E12"/>
    <mergeCell ref="A10:B10"/>
    <mergeCell ref="A11:B11"/>
    <mergeCell ref="A12:B12"/>
    <mergeCell ref="A9:B9"/>
  </mergeCells>
  <pageMargins left="0.7" right="0.7" top="0.75" bottom="0.75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5" zoomScaleNormal="85" workbookViewId="0">
      <selection activeCell="A2" sqref="A2:XFD15"/>
    </sheetView>
  </sheetViews>
  <sheetFormatPr defaultRowHeight="14.5" x14ac:dyDescent="0.35"/>
  <cols>
    <col min="1" max="1" width="12.26953125" customWidth="1"/>
    <col min="2" max="2" width="12" customWidth="1"/>
    <col min="3" max="4" width="14.1796875" customWidth="1"/>
    <col min="5" max="5" width="12.453125" customWidth="1"/>
    <col min="6" max="6" width="12.54296875" customWidth="1"/>
    <col min="7" max="7" width="24.26953125" customWidth="1"/>
    <col min="8" max="8" width="12.1796875" customWidth="1"/>
    <col min="9" max="9" width="24.81640625" customWidth="1"/>
    <col min="10" max="10" width="18.453125" customWidth="1"/>
  </cols>
  <sheetData>
    <row r="1" spans="1:14" ht="15" thickBot="1" x14ac:dyDescent="0.4"/>
    <row r="2" spans="1:14" ht="15.75" customHeight="1" x14ac:dyDescent="0.35">
      <c r="A2" s="280" t="s">
        <v>153</v>
      </c>
      <c r="B2" s="281"/>
      <c r="C2" s="282" t="s">
        <v>160</v>
      </c>
      <c r="D2" s="283"/>
      <c r="E2" s="283"/>
      <c r="F2" s="283"/>
      <c r="G2" s="283"/>
      <c r="H2" s="284"/>
      <c r="I2" s="54" t="str">
        <f ca="1">(IF(E6&gt;99%,"All work completed. Please provide OC.",IF(E6&gt;89.8%,"Plinth, RCC, Brick, Plaster, Flooring, Painting work Completed. Finishing work is in process.",IF(E6&lt;94%,(IF(C6=0,"Work not yet Started.",IF(D6=25%,"Piling work in process",IF(D6=50%,"Excavation work in process",IF(D6=100%,"Excavation work Completed. ","0")))&amp;(IF(C7=0%,"",IF(C7=J8,"Footing work is process",IF(C7=J9,"Footing work Completed",IF(C7=J10,"1st Basement Completed",IF(C7=J11,"1st &amp; 2nd Basement Completed",IF(C7=J12,"1st to 3rd Basement Completed",IF(C7=J13,"1st to 4th Basement Completed",IF(C7=J14,"Plinth work is process",IF(C7=J15,"Plinth work completed","0")))))))))))&amp;(IF(C8=(D3+F3+H3),", RCC Slab",IF(C8&gt;0,", RCC upto "&amp;C8&amp;" Slab",""))&amp;(IF(C9=H3,", Brickwork",IF(C9&gt;0,", Brickwork upto "&amp;C9&amp;" Floor",""))&amp;(IF(C10=H3,", Internal Plaster",IF(C10&gt;0,", Internal Plaster upto "&amp;C10&amp;" Floor",""))&amp;(IF(C11=H3,", External Plaster",IF(C11&gt;0,", External Plaster upto "&amp;C11&amp;" Floor",""))&amp;(IF(C12=H3,", Flooring",IF(C12&gt;0,", Flooring upto "&amp;C12&amp;" Floor",""))&amp;(IF(C13=H3,", Painting",IF(C13&gt;0,", Painting upto "&amp;C13&amp;" Floor",""))&amp;(IF(C14&gt;0,", Finishing upto "&amp;C14&amp;" Floor","")&amp;(IF(C8&gt;0.5," Completed",""))))))))))))))</f>
        <v>Excavation work Completed. Plinth work completed, RCC Slab Completed</v>
      </c>
      <c r="J2" s="18"/>
    </row>
    <row r="3" spans="1:14" ht="15.5" x14ac:dyDescent="0.35">
      <c r="A3" s="66" t="s">
        <v>156</v>
      </c>
      <c r="B3" s="56">
        <v>0</v>
      </c>
      <c r="C3" s="73" t="s">
        <v>75</v>
      </c>
      <c r="D3" s="73">
        <v>1</v>
      </c>
      <c r="E3" s="73" t="s">
        <v>74</v>
      </c>
      <c r="F3" s="56">
        <v>0</v>
      </c>
      <c r="G3" s="74" t="s">
        <v>87</v>
      </c>
      <c r="H3" s="69">
        <f ca="1">--TRIM(RIGHT(SUBSTITUTE(LEFT(C2,_xlfn.AGGREGATE(16,6,FIND({0,1,2,3,4,5,6,7,8,9},C2,ROW(INDIRECT("1:"&amp;LEN(C2)))),1))," ",REPT(" ",LEN(C2))),LEN(C2)))</f>
        <v>20</v>
      </c>
      <c r="I3" s="55"/>
      <c r="J3" s="19"/>
    </row>
    <row r="4" spans="1:14" ht="36" customHeight="1" x14ac:dyDescent="0.35">
      <c r="A4" s="146" t="s">
        <v>97</v>
      </c>
      <c r="B4" s="147"/>
      <c r="C4" s="298" t="str">
        <f ca="1">I2</f>
        <v>Excavation work Completed. Plinth work completed, RCC Slab Completed</v>
      </c>
      <c r="D4" s="299"/>
      <c r="E4" s="299"/>
      <c r="F4" s="299"/>
      <c r="G4" s="299"/>
      <c r="H4" s="300"/>
      <c r="I4" s="55" t="s">
        <v>115</v>
      </c>
      <c r="J4" s="19"/>
    </row>
    <row r="5" spans="1:14" ht="15.5" x14ac:dyDescent="0.35">
      <c r="A5" s="267" t="s">
        <v>50</v>
      </c>
      <c r="B5" s="291"/>
      <c r="C5" s="76" t="s">
        <v>152</v>
      </c>
      <c r="D5" s="70" t="s">
        <v>90</v>
      </c>
      <c r="E5" s="268" t="s">
        <v>92</v>
      </c>
      <c r="F5" s="292"/>
      <c r="G5" s="268" t="s">
        <v>91</v>
      </c>
      <c r="H5" s="293"/>
      <c r="I5" s="47" t="s">
        <v>155</v>
      </c>
      <c r="J5" s="20">
        <f ca="1">H3*25%</f>
        <v>5</v>
      </c>
    </row>
    <row r="6" spans="1:14" ht="15.5" x14ac:dyDescent="0.35">
      <c r="A6" s="267" t="s">
        <v>141</v>
      </c>
      <c r="B6" s="291"/>
      <c r="C6" s="9">
        <f ca="1">J7</f>
        <v>20</v>
      </c>
      <c r="D6" s="71">
        <f ca="1">((100/H3)*C6)/100</f>
        <v>1</v>
      </c>
      <c r="E6" s="285">
        <f ca="1">(((C7/H3*10)+(40/(D3+F3+H3)*C8)+(7.5/(H3)*C9)+(7.5/(H3)*C10)+(10/H3*C11)+(10/H3*C12)+(5/H3*C13)+(5/H3*C14)+(5/H3*C15))/100)</f>
        <v>0.5</v>
      </c>
      <c r="F6" s="295"/>
      <c r="G6" s="285">
        <f ca="1">((((C6/H3)*20)+((C7/H3)*25)+(30/(H3+F3+D3)*C8)+(5/H3*C9)+(5/H3*C10)+(5/H3*C11)+(5/H3*C12)+(0/H3*C13)+(0/H3*C14)+(5/H3*C15))/100)</f>
        <v>0.75</v>
      </c>
      <c r="H6" s="286"/>
      <c r="I6" s="47" t="s">
        <v>110</v>
      </c>
      <c r="J6" s="53">
        <f ca="1">H3*50%</f>
        <v>10</v>
      </c>
    </row>
    <row r="7" spans="1:14" ht="15.5" x14ac:dyDescent="0.35">
      <c r="A7" s="267" t="s">
        <v>51</v>
      </c>
      <c r="B7" s="291"/>
      <c r="C7" s="10">
        <f ca="1">J15</f>
        <v>20</v>
      </c>
      <c r="D7" s="71">
        <f ca="1">((100/H3)*C7)/100</f>
        <v>1</v>
      </c>
      <c r="E7" s="287"/>
      <c r="F7" s="296"/>
      <c r="G7" s="287"/>
      <c r="H7" s="288"/>
      <c r="I7" s="47" t="s">
        <v>111</v>
      </c>
      <c r="J7" s="53">
        <f ca="1">H3</f>
        <v>20</v>
      </c>
    </row>
    <row r="8" spans="1:14" ht="15.5" x14ac:dyDescent="0.35">
      <c r="A8" s="267" t="s">
        <v>142</v>
      </c>
      <c r="B8" s="291"/>
      <c r="C8" s="10">
        <f ca="1">D3+H3</f>
        <v>21</v>
      </c>
      <c r="D8" s="71">
        <f ca="1">((100/(D3+F3+H3))*C8)/100</f>
        <v>1</v>
      </c>
      <c r="E8" s="287"/>
      <c r="F8" s="296"/>
      <c r="G8" s="287"/>
      <c r="H8" s="288"/>
      <c r="I8" s="47" t="s">
        <v>112</v>
      </c>
      <c r="J8" s="62">
        <f ca="1">(IF(B3&gt;1,(H3/(B3+2)),H3/4))</f>
        <v>5</v>
      </c>
      <c r="L8" s="59"/>
    </row>
    <row r="9" spans="1:14" ht="15.75" customHeight="1" x14ac:dyDescent="0.35">
      <c r="A9" s="267" t="s">
        <v>149</v>
      </c>
      <c r="B9" s="291" t="s">
        <v>143</v>
      </c>
      <c r="C9" s="9">
        <v>0</v>
      </c>
      <c r="D9" s="71">
        <f ca="1">((100/H3)*C9)/100</f>
        <v>0</v>
      </c>
      <c r="E9" s="287"/>
      <c r="F9" s="296"/>
      <c r="G9" s="287"/>
      <c r="H9" s="288"/>
      <c r="I9" s="47" t="s">
        <v>113</v>
      </c>
      <c r="J9" s="62">
        <f ca="1">(IF(B3&gt;1,(H3/(B3+2)+J8),H3/4+J8))</f>
        <v>10</v>
      </c>
      <c r="L9" s="59"/>
    </row>
    <row r="10" spans="1:14" ht="15.75" customHeight="1" x14ac:dyDescent="0.35">
      <c r="A10" s="267" t="s">
        <v>150</v>
      </c>
      <c r="B10" s="291" t="s">
        <v>143</v>
      </c>
      <c r="C10" s="9">
        <v>0</v>
      </c>
      <c r="D10" s="71">
        <f ca="1">((100/H3)*C10)/100</f>
        <v>0</v>
      </c>
      <c r="E10" s="287"/>
      <c r="F10" s="296"/>
      <c r="G10" s="287"/>
      <c r="H10" s="288"/>
      <c r="I10" s="47" t="s">
        <v>161</v>
      </c>
      <c r="J10" s="62">
        <f>(IF(B3&gt;1,(H3/(B3+2)+J9),0))</f>
        <v>0</v>
      </c>
      <c r="K10" s="57"/>
      <c r="L10" s="65"/>
      <c r="N10" s="59"/>
    </row>
    <row r="11" spans="1:14" ht="15.75" customHeight="1" x14ac:dyDescent="0.35">
      <c r="A11" s="267" t="s">
        <v>148</v>
      </c>
      <c r="B11" s="291" t="s">
        <v>145</v>
      </c>
      <c r="C11" s="9">
        <v>0</v>
      </c>
      <c r="D11" s="71">
        <f ca="1">((100/(H3))*C11)/100</f>
        <v>0</v>
      </c>
      <c r="E11" s="287"/>
      <c r="F11" s="296"/>
      <c r="G11" s="287"/>
      <c r="H11" s="288"/>
      <c r="I11" s="47" t="s">
        <v>157</v>
      </c>
      <c r="J11" s="62">
        <f>(IF(B3&gt;2,(H3/(B3+2)+J10),0))</f>
        <v>0</v>
      </c>
      <c r="K11" s="61"/>
      <c r="L11" s="65"/>
    </row>
    <row r="12" spans="1:14" ht="15.75" customHeight="1" x14ac:dyDescent="0.35">
      <c r="A12" s="267" t="s">
        <v>144</v>
      </c>
      <c r="B12" s="291" t="s">
        <v>144</v>
      </c>
      <c r="C12" s="9">
        <v>0</v>
      </c>
      <c r="D12" s="71">
        <f ca="1">((100/H3)*C12)/100</f>
        <v>0</v>
      </c>
      <c r="E12" s="287"/>
      <c r="F12" s="296"/>
      <c r="G12" s="287"/>
      <c r="H12" s="288"/>
      <c r="I12" s="47" t="s">
        <v>158</v>
      </c>
      <c r="J12" s="63">
        <f>(IF(B3&gt;3,(H3/(B3+2)+J11),0))</f>
        <v>0</v>
      </c>
      <c r="K12" s="61"/>
      <c r="L12" s="65"/>
    </row>
    <row r="13" spans="1:14" ht="15.75" customHeight="1" x14ac:dyDescent="0.35">
      <c r="A13" s="267" t="s">
        <v>151</v>
      </c>
      <c r="B13" s="291"/>
      <c r="C13" s="9">
        <v>0</v>
      </c>
      <c r="D13" s="71">
        <f ca="1">((100/H3)*C13)/100</f>
        <v>0</v>
      </c>
      <c r="E13" s="287"/>
      <c r="F13" s="296"/>
      <c r="G13" s="287"/>
      <c r="H13" s="288"/>
      <c r="I13" s="47" t="s">
        <v>159</v>
      </c>
      <c r="J13" s="62">
        <f>(IF(B3&gt;4,(H3/(B3+2)+J12),0))</f>
        <v>0</v>
      </c>
      <c r="K13" s="60"/>
      <c r="L13" s="65"/>
    </row>
    <row r="14" spans="1:14" ht="15.75" customHeight="1" x14ac:dyDescent="0.35">
      <c r="A14" s="267" t="s">
        <v>146</v>
      </c>
      <c r="B14" s="291" t="s">
        <v>146</v>
      </c>
      <c r="C14" s="9">
        <v>0</v>
      </c>
      <c r="D14" s="71">
        <f ca="1">((100/(H3))*C14)/100</f>
        <v>0</v>
      </c>
      <c r="E14" s="287"/>
      <c r="F14" s="296"/>
      <c r="G14" s="287"/>
      <c r="H14" s="288"/>
      <c r="I14" s="47" t="s">
        <v>162</v>
      </c>
      <c r="J14" s="62">
        <f ca="1">(IF(B3=1,(H3/(B3+3)+J9),IF(B3=0,(H3/4+J9),IF(B3&gt;1,0))))</f>
        <v>15</v>
      </c>
      <c r="K14" s="61"/>
      <c r="L14" s="65"/>
    </row>
    <row r="15" spans="1:14" ht="16" thickBot="1" x14ac:dyDescent="0.4">
      <c r="A15" s="278" t="s">
        <v>147</v>
      </c>
      <c r="B15" s="294"/>
      <c r="C15" s="17">
        <v>0</v>
      </c>
      <c r="D15" s="72">
        <f ca="1">((100/(H3))*C15)/100</f>
        <v>0</v>
      </c>
      <c r="E15" s="289"/>
      <c r="F15" s="297"/>
      <c r="G15" s="289"/>
      <c r="H15" s="290"/>
      <c r="I15" s="58" t="s">
        <v>114</v>
      </c>
      <c r="J15" s="64">
        <f ca="1">(IF(B3&gt;1.5,(H3/(B3+2)+J9+MAX(0,J10-J9)+MAX(0,J11-J10)+MAX(0,J12-J11)+MAX(0,J13-J12)+MAX(0,J14-J13)),IF(B3=1,(H3/(B3+3)+J14),IF(B3=0,H3/4+J14))))</f>
        <v>20</v>
      </c>
      <c r="K15" s="61"/>
      <c r="L15" s="65"/>
    </row>
    <row r="16" spans="1:14" ht="15.5" x14ac:dyDescent="0.35">
      <c r="A16" s="45"/>
      <c r="B16" s="45"/>
      <c r="C16" s="46"/>
      <c r="D16" s="75"/>
      <c r="E16" s="75"/>
      <c r="F16" s="75"/>
      <c r="G16" s="75"/>
      <c r="H16" s="75"/>
      <c r="I16" s="47"/>
      <c r="J16" s="21"/>
      <c r="L16" s="65"/>
    </row>
    <row r="17" spans="5:7" x14ac:dyDescent="0.35">
      <c r="E17" s="43">
        <f ca="1">E6</f>
        <v>0.5</v>
      </c>
      <c r="G17" s="43">
        <f ca="1">G6</f>
        <v>0.75</v>
      </c>
    </row>
    <row r="18" spans="5:7" x14ac:dyDescent="0.35">
      <c r="E18" s="44"/>
      <c r="G18" s="44"/>
    </row>
  </sheetData>
  <mergeCells count="19">
    <mergeCell ref="E6:F15"/>
    <mergeCell ref="A4:B4"/>
    <mergeCell ref="C4:H4"/>
    <mergeCell ref="A2:B2"/>
    <mergeCell ref="C2:H2"/>
    <mergeCell ref="G6:H15"/>
    <mergeCell ref="A6:B6"/>
    <mergeCell ref="A5:B5"/>
    <mergeCell ref="E5:F5"/>
    <mergeCell ref="G5:H5"/>
    <mergeCell ref="A7:B7"/>
    <mergeCell ref="A8:B8"/>
    <mergeCell ref="A9:B9"/>
    <mergeCell ref="A12:B12"/>
    <mergeCell ref="A11:B11"/>
    <mergeCell ref="A14:B14"/>
    <mergeCell ref="A15:B15"/>
    <mergeCell ref="A10:B10"/>
    <mergeCell ref="A13:B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>
      <c r="A1" s="22"/>
      <c r="B1" s="22"/>
      <c r="C1" s="22"/>
      <c r="D1" s="22"/>
      <c r="E1" s="22"/>
      <c r="F1" s="22"/>
      <c r="G1" s="22"/>
      <c r="H1" s="22"/>
    </row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301" t="s">
        <v>118</v>
      </c>
      <c r="C3" s="301"/>
      <c r="D3" s="301"/>
      <c r="E3" s="301"/>
      <c r="F3" s="301"/>
      <c r="G3" s="301"/>
      <c r="H3" s="301"/>
    </row>
    <row r="4" spans="1:9" x14ac:dyDescent="0.35">
      <c r="A4" s="24"/>
      <c r="B4" s="25" t="s">
        <v>119</v>
      </c>
      <c r="C4" s="25" t="s">
        <v>120</v>
      </c>
      <c r="D4" s="25" t="s">
        <v>72</v>
      </c>
      <c r="E4" s="25" t="s">
        <v>121</v>
      </c>
      <c r="F4" s="25" t="s">
        <v>127</v>
      </c>
      <c r="G4" s="25" t="s">
        <v>128</v>
      </c>
      <c r="H4" s="25" t="s">
        <v>122</v>
      </c>
    </row>
    <row r="5" spans="1:9" ht="15" customHeight="1" x14ac:dyDescent="0.35">
      <c r="A5" s="24"/>
      <c r="B5" s="27" t="s">
        <v>123</v>
      </c>
      <c r="C5" s="28"/>
      <c r="D5" s="27"/>
      <c r="E5" s="27"/>
      <c r="F5" s="29">
        <f>E5*1.6</f>
        <v>0</v>
      </c>
      <c r="G5" s="29" t="e">
        <f>H5/F5</f>
        <v>#DIV/0!</v>
      </c>
      <c r="H5" s="30"/>
    </row>
    <row r="6" spans="1:9" x14ac:dyDescent="0.35">
      <c r="A6" s="24"/>
      <c r="B6" s="27" t="s">
        <v>123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123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123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123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124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124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125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A13" s="22"/>
      <c r="B13" s="32" t="s">
        <v>126</v>
      </c>
      <c r="C13" s="34"/>
      <c r="D13" s="34"/>
      <c r="E13" s="34"/>
      <c r="F13" s="35"/>
      <c r="G13" s="32"/>
      <c r="H13" s="32"/>
      <c r="I13" s="26"/>
    </row>
    <row r="14" spans="1:9" ht="15" customHeight="1" x14ac:dyDescent="0.35">
      <c r="B14" s="22"/>
      <c r="C14" s="22"/>
      <c r="D14" s="22"/>
      <c r="E14" s="22"/>
    </row>
    <row r="15" spans="1:9" ht="15" customHeight="1" x14ac:dyDescent="0.35">
      <c r="B15" s="22"/>
      <c r="C15" s="22"/>
      <c r="D15" s="22"/>
      <c r="E15" s="22"/>
    </row>
    <row r="16" spans="1:9" ht="15" customHeight="1" x14ac:dyDescent="0.35">
      <c r="B16" s="22"/>
      <c r="C16" s="22"/>
      <c r="D16" s="22"/>
      <c r="E16" s="22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 for old Flormat</vt:lpstr>
      <vt:lpstr>C% for new format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2025-10-01T10:52:58Z</cp:lastPrinted>
  <dcterms:created xsi:type="dcterms:W3CDTF">2019-07-16T09:29:46Z</dcterms:created>
  <dcterms:modified xsi:type="dcterms:W3CDTF">2025-10-01T10:58:00Z</dcterms:modified>
</cp:coreProperties>
</file>