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PF\25-26\Oct 25\Jio\Gaurav\Sumit KMR Param\Report\"/>
    </mc:Choice>
  </mc:AlternateContent>
  <bookViews>
    <workbookView xWindow="-105" yWindow="-105" windowWidth="23250" windowHeight="12450" tabRatio="725"/>
  </bookViews>
  <sheets>
    <sheet name="Report" sheetId="1" r:id="rId1"/>
    <sheet name="valuation" sheetId="5" r:id="rId2"/>
    <sheet name="Research" sheetId="4" r:id="rId3"/>
    <sheet name="Remarks" sheetId="6" r:id="rId4"/>
    <sheet name="Area Calculation" sheetId="7" r:id="rId5"/>
    <sheet name="Construction Table" sheetId="8" r:id="rId6"/>
  </sheets>
  <definedNames>
    <definedName name="_xlnm.Print_Area" localSheetId="0">Report!$A$1:$H$370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5" i="1" l="1"/>
  <c r="L147" i="1"/>
  <c r="K159" i="1"/>
  <c r="K160" i="1"/>
  <c r="K161" i="1"/>
  <c r="K162" i="1"/>
  <c r="K163" i="1"/>
  <c r="K164" i="1"/>
  <c r="K165" i="1"/>
  <c r="K158" i="1"/>
  <c r="I124" i="1"/>
  <c r="K147" i="1"/>
  <c r="K146" i="1"/>
  <c r="E186" i="1"/>
  <c r="D186" i="1"/>
  <c r="E185" i="1"/>
  <c r="D185" i="1"/>
  <c r="E180" i="1"/>
  <c r="E177" i="1"/>
  <c r="E176" i="1"/>
  <c r="D192" i="1"/>
  <c r="D191" i="1"/>
  <c r="D183" i="1"/>
  <c r="D182" i="1"/>
  <c r="D138" i="1"/>
  <c r="D137" i="1"/>
  <c r="D147" i="1"/>
  <c r="D146" i="1"/>
  <c r="D156" i="1"/>
  <c r="D155" i="1"/>
  <c r="D165" i="1"/>
  <c r="D164" i="1"/>
  <c r="D174" i="1"/>
  <c r="D173" i="1"/>
  <c r="D154" i="1"/>
  <c r="E154" i="1"/>
  <c r="E149" i="1"/>
  <c r="J136" i="1"/>
  <c r="I136" i="1"/>
  <c r="K136" i="1" s="1"/>
  <c r="K131" i="1"/>
  <c r="J131" i="1"/>
  <c r="I131" i="1"/>
  <c r="K133" i="1"/>
  <c r="J133" i="1"/>
  <c r="I133" i="1"/>
  <c r="I62" i="1"/>
  <c r="K91" i="1" l="1"/>
  <c r="K92" i="1"/>
  <c r="K94" i="1"/>
  <c r="K95" i="1"/>
  <c r="K96" i="1"/>
  <c r="K97" i="1"/>
  <c r="K98" i="1"/>
  <c r="K99" i="1"/>
  <c r="N111" i="1"/>
  <c r="O111" i="1" s="1"/>
  <c r="N110" i="1"/>
  <c r="O110" i="1" s="1"/>
  <c r="J100" i="1"/>
  <c r="K100" i="1" s="1"/>
  <c r="J90" i="1"/>
  <c r="K90" i="1" s="1"/>
  <c r="D239" i="1"/>
  <c r="E192" i="1"/>
  <c r="F192" i="1"/>
  <c r="H192" i="1" s="1"/>
  <c r="E191" i="1"/>
  <c r="E187" i="1"/>
  <c r="D187" i="1"/>
  <c r="I139" i="1"/>
  <c r="E171" i="1"/>
  <c r="E168" i="1"/>
  <c r="E183" i="1"/>
  <c r="E182" i="1"/>
  <c r="E181" i="1"/>
  <c r="D181" i="1"/>
  <c r="D180" i="1"/>
  <c r="D177" i="1"/>
  <c r="D176" i="1"/>
  <c r="A177" i="1"/>
  <c r="A178" i="1" s="1"/>
  <c r="A179" i="1" s="1"/>
  <c r="A180" i="1" s="1"/>
  <c r="A181" i="1" s="1"/>
  <c r="A182" i="1" s="1"/>
  <c r="A183" i="1" s="1"/>
  <c r="E174" i="1"/>
  <c r="E173" i="1"/>
  <c r="E172" i="1"/>
  <c r="D172" i="1"/>
  <c r="D171" i="1"/>
  <c r="E170" i="1"/>
  <c r="D170" i="1"/>
  <c r="E169" i="1"/>
  <c r="D169" i="1"/>
  <c r="D168" i="1"/>
  <c r="E167" i="1"/>
  <c r="D167" i="1"/>
  <c r="E165" i="1"/>
  <c r="E164" i="1"/>
  <c r="E163" i="1"/>
  <c r="D163" i="1"/>
  <c r="D144" i="1"/>
  <c r="E161" i="1"/>
  <c r="D161" i="1"/>
  <c r="E160" i="1"/>
  <c r="D160" i="1"/>
  <c r="E158" i="1"/>
  <c r="D158" i="1"/>
  <c r="A159" i="1"/>
  <c r="A160" i="1" s="1"/>
  <c r="A161" i="1" s="1"/>
  <c r="A162" i="1" s="1"/>
  <c r="A163" i="1" s="1"/>
  <c r="A164" i="1" s="1"/>
  <c r="A165" i="1" s="1"/>
  <c r="D149" i="1"/>
  <c r="E156" i="1"/>
  <c r="E155" i="1"/>
  <c r="E152" i="1"/>
  <c r="D152" i="1"/>
  <c r="E151" i="1"/>
  <c r="D151" i="1"/>
  <c r="A150" i="1"/>
  <c r="A151" i="1" s="1"/>
  <c r="A152" i="1" s="1"/>
  <c r="A153" i="1" s="1"/>
  <c r="A154" i="1" s="1"/>
  <c r="A155" i="1" s="1"/>
  <c r="A156" i="1" s="1"/>
  <c r="E144" i="1"/>
  <c r="E141" i="1"/>
  <c r="D141" i="1"/>
  <c r="E140" i="1"/>
  <c r="D140" i="1"/>
  <c r="E147" i="1"/>
  <c r="E146" i="1"/>
  <c r="F146" i="1"/>
  <c r="H146" i="1" s="1"/>
  <c r="E145" i="1"/>
  <c r="D145" i="1"/>
  <c r="E143" i="1"/>
  <c r="D143" i="1"/>
  <c r="E142" i="1"/>
  <c r="D142" i="1"/>
  <c r="A141" i="1"/>
  <c r="A142" i="1" s="1"/>
  <c r="A143" i="1" s="1"/>
  <c r="A144" i="1" s="1"/>
  <c r="A145" i="1" s="1"/>
  <c r="A146" i="1" s="1"/>
  <c r="A147" i="1" s="1"/>
  <c r="E138" i="1"/>
  <c r="E137" i="1"/>
  <c r="E136" i="1"/>
  <c r="D136" i="1"/>
  <c r="E134" i="1"/>
  <c r="D134" i="1"/>
  <c r="E133" i="1"/>
  <c r="D133" i="1"/>
  <c r="E131" i="1"/>
  <c r="D131" i="1"/>
  <c r="A132" i="1"/>
  <c r="A133" i="1" s="1"/>
  <c r="A134" i="1" s="1"/>
  <c r="A135" i="1" s="1"/>
  <c r="A136" i="1" s="1"/>
  <c r="A137" i="1" s="1"/>
  <c r="A138" i="1" s="1"/>
  <c r="C75" i="1"/>
  <c r="H4" i="8"/>
  <c r="F164" i="1" l="1"/>
  <c r="H164" i="1" s="1"/>
  <c r="F158" i="1"/>
  <c r="H158" i="1" s="1"/>
  <c r="F161" i="1"/>
  <c r="H161" i="1" s="1"/>
  <c r="C109" i="1"/>
  <c r="C110" i="1" s="1"/>
  <c r="F183" i="1"/>
  <c r="H183" i="1" s="1"/>
  <c r="F191" i="1"/>
  <c r="H191" i="1" s="1"/>
  <c r="F147" i="1"/>
  <c r="H147" i="1" s="1"/>
  <c r="F173" i="1"/>
  <c r="H173" i="1" s="1"/>
  <c r="F165" i="1"/>
  <c r="H165" i="1" s="1"/>
  <c r="F180" i="1"/>
  <c r="H180" i="1" s="1"/>
  <c r="F138" i="1"/>
  <c r="H138" i="1" s="1"/>
  <c r="F182" i="1"/>
  <c r="H182" i="1" s="1"/>
  <c r="F181" i="1"/>
  <c r="H181" i="1" s="1"/>
  <c r="F177" i="1"/>
  <c r="H177" i="1" s="1"/>
  <c r="F176" i="1"/>
  <c r="H176" i="1" s="1"/>
  <c r="F143" i="1"/>
  <c r="H143" i="1" s="1"/>
  <c r="F174" i="1"/>
  <c r="H174" i="1" s="1"/>
  <c r="F163" i="1"/>
  <c r="H163" i="1" s="1"/>
  <c r="F145" i="1"/>
  <c r="H145" i="1" s="1"/>
  <c r="F155" i="1"/>
  <c r="H155" i="1" s="1"/>
  <c r="F154" i="1"/>
  <c r="H154" i="1" s="1"/>
  <c r="F156" i="1"/>
  <c r="H156" i="1" s="1"/>
  <c r="F171" i="1"/>
  <c r="H171" i="1" s="1"/>
  <c r="F172" i="1"/>
  <c r="H172" i="1" s="1"/>
  <c r="F151" i="1"/>
  <c r="H151" i="1" s="1"/>
  <c r="F160" i="1"/>
  <c r="H160" i="1" s="1"/>
  <c r="F134" i="1"/>
  <c r="H134" i="1" s="1"/>
  <c r="F142" i="1"/>
  <c r="H142" i="1" s="1"/>
  <c r="F152" i="1"/>
  <c r="H152" i="1" s="1"/>
  <c r="F149" i="1"/>
  <c r="H149" i="1" s="1"/>
  <c r="F144" i="1"/>
  <c r="H144" i="1" s="1"/>
  <c r="F141" i="1"/>
  <c r="H141" i="1" s="1"/>
  <c r="F140" i="1"/>
  <c r="H140" i="1" s="1"/>
  <c r="F137" i="1"/>
  <c r="H137" i="1" s="1"/>
  <c r="F136" i="1"/>
  <c r="H136" i="1" s="1"/>
  <c r="F133" i="1"/>
  <c r="H133" i="1" s="1"/>
  <c r="F131" i="1"/>
  <c r="J6" i="8"/>
  <c r="D16" i="8"/>
  <c r="D10" i="8"/>
  <c r="D11" i="8"/>
  <c r="D15" i="8"/>
  <c r="D9" i="8"/>
  <c r="J8" i="8"/>
  <c r="C7" i="8" s="1"/>
  <c r="D14" i="8"/>
  <c r="D13" i="8"/>
  <c r="J7" i="8"/>
  <c r="J3" i="8"/>
  <c r="J5" i="8" s="1"/>
  <c r="D12" i="8"/>
  <c r="B4" i="8"/>
  <c r="F117" i="1"/>
  <c r="B38" i="6"/>
  <c r="B39" i="6" s="1"/>
  <c r="B40" i="6" s="1"/>
  <c r="B41" i="6" s="1"/>
  <c r="B42" i="6" s="1"/>
  <c r="B43" i="6" s="1"/>
  <c r="B44" i="6" s="1"/>
  <c r="B45" i="6" s="1"/>
  <c r="B46" i="6" s="1"/>
  <c r="B47" i="6" s="1"/>
  <c r="B48" i="6" s="1"/>
  <c r="B49" i="6" s="1"/>
  <c r="B50" i="6" s="1"/>
  <c r="B51" i="6" s="1"/>
  <c r="B52" i="6" s="1"/>
  <c r="B53" i="6" s="1"/>
  <c r="B54" i="6" s="1"/>
  <c r="H131" i="1" l="1"/>
  <c r="D7" i="8"/>
  <c r="J9" i="8"/>
  <c r="J10" i="8" s="1"/>
  <c r="J15" i="8" s="1"/>
  <c r="J16" i="8" s="1"/>
  <c r="E7" i="8" s="1"/>
  <c r="J14" i="8"/>
  <c r="J13" i="8"/>
  <c r="J11" i="8"/>
  <c r="J12" i="8"/>
  <c r="H117" i="1"/>
  <c r="G7" i="8" l="1"/>
  <c r="D8" i="8"/>
  <c r="I4" i="8" s="1"/>
  <c r="J4" i="8"/>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B214" i="1"/>
  <c r="B213" i="1"/>
  <c r="F210" i="1"/>
  <c r="H210" i="1" s="1"/>
  <c r="F209" i="1"/>
  <c r="H209" i="1" s="1"/>
  <c r="F208" i="1"/>
  <c r="H208" i="1" s="1"/>
  <c r="F207" i="1"/>
  <c r="H207" i="1" s="1"/>
  <c r="F206" i="1"/>
  <c r="H206" i="1" s="1"/>
  <c r="F204" i="1"/>
  <c r="H204" i="1" s="1"/>
  <c r="F203" i="1"/>
  <c r="H203" i="1" s="1"/>
  <c r="F202" i="1"/>
  <c r="H202" i="1" s="1"/>
  <c r="F201" i="1"/>
  <c r="H201" i="1" s="1"/>
  <c r="F200" i="1"/>
  <c r="H200" i="1" s="1"/>
  <c r="F198" i="1"/>
  <c r="H198" i="1" s="1"/>
  <c r="F197" i="1"/>
  <c r="H197" i="1" s="1"/>
  <c r="F196" i="1"/>
  <c r="H196" i="1" s="1"/>
  <c r="F195" i="1"/>
  <c r="H195" i="1" s="1"/>
  <c r="F194" i="1"/>
  <c r="H194" i="1" s="1"/>
  <c r="F187" i="1"/>
  <c r="H187" i="1" s="1"/>
  <c r="F186" i="1"/>
  <c r="H186" i="1" s="1"/>
  <c r="F185" i="1"/>
  <c r="H185" i="1" s="1"/>
  <c r="A186" i="1"/>
  <c r="A187" i="1" s="1"/>
  <c r="A188" i="1" s="1"/>
  <c r="A189" i="1" s="1"/>
  <c r="A190" i="1" s="1"/>
  <c r="A191" i="1" s="1"/>
  <c r="A192" i="1" s="1"/>
  <c r="F170" i="1"/>
  <c r="H170" i="1" s="1"/>
  <c r="F169" i="1"/>
  <c r="H169" i="1" s="1"/>
  <c r="F168" i="1"/>
  <c r="H168" i="1" s="1"/>
  <c r="A168" i="1"/>
  <c r="A169" i="1" s="1"/>
  <c r="A170" i="1" s="1"/>
  <c r="A171" i="1" s="1"/>
  <c r="A172" i="1" s="1"/>
  <c r="A173" i="1" s="1"/>
  <c r="A174" i="1" s="1"/>
  <c r="F167" i="1"/>
  <c r="F120" i="1"/>
  <c r="H120" i="1" s="1"/>
  <c r="F119" i="1"/>
  <c r="H119" i="1" s="1"/>
  <c r="F118" i="1"/>
  <c r="H118" i="1" s="1"/>
  <c r="A118" i="1"/>
  <c r="A119" i="1" s="1"/>
  <c r="A120" i="1" s="1"/>
  <c r="C111" i="1"/>
  <c r="F101" i="1"/>
  <c r="D69" i="1"/>
  <c r="D65" i="1"/>
  <c r="G58" i="1"/>
  <c r="K56" i="1"/>
  <c r="G52" i="1"/>
  <c r="C52" i="1"/>
  <c r="E45" i="1"/>
  <c r="E46" i="1" s="1"/>
  <c r="S34" i="1"/>
  <c r="E32" i="1"/>
  <c r="E29" i="1"/>
  <c r="E27" i="1"/>
  <c r="C17" i="1"/>
  <c r="I16" i="1"/>
  <c r="Z14" i="1"/>
  <c r="E8" i="1"/>
  <c r="E3" i="1"/>
  <c r="B225" i="1" s="1"/>
  <c r="A206" i="1"/>
  <c r="A194" i="1"/>
  <c r="A200" i="1"/>
  <c r="H167" i="1" l="1"/>
  <c r="G109" i="1" s="1"/>
  <c r="G110" i="1" s="1"/>
  <c r="G111" i="1" s="1"/>
  <c r="E109" i="1"/>
  <c r="E110" i="1" s="1"/>
  <c r="E111" i="1" s="1"/>
  <c r="I5" i="8"/>
  <c r="I3" i="8" s="1"/>
  <c r="C5" i="8" s="1"/>
  <c r="E42" i="7"/>
  <c r="J83" i="1"/>
  <c r="J84" i="1"/>
  <c r="I42" i="7"/>
  <c r="H42" i="7" s="1"/>
  <c r="L42" i="7"/>
  <c r="K42" i="7" s="1"/>
  <c r="D42" i="7"/>
  <c r="L56" i="1"/>
  <c r="J85" i="1"/>
  <c r="J86" i="1"/>
  <c r="I53" i="1"/>
  <c r="H76" i="1"/>
  <c r="A201" i="1"/>
  <c r="A195" i="1"/>
  <c r="A207" i="1"/>
  <c r="D87" i="1" l="1"/>
  <c r="D81" i="1"/>
  <c r="J81" i="1"/>
  <c r="J82" i="1" s="1"/>
  <c r="J87" i="1" s="1"/>
  <c r="J88" i="1" s="1"/>
  <c r="C80" i="1" s="1"/>
  <c r="E79" i="1" s="1"/>
  <c r="J80" i="1"/>
  <c r="C79" i="1" s="1"/>
  <c r="D79" i="1" s="1"/>
  <c r="D86" i="1"/>
  <c r="D85" i="1"/>
  <c r="J75" i="1"/>
  <c r="J77" i="1" s="1"/>
  <c r="D84" i="1"/>
  <c r="D88" i="1"/>
  <c r="D82" i="1"/>
  <c r="J79" i="1"/>
  <c r="J78" i="1"/>
  <c r="D83" i="1"/>
  <c r="D44" i="7"/>
  <c r="E44" i="7"/>
  <c r="A208" i="1"/>
  <c r="A202" i="1"/>
  <c r="A196" i="1"/>
  <c r="G79" i="1" l="1"/>
  <c r="D73" i="1" s="1"/>
  <c r="D74" i="1" s="1"/>
  <c r="D80" i="1"/>
  <c r="I76" i="1" s="1"/>
  <c r="I77" i="1" s="1"/>
  <c r="J76" i="1"/>
  <c r="A203" i="1"/>
  <c r="A197" i="1"/>
  <c r="A209" i="1"/>
  <c r="F74" i="1" l="1"/>
  <c r="I75" i="1"/>
  <c r="C77" i="1" s="1"/>
  <c r="A210" i="1"/>
  <c r="A198" i="1"/>
  <c r="A204" i="1"/>
</calcChain>
</file>

<file path=xl/comments1.xml><?xml version="1.0" encoding="utf-8"?>
<comments xmlns="http://schemas.openxmlformats.org/spreadsheetml/2006/main">
  <authors>
    <author>Sachin</author>
    <author>SACHIN</author>
  </authors>
  <commentList>
    <comment ref="E13" authorId="0" shapeId="0">
      <text>
        <r>
          <rPr>
            <b/>
            <sz val="9"/>
            <color indexed="81"/>
            <rFont val="Tahoma"/>
            <family val="2"/>
          </rPr>
          <t>Sachin:</t>
        </r>
        <r>
          <rPr>
            <sz val="9"/>
            <color indexed="81"/>
            <rFont val="Tahoma"/>
            <family val="2"/>
          </rPr>
          <t xml:space="preserve">
Building No. 
Tower No.
Wing 
Bunglow No., etc</t>
        </r>
      </text>
    </comment>
    <comment ref="E14" authorId="0" shapeId="0">
      <text>
        <r>
          <rPr>
            <b/>
            <sz val="9"/>
            <color indexed="81"/>
            <rFont val="Tahoma"/>
            <family val="2"/>
          </rPr>
          <t>Sachin:</t>
        </r>
        <r>
          <rPr>
            <sz val="9"/>
            <color indexed="81"/>
            <rFont val="Tahoma"/>
            <family val="2"/>
          </rPr>
          <t xml:space="preserve">
If exisiting Building is provided write it or else
NA</t>
        </r>
      </text>
    </comment>
    <comment ref="C57" authorId="1" shapeId="0">
      <text>
        <r>
          <rPr>
            <b/>
            <sz val="9"/>
            <color indexed="81"/>
            <rFont val="Tahoma"/>
            <family val="2"/>
          </rPr>
          <t>SACHIN:</t>
        </r>
        <r>
          <rPr>
            <sz val="9"/>
            <color indexed="81"/>
            <rFont val="Tahoma"/>
            <family val="2"/>
          </rPr>
          <t xml:space="preserve">
Floor with height</t>
        </r>
      </text>
    </comment>
    <comment ref="C59" authorId="1" shapeId="0">
      <text>
        <r>
          <rPr>
            <b/>
            <sz val="9"/>
            <color indexed="81"/>
            <rFont val="Tahoma"/>
            <family val="2"/>
          </rPr>
          <t>SACHIN:</t>
        </r>
        <r>
          <rPr>
            <sz val="9"/>
            <color indexed="81"/>
            <rFont val="Tahoma"/>
            <family val="2"/>
          </rPr>
          <t xml:space="preserve">
Survey Nos.</t>
        </r>
      </text>
    </comment>
    <comment ref="D65"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4"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<sst xmlns="http://schemas.openxmlformats.org/spreadsheetml/2006/main" count="742" uniqueCount="460">
  <si>
    <t xml:space="preserve">Valuation Report </t>
  </si>
  <si>
    <t>Date:</t>
  </si>
  <si>
    <t>CPC Name:</t>
  </si>
  <si>
    <t>Date Of Property Visit</t>
  </si>
  <si>
    <t>Name of the builder group</t>
  </si>
  <si>
    <t>Name of the builder company</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</si>
  <si>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</si>
  <si>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</si>
  <si>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</si>
  <si>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</si>
  <si>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</si>
  <si>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</si>
  <si>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</si>
  <si>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</si>
  <si>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</si>
  <si>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</si>
  <si>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</si>
  <si>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</si>
  <si>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</si>
  <si>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</si>
  <si>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</si>
  <si>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</si>
  <si>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</si>
  <si>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</si>
  <si>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</si>
  <si>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</si>
  <si>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</si>
  <si>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</si>
  <si>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</si>
  <si>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</si>
  <si>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</si>
  <si>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</si>
  <si>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</si>
  <si>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</si>
  <si>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</si>
  <si>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</si>
  <si>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</si>
  <si>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</si>
  <si>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</si>
  <si>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</si>
  <si>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</si>
  <si>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</si>
  <si>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</si>
  <si>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</si>
  <si>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</si>
  <si>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</si>
  <si>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</si>
  <si>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</si>
  <si>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</si>
  <si>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</si>
  <si>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</si>
  <si>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</si>
  <si>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</si>
  <si>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</si>
  <si>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</si>
  <si>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</si>
  <si>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</si>
  <si>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</si>
  <si>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</si>
  <si>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</si>
  <si>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</si>
  <si>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</si>
  <si>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</si>
  <si>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</si>
  <si>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</si>
  <si>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</si>
  <si>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</si>
  <si>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</si>
  <si>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</si>
  <si>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</si>
  <si>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</si>
  <si>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</si>
  <si>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</si>
  <si>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</si>
  <si>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</si>
  <si>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</si>
  <si>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</si>
  <si>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</si>
  <si>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</si>
  <si>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</si>
  <si>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</si>
  <si>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</si>
  <si>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</si>
  <si>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</si>
  <si>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</si>
  <si>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</si>
  <si>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</si>
  <si>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</si>
  <si>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</si>
  <si>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</si>
  <si>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</si>
  <si>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</si>
  <si>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</si>
  <si>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</si>
  <si>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</si>
  <si>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</si>
  <si>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</si>
  <si>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</si>
  <si>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</si>
  <si>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</si>
  <si>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</si>
  <si>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</si>
  <si>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</si>
  <si>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</si>
  <si>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</si>
  <si>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</si>
  <si>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</si>
  <si>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</si>
  <si>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</si>
  <si>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</si>
  <si>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</si>
  <si>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</si>
  <si>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</si>
  <si>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</si>
  <si>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</si>
  <si>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</si>
  <si>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</si>
  <si>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</si>
  <si>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</si>
  <si>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</si>
  <si>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</si>
  <si>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</si>
  <si>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</si>
  <si>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</si>
  <si>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</si>
  <si>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</si>
  <si>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</si>
  <si>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</si>
  <si>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</si>
  <si>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</si>
  <si>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</si>
  <si>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</si>
  <si>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</si>
  <si>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</si>
  <si>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</si>
  <si>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</si>
  <si>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</si>
  <si>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</si>
  <si>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</si>
  <si>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</si>
  <si>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</si>
  <si>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</si>
  <si>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</si>
  <si>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</si>
  <si>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</si>
  <si>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</si>
  <si>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</si>
  <si>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</si>
  <si>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</si>
  <si>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</si>
  <si>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</si>
  <si>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</si>
  <si>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</si>
  <si>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</si>
  <si>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</si>
  <si>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</si>
  <si>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</si>
  <si>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</si>
  <si>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</si>
  <si>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</si>
  <si>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</si>
  <si>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</si>
  <si>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</si>
  <si>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</si>
  <si>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</si>
  <si>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</si>
  <si>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</si>
  <si>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</si>
  <si>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</si>
  <si>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</si>
  <si>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</si>
  <si>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</si>
  <si>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</si>
  <si>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</si>
  <si>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</si>
  <si>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</si>
  <si>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</si>
  <si>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</si>
  <si>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</si>
  <si>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</si>
  <si>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</si>
  <si>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</si>
  <si>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</si>
  <si>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</si>
  <si>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</si>
  <si>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</si>
  <si>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</si>
  <si>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</si>
  <si>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</si>
  <si>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</si>
  <si>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</si>
  <si>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</si>
  <si>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</si>
  <si>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</si>
  <si>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</si>
  <si>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</si>
  <si>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</si>
  <si>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</si>
  <si>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</si>
  <si>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</si>
  <si>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</si>
  <si>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</si>
  <si>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</si>
  <si>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</si>
  <si>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</si>
  <si>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</si>
  <si>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</si>
  <si>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</si>
  <si>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</si>
  <si>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</si>
  <si>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</si>
  <si>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</si>
  <si>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</si>
  <si>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</si>
  <si>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</si>
  <si>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</si>
  <si>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</si>
  <si>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</si>
  <si>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</si>
  <si>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</si>
  <si>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</si>
  <si>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</si>
  <si>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</si>
  <si>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</si>
  <si>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</si>
  <si>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</si>
  <si>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</si>
  <si>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</si>
  <si>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</si>
  <si>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</si>
  <si>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</si>
  <si>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</si>
  <si>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</si>
  <si>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</si>
  <si>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</si>
  <si>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</si>
  <si>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</si>
  <si>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</si>
  <si>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</si>
  <si>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</si>
  <si>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</si>
  <si>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</si>
  <si>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</si>
  <si>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</si>
  <si>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</si>
  <si>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</si>
  <si>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</si>
  <si>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</si>
  <si>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</si>
  <si>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</si>
  <si>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</si>
  <si>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</si>
  <si>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</si>
  <si>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</si>
  <si>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</si>
  <si>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</si>
  <si>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</si>
  <si>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</si>
  <si>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</si>
  <si>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</si>
  <si>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</si>
  <si>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</si>
  <si>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</si>
  <si>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</si>
  <si>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</si>
  <si>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</si>
  <si>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</si>
  <si>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</si>
  <si>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</si>
  <si>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</si>
  <si>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</si>
  <si>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</si>
  <si>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</si>
  <si>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</si>
  <si>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</si>
  <si>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</si>
  <si>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</si>
  <si>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</si>
  <si>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</si>
  <si>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</si>
  <si>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</si>
  <si>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</si>
  <si>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</si>
  <si>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</si>
  <si>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</si>
  <si>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</si>
  <si>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</si>
  <si>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</si>
  <si>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</si>
  <si>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</si>
  <si>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</si>
  <si>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</si>
  <si>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</si>
  <si>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</si>
  <si>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</si>
  <si>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</si>
  <si>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</si>
  <si>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</si>
  <si>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</si>
  <si>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</si>
  <si>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</si>
  <si>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</si>
  <si>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</si>
  <si>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</si>
  <si>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</si>
  <si>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</si>
  <si>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</si>
  <si>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</si>
  <si>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</si>
  <si>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</si>
  <si>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</si>
  <si>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</si>
  <si>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</si>
  <si>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</si>
  <si>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</si>
  <si>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</si>
  <si>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</si>
  <si>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</si>
  <si>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</si>
  <si>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</si>
  <si>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</si>
  <si>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</si>
  <si>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</si>
  <si>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</si>
  <si>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</si>
  <si>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</si>
  <si>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</si>
  <si>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</si>
  <si>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</si>
  <si>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</si>
  <si>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</si>
  <si>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</si>
  <si>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</si>
  <si>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</si>
  <si>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</si>
  <si>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</si>
  <si>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</si>
  <si>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</si>
  <si>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</si>
  <si>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</si>
  <si>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</si>
  <si>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</si>
  <si>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</si>
  <si>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</si>
  <si>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</si>
  <si>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</si>
  <si>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</si>
  <si>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</si>
  <si>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</si>
  <si>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</si>
  <si>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</si>
  <si>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</si>
  <si>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</si>
  <si>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</si>
  <si>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</si>
  <si>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</si>
  <si>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</si>
  <si>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</si>
  <si>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</si>
  <si>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</si>
  <si>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</si>
  <si>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</si>
  <si>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</si>
  <si>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</si>
  <si>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</si>
  <si>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</si>
  <si>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</si>
  <si>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</si>
  <si>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</si>
  <si>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</si>
  <si>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</si>
  <si>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</si>
  <si>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</si>
  <si>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</si>
  <si>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</si>
  <si>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</si>
  <si>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</si>
  <si>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</si>
  <si>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</si>
  <si>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</si>
  <si>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</si>
  <si>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JFL Koparkhairane</t>
  </si>
  <si>
    <t>The Domus Prive</t>
  </si>
  <si>
    <t>As per the approved floor plan dtd.22/07/2024, the building height is 61.55 Mtrs (Upto OHT), which is reached up to his maximum height limit of 61.73 Mtrs with reference to the airport
NOC.</t>
  </si>
  <si>
    <t>As per visit dtd 13/08/2025, we have observed that construction work of Shop no. 1, 2, 3, 6, 7, 8 from Building No. 1 and Shop no. 11, 12, 13, 16, 17 from Building No. 2 are Completed.Therefore it can be considered as Progress 100% and Disbursement 100%.</t>
  </si>
  <si>
    <t>Remark if shops construction is asked</t>
  </si>
  <si>
    <t>Truhome Vasai</t>
  </si>
  <si>
    <t>Ground + 20th Floor</t>
  </si>
  <si>
    <t xml:space="preserve">Jio Finance Table </t>
  </si>
  <si>
    <t>Truhome Finance Limited</t>
  </si>
  <si>
    <t>Sumit KMR Param</t>
  </si>
  <si>
    <t>Sky World</t>
  </si>
  <si>
    <t>Mr. Kishore  9820248101</t>
  </si>
  <si>
    <t>P51800076840</t>
  </si>
  <si>
    <t>282, 283, 284 &amp; 293</t>
  </si>
  <si>
    <t>Ashok Nagar</t>
  </si>
  <si>
    <t>Borivali West</t>
  </si>
  <si>
    <t>13.40 M.Wide Proposed D.P. Road</t>
  </si>
  <si>
    <t>Other Plot</t>
  </si>
  <si>
    <t>18.30 M.Wide Existing D.P. Road</t>
  </si>
  <si>
    <t>Internal Road</t>
  </si>
  <si>
    <t>Sri Sri Ravishankar Vidya Mandir</t>
  </si>
  <si>
    <t>C.K.P. Colony Lane</t>
  </si>
  <si>
    <t>19.232578,72.845430</t>
  </si>
  <si>
    <t>https://maps.app.goo.gl/1oLWQZHM2nHMxGXx6</t>
  </si>
  <si>
    <t>P-12775/2022/(282 And Other)/R/C Ward/BORIVALI-R/C/337/2/Amend</t>
  </si>
  <si>
    <t>P-12775/2022/(282 And Other)/R/C
Ward/BORIVALI-R/C/FCC/1/Amend</t>
  </si>
  <si>
    <t>This C.C. is granted and further extended for proposed residential building No. 1 comprises of Basement + (pt.) Ground floor + (pt.) Stilt floor + 1st to + 8th podiums + 9th to 33rd &amp; 34th (pt) upper floors by (restricting CC of Flat No. 2 of 34th (pt) as per approved amended plans dated 14.02.2025.</t>
  </si>
  <si>
    <t>P-12775/2022/(282 And Other)/R/C Ward/BORIVALI-R/C-CFO/1/New.</t>
  </si>
  <si>
    <t>JUHU/WEST/B/102822/723727</t>
  </si>
  <si>
    <t>Site Elevation (AMSL) = 9.84m
Permissible Top Elevation (AMSL) = 176.12m</t>
  </si>
  <si>
    <t>https://www.99acres.com/sumit-kmr-param-borivali-west-mumbai-andheri-dahisar-npxid-r430049?nn_source=Performance&amp;nn_account=Google_99acres-NPGoogle-Account&amp;nn_campaign=22819151926_181475938943_766405001925&amp;nn_medium=22819151926_181475938943_766405001925&amp;nn_adtype=g_&amp;nn_keyword=&amp;nn_placement=&amp;gad_source=1&amp;gad_campaignid=22819151926&amp;gbraid=0AAAAADLswZWg2VBWczw6FZ0lnTy9wvFtx&amp;gclid=Cj0KCQjwovPGBhDxARIsAFhgkwT3cicQmSJ99DWwcfpoCBaXnP4TrP3k44F33qUV9PA4ZhqS3fnQ-LgaAsujEALw_wcB#showModal</t>
  </si>
  <si>
    <r>
      <t xml:space="preserve">Proposed Amenities :                                                                                                                                                                                                                         </t>
    </r>
    <r>
      <rPr>
        <b/>
        <sz val="12"/>
        <color theme="1"/>
        <rFont val="Times New Roman"/>
        <family val="1"/>
      </rPr>
      <t xml:space="preserve">                                               </t>
    </r>
  </si>
  <si>
    <t xml:space="preserve">Details of Residential in Building   </t>
  </si>
  <si>
    <t>Ground Floor For Entrance Lobby, Meter Room &amp; Parking</t>
  </si>
  <si>
    <t>Basement Floor For Pump Room &amp; Parking</t>
  </si>
  <si>
    <t>1st Podium Floor For Parking</t>
  </si>
  <si>
    <t>2nd to 7th Podium Floor For Parking</t>
  </si>
  <si>
    <t>8th Podium Floor For Fitness Center &amp; Swimming Pool</t>
  </si>
  <si>
    <t>9th Floor For Residential (Part Refuge Area)</t>
  </si>
  <si>
    <t>Refuge Area</t>
  </si>
  <si>
    <t>2BHK</t>
  </si>
  <si>
    <t>3BHK</t>
  </si>
  <si>
    <t>16th &amp; 23rd Floor (Part Refuge Area)</t>
  </si>
  <si>
    <t>30th Floor (Part Refuge Area)</t>
  </si>
  <si>
    <t>34th Floor</t>
  </si>
  <si>
    <t>35th Floor</t>
  </si>
  <si>
    <t>36th Floor (Part Terrace Area)</t>
  </si>
  <si>
    <t>Terrace Area</t>
  </si>
  <si>
    <t>10th to 15th, 17th to 22nd, 24th to 29th &amp; 31st to 33rd Floor</t>
  </si>
  <si>
    <t>34th Double Floor Plan</t>
  </si>
  <si>
    <t>Balcony + Dry Balcony Area</t>
  </si>
  <si>
    <t>Gaurav Panchal</t>
  </si>
  <si>
    <t>Flats - 211</t>
  </si>
  <si>
    <t>RERA Certificate</t>
  </si>
  <si>
    <t>Baburao Paranjape Marg</t>
  </si>
  <si>
    <t>Mr. Suresh 9819054278</t>
  </si>
  <si>
    <t>Construction work is in process at the time of Visit.</t>
  </si>
  <si>
    <t>Floor Rise Rate from 10th Floor</t>
  </si>
  <si>
    <t>https://www.magicbricks.com/sumit-kmr-param-borivali-west-mumbai-pdpid-4d4235343234303535</t>
  </si>
  <si>
    <t>On Carpet</t>
  </si>
  <si>
    <t>https://dwello.in/view/sumit-param-by-sumit-group-at-borivali_b3568480-ca6a-4363-9448-904506262a66</t>
  </si>
  <si>
    <t>Jio Finance Limited</t>
  </si>
  <si>
    <t>Name of the Project (As per RERA)</t>
  </si>
  <si>
    <t>Name of the Project (As per Builder)</t>
  </si>
  <si>
    <t>Residential Building No.1 = 1B + Gr/Stilt + P1 to P7 + 8th Amenity Floor + 9th to 37th Floor(Total Height = 119.65 mtrs.)</t>
  </si>
  <si>
    <t>Building No.1</t>
  </si>
  <si>
    <t>M/s. Sumit Woods Limited</t>
  </si>
  <si>
    <t>Building No.1 = B + Gr/Stilt + P1 to P7 + 8th Amenity Floor + 9th to 36th (pt) Floor</t>
  </si>
  <si>
    <t>Building No.1 = B + Gr/Stilt + P1 to P7 + 8th Amenity Floor + 9th to 37th Floor</t>
  </si>
  <si>
    <t xml:space="preserve">we have considered greater CA </t>
  </si>
  <si>
    <t>4BHK Duplex With 35th Floor</t>
  </si>
  <si>
    <t>4BHK Duplex With 34th Floor</t>
  </si>
  <si>
    <t>We have referred the latest Approved Plans, CC, Fire &amp; Airport Noc from MCGM site.</t>
  </si>
  <si>
    <t>We considered Gross carpet area = Net carpet + Balcony + Dry Balcony Area</t>
  </si>
  <si>
    <t>Fitness Center, Yoga Area, Mini Theatre, Kids Play Area, Swimming Pool, Banquet Hall, Green Space, Meditation Area, CCTV etc.</t>
  </si>
  <si>
    <t>As per site</t>
  </si>
  <si>
    <t>As per Visitor</t>
  </si>
  <si>
    <t>1.7KM from Borivali Railway Station</t>
  </si>
  <si>
    <t>Rahul Salve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</si>
</sst>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9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2" xfId="0" applyBorder="1" applyAlignment="1">
      <alignment vertical="top"/>
    </xf>
    <xf numFmtId="0" fontId="0" fillId="0" borderId="33" xfId="0" applyBorder="1" applyAlignment="1">
      <alignment vertical="top" wrapText="1"/>
    </xf>
    <xf numFmtId="0" fontId="0" fillId="0" borderId="34"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3"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7" fillId="0" borderId="0" xfId="1" applyNumberFormat="1" applyFont="1"/>
    <xf numFmtId="0" fontId="0" fillId="0" borderId="35" xfId="0" applyBorder="1" applyAlignment="1">
      <alignment vertical="top" wrapText="1"/>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27" fillId="0" borderId="0" xfId="10"/>
    <xf numFmtId="9" fontId="10" fillId="0" borderId="16" xfId="8" applyFont="1" applyFill="1" applyBorder="1" applyAlignment="1" applyProtection="1">
      <alignment horizontal="center" vertical="top" wrapText="1"/>
      <protection locked="0"/>
    </xf>
    <xf numFmtId="0" fontId="17" fillId="0" borderId="0" xfId="1" applyFont="1" applyAlignment="1">
      <alignment horizontal="center" vertical="center"/>
    </xf>
    <xf numFmtId="0" fontId="7" fillId="0" borderId="1" xfId="1" applyFont="1" applyBorder="1" applyAlignment="1" applyProtection="1">
      <alignment horizontal="center" vertical="top"/>
      <protection locked="0"/>
    </xf>
    <xf numFmtId="1" fontId="7" fillId="0" borderId="0" xfId="0" applyNumberFormat="1" applyFont="1" applyAlignment="1">
      <alignment horizontal="center" vertical="center"/>
    </xf>
    <xf numFmtId="0" fontId="7" fillId="0" borderId="0" xfId="1" applyFont="1" applyAlignment="1">
      <alignment horizontal="right"/>
    </xf>
    <xf numFmtId="1" fontId="10" fillId="0" borderId="0" xfId="1" applyNumberFormat="1" applyFont="1" applyAlignment="1">
      <alignment horizontal="center" vertical="center"/>
    </xf>
    <xf numFmtId="0" fontId="10" fillId="0" borderId="0" xfId="1" applyFont="1" applyAlignment="1">
      <alignment horizontal="center" vertical="center"/>
    </xf>
    <xf numFmtId="2" fontId="10" fillId="0" borderId="0" xfId="1" applyNumberFormat="1" applyFont="1" applyAlignment="1">
      <alignment horizontal="center" vertical="center"/>
    </xf>
    <xf numFmtId="1" fontId="12" fillId="0" borderId="1" xfId="1" applyNumberFormat="1" applyFont="1" applyBorder="1" applyAlignment="1" applyProtection="1">
      <alignment horizontal="center" vertical="center" wrapText="1"/>
      <protection locked="0"/>
    </xf>
    <xf numFmtId="0" fontId="10" fillId="0" borderId="0" xfId="1" applyFont="1" applyAlignment="1">
      <alignment horizontal="center" vertical="center"/>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1" fontId="6" fillId="0" borderId="21" xfId="1"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1" fontId="8" fillId="0" borderId="36" xfId="0" applyNumberFormat="1" applyFont="1" applyBorder="1" applyAlignment="1" applyProtection="1">
      <alignment horizontal="center" vertical="center" wrapText="1"/>
      <protection locked="0"/>
    </xf>
    <xf numFmtId="1" fontId="8" fillId="0" borderId="37" xfId="0" applyNumberFormat="1" applyFont="1" applyBorder="1" applyAlignment="1" applyProtection="1">
      <alignment horizontal="center" vertical="center" wrapText="1"/>
      <protection locked="0"/>
    </xf>
    <xf numFmtId="0" fontId="13" fillId="0" borderId="16"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3" fillId="0" borderId="16" xfId="1" applyFont="1" applyBorder="1" applyAlignment="1" applyProtection="1">
      <alignment horizontal="center" vertical="top"/>
      <protection locked="0"/>
    </xf>
    <xf numFmtId="1" fontId="8" fillId="3" borderId="8" xfId="1" applyNumberFormat="1" applyFont="1" applyFill="1" applyBorder="1" applyAlignment="1" applyProtection="1">
      <alignment horizontal="center" vertical="center" wrapText="1"/>
      <protection locked="0"/>
    </xf>
    <xf numFmtId="1" fontId="8" fillId="3" borderId="21" xfId="1" applyNumberFormat="1" applyFont="1" applyFill="1" applyBorder="1" applyAlignment="1" applyProtection="1">
      <alignment horizontal="center" vertical="center" wrapText="1"/>
      <protection locked="0"/>
    </xf>
    <xf numFmtId="1" fontId="8" fillId="3" borderId="9" xfId="1" applyNumberFormat="1"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10" fillId="0" borderId="37" xfId="0"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7" fillId="0" borderId="25" xfId="1" applyFont="1" applyBorder="1" applyAlignment="1" applyProtection="1">
      <alignment horizontal="left" vertical="top" wrapText="1"/>
      <protection locked="0"/>
    </xf>
    <xf numFmtId="0" fontId="7" fillId="0" borderId="26"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3" fillId="0" borderId="4"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7" fillId="0" borderId="8"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25" xfId="1" applyFont="1" applyBorder="1" applyAlignment="1" applyProtection="1">
      <alignment horizontal="left" vertical="top" wrapText="1"/>
      <protection locked="0"/>
    </xf>
    <xf numFmtId="0" fontId="6" fillId="0" borderId="2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7" fillId="0" borderId="0" xfId="1" applyFont="1" applyAlignment="1">
      <alignment horizontal="center" vertical="center"/>
    </xf>
    <xf numFmtId="1" fontId="7" fillId="0" borderId="1" xfId="0" applyNumberFormat="1" applyFont="1" applyBorder="1" applyAlignment="1" applyProtection="1">
      <alignment horizontal="center" vertical="center"/>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 fontId="10" fillId="0" borderId="37" xfId="0" applyNumberFormat="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27" fillId="0" borderId="1" xfId="10" applyFill="1" applyBorder="1" applyAlignment="1" applyProtection="1">
      <alignment horizontal="left" vertical="top" wrapText="1"/>
      <protection locked="0"/>
    </xf>
    <xf numFmtId="1" fontId="8" fillId="0" borderId="37" xfId="0" applyNumberFormat="1" applyFont="1" applyBorder="1" applyAlignment="1" applyProtection="1">
      <alignment horizontal="center" vertical="top" wrapText="1"/>
      <protection locked="0"/>
    </xf>
    <xf numFmtId="1" fontId="8" fillId="0" borderId="38" xfId="0" applyNumberFormat="1" applyFont="1" applyBorder="1" applyAlignment="1" applyProtection="1">
      <alignment horizontal="center" vertical="top" wrapText="1"/>
      <protection locked="0"/>
    </xf>
    <xf numFmtId="1" fontId="13" fillId="0" borderId="8" xfId="1" applyNumberFormat="1" applyFont="1" applyBorder="1" applyAlignment="1" applyProtection="1">
      <alignment horizontal="center" vertical="center" wrapText="1"/>
      <protection locked="0"/>
    </xf>
    <xf numFmtId="1" fontId="13" fillId="0" borderId="21" xfId="1" applyNumberFormat="1" applyFont="1" applyBorder="1" applyAlignment="1" applyProtection="1">
      <alignment horizontal="center" vertical="center" wrapText="1"/>
      <protection locked="0"/>
    </xf>
    <xf numFmtId="1" fontId="13" fillId="0" borderId="9"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0" fontId="10" fillId="0" borderId="0" xfId="1" applyFont="1" applyAlignment="1">
      <alignment horizontal="center" vertical="center"/>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0" xfId="1" applyNumberFormat="1" applyFont="1" applyBorder="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9" fillId="0" borderId="1" xfId="5" applyFont="1" applyBorder="1" applyAlignment="1">
      <alignment horizontal="left"/>
    </xf>
    <xf numFmtId="0" fontId="0" fillId="0" borderId="25" xfId="0" applyBorder="1" applyAlignment="1">
      <alignment horizontal="left" vertical="top" wrapText="1"/>
    </xf>
    <xf numFmtId="0" fontId="0" fillId="0" borderId="0" xfId="0" applyAlignment="1">
      <alignment horizontal="left" vertical="top" wrapText="1"/>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0" fillId="0" borderId="11" xfId="0" applyBorder="1" applyAlignment="1">
      <alignment horizont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jp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jp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jp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jp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3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4.png"/><Relationship Id="rId1" Type="http://schemas.openxmlformats.org/officeDocument/2006/relationships/image" Target="../media/image33.png"/></Relationships>
</file>

<file path=xl/drawings/drawing1.xml><?xml version="1.0" encoding="utf-8"?>
<xdr:wsDr xmlns:xdr="http://schemas.openxmlformats.org/drawingml/2006/spreadsheetDrawing" xmlns:a="http://schemas.openxmlformats.org/drawingml/2006/main">
  <xdr:twoCellAnchor editAs="oneCell">
    <xdr:from>
      <xdr:col>8</xdr:col>
      <xdr:colOff>121920</xdr:colOff>
      <xdr:row>49</xdr:row>
      <xdr:rowOff>121920</xdr:rowOff>
    </xdr:from>
    <xdr:to>
      <xdr:col>12</xdr:col>
      <xdr:colOff>10980</xdr:colOff>
      <xdr:row>51</xdr:row>
      <xdr:rowOff>293125</xdr:rowOff>
    </xdr:to>
    <xdr:pic>
      <xdr:nvPicPr>
        <xdr:cNvPr id="2" name="Picture 1">
          <a:extLst>
            <a:ext uri="{FF2B5EF4-FFF2-40B4-BE49-F238E27FC236}">
              <a16:creationId xmlns:a16="http://schemas.microsoft.com/office/drawing/2014/main" id="{4A47CA33-A329-0972-F0CA-C1C63CCC137A}"/>
            </a:ext>
          </a:extLst>
        </xdr:cNvPr>
        <xdr:cNvPicPr>
          <a:picLocks noChangeAspect="1"/>
        </xdr:cNvPicPr>
      </xdr:nvPicPr>
      <xdr:blipFill>
        <a:blip xmlns:r="http://schemas.openxmlformats.org/officeDocument/2006/relationships" r:embed="rId1"/>
        <a:stretch>
          <a:fillRect/>
        </a:stretch>
      </xdr:blipFill>
      <xdr:spPr>
        <a:xfrm>
          <a:off x="6606540" y="11049000"/>
          <a:ext cx="3600000" cy="1001785"/>
        </a:xfrm>
        <a:prstGeom prst="rect">
          <a:avLst/>
        </a:prstGeom>
      </xdr:spPr>
    </xdr:pic>
    <xdr:clientData/>
  </xdr:twoCellAnchor>
  <xdr:twoCellAnchor editAs="oneCell">
    <xdr:from>
      <xdr:col>8</xdr:col>
      <xdr:colOff>167640</xdr:colOff>
      <xdr:row>54</xdr:row>
      <xdr:rowOff>746761</xdr:rowOff>
    </xdr:from>
    <xdr:to>
      <xdr:col>12</xdr:col>
      <xdr:colOff>56700</xdr:colOff>
      <xdr:row>61</xdr:row>
      <xdr:rowOff>81416</xdr:rowOff>
    </xdr:to>
    <xdr:pic>
      <xdr:nvPicPr>
        <xdr:cNvPr id="3" name="Picture 2">
          <a:extLst>
            <a:ext uri="{FF2B5EF4-FFF2-40B4-BE49-F238E27FC236}">
              <a16:creationId xmlns:a16="http://schemas.microsoft.com/office/drawing/2014/main" id="{63C36602-0F49-803E-C748-6791063B24DE}"/>
            </a:ext>
          </a:extLst>
        </xdr:cNvPr>
        <xdr:cNvPicPr>
          <a:picLocks noChangeAspect="1"/>
        </xdr:cNvPicPr>
      </xdr:nvPicPr>
      <xdr:blipFill>
        <a:blip xmlns:r="http://schemas.openxmlformats.org/officeDocument/2006/relationships" r:embed="rId2"/>
        <a:stretch>
          <a:fillRect/>
        </a:stretch>
      </xdr:blipFill>
      <xdr:spPr>
        <a:xfrm>
          <a:off x="6652260" y="13533121"/>
          <a:ext cx="3600000" cy="1682609"/>
        </a:xfrm>
        <a:prstGeom prst="rect">
          <a:avLst/>
        </a:prstGeom>
      </xdr:spPr>
    </xdr:pic>
    <xdr:clientData/>
  </xdr:twoCellAnchor>
  <xdr:twoCellAnchor editAs="oneCell">
    <xdr:from>
      <xdr:col>8</xdr:col>
      <xdr:colOff>144780</xdr:colOff>
      <xdr:row>52</xdr:row>
      <xdr:rowOff>99060</xdr:rowOff>
    </xdr:from>
    <xdr:to>
      <xdr:col>12</xdr:col>
      <xdr:colOff>753840</xdr:colOff>
      <xdr:row>54</xdr:row>
      <xdr:rowOff>563648</xdr:rowOff>
    </xdr:to>
    <xdr:pic>
      <xdr:nvPicPr>
        <xdr:cNvPr id="4" name="Picture 3">
          <a:extLst>
            <a:ext uri="{FF2B5EF4-FFF2-40B4-BE49-F238E27FC236}">
              <a16:creationId xmlns:a16="http://schemas.microsoft.com/office/drawing/2014/main" id="{2B29AF32-48C0-8D1D-FAE9-88C182DA3D8C}"/>
            </a:ext>
          </a:extLst>
        </xdr:cNvPr>
        <xdr:cNvPicPr>
          <a:picLocks noChangeAspect="1"/>
        </xdr:cNvPicPr>
      </xdr:nvPicPr>
      <xdr:blipFill>
        <a:blip xmlns:r="http://schemas.openxmlformats.org/officeDocument/2006/relationships" r:embed="rId3"/>
        <a:stretch>
          <a:fillRect/>
        </a:stretch>
      </xdr:blipFill>
      <xdr:spPr>
        <a:xfrm>
          <a:off x="6629400" y="12260580"/>
          <a:ext cx="4320000" cy="1089428"/>
        </a:xfrm>
        <a:prstGeom prst="rect">
          <a:avLst/>
        </a:prstGeom>
      </xdr:spPr>
    </xdr:pic>
    <xdr:clientData/>
  </xdr:twoCellAnchor>
  <xdr:twoCellAnchor editAs="oneCell">
    <xdr:from>
      <xdr:col>10</xdr:col>
      <xdr:colOff>523539</xdr:colOff>
      <xdr:row>61</xdr:row>
      <xdr:rowOff>232634</xdr:rowOff>
    </xdr:from>
    <xdr:to>
      <xdr:col>14</xdr:col>
      <xdr:colOff>703952</xdr:colOff>
      <xdr:row>70</xdr:row>
      <xdr:rowOff>37339</xdr:rowOff>
    </xdr:to>
    <xdr:pic>
      <xdr:nvPicPr>
        <xdr:cNvPr id="5" name="Picture 4">
          <a:extLst>
            <a:ext uri="{FF2B5EF4-FFF2-40B4-BE49-F238E27FC236}">
              <a16:creationId xmlns:a16="http://schemas.microsoft.com/office/drawing/2014/main" id="{DF11C268-F0DE-D070-7A01-FC34A677CE76}"/>
            </a:ext>
          </a:extLst>
        </xdr:cNvPr>
        <xdr:cNvPicPr>
          <a:picLocks noChangeAspect="1"/>
        </xdr:cNvPicPr>
      </xdr:nvPicPr>
      <xdr:blipFill>
        <a:blip xmlns:r="http://schemas.openxmlformats.org/officeDocument/2006/relationships" r:embed="rId4"/>
        <a:stretch>
          <a:fillRect/>
        </a:stretch>
      </xdr:blipFill>
      <xdr:spPr>
        <a:xfrm>
          <a:off x="8759863" y="15439016"/>
          <a:ext cx="3486148" cy="2236381"/>
        </a:xfrm>
        <a:prstGeom prst="rect">
          <a:avLst/>
        </a:prstGeom>
      </xdr:spPr>
    </xdr:pic>
    <xdr:clientData/>
  </xdr:twoCellAnchor>
  <xdr:twoCellAnchor editAs="oneCell">
    <xdr:from>
      <xdr:col>8</xdr:col>
      <xdr:colOff>655320</xdr:colOff>
      <xdr:row>69</xdr:row>
      <xdr:rowOff>190501</xdr:rowOff>
    </xdr:from>
    <xdr:to>
      <xdr:col>12</xdr:col>
      <xdr:colOff>544380</xdr:colOff>
      <xdr:row>76</xdr:row>
      <xdr:rowOff>40384</xdr:rowOff>
    </xdr:to>
    <xdr:pic>
      <xdr:nvPicPr>
        <xdr:cNvPr id="6" name="Picture 5">
          <a:extLst>
            <a:ext uri="{FF2B5EF4-FFF2-40B4-BE49-F238E27FC236}">
              <a16:creationId xmlns:a16="http://schemas.microsoft.com/office/drawing/2014/main" id="{B35B7BDC-A909-7B9D-596C-8684634AA26C}"/>
            </a:ext>
          </a:extLst>
        </xdr:cNvPr>
        <xdr:cNvPicPr>
          <a:picLocks noChangeAspect="1"/>
        </xdr:cNvPicPr>
      </xdr:nvPicPr>
      <xdr:blipFill>
        <a:blip xmlns:r="http://schemas.openxmlformats.org/officeDocument/2006/relationships" r:embed="rId5"/>
        <a:stretch>
          <a:fillRect/>
        </a:stretch>
      </xdr:blipFill>
      <xdr:spPr>
        <a:xfrm>
          <a:off x="7139940" y="17670781"/>
          <a:ext cx="3600000" cy="2102041"/>
        </a:xfrm>
        <a:prstGeom prst="rect">
          <a:avLst/>
        </a:prstGeom>
      </xdr:spPr>
    </xdr:pic>
    <xdr:clientData/>
  </xdr:twoCellAnchor>
  <xdr:twoCellAnchor editAs="oneCell">
    <xdr:from>
      <xdr:col>8</xdr:col>
      <xdr:colOff>1021977</xdr:colOff>
      <xdr:row>108</xdr:row>
      <xdr:rowOff>48746</xdr:rowOff>
    </xdr:from>
    <xdr:to>
      <xdr:col>12</xdr:col>
      <xdr:colOff>260006</xdr:colOff>
      <xdr:row>124</xdr:row>
      <xdr:rowOff>79381</xdr:rowOff>
    </xdr:to>
    <xdr:pic>
      <xdr:nvPicPr>
        <xdr:cNvPr id="7" name="Picture 6">
          <a:extLst>
            <a:ext uri="{FF2B5EF4-FFF2-40B4-BE49-F238E27FC236}">
              <a16:creationId xmlns:a16="http://schemas.microsoft.com/office/drawing/2014/main" id="{53F3C562-D7E3-2EA3-6192-910CC6A7CAFE}"/>
            </a:ext>
          </a:extLst>
        </xdr:cNvPr>
        <xdr:cNvPicPr>
          <a:picLocks noChangeAspect="1"/>
        </xdr:cNvPicPr>
      </xdr:nvPicPr>
      <xdr:blipFill>
        <a:blip xmlns:r="http://schemas.openxmlformats.org/officeDocument/2006/relationships" r:embed="rId6"/>
        <a:stretch>
          <a:fillRect/>
        </a:stretch>
      </xdr:blipFill>
      <xdr:spPr>
        <a:xfrm>
          <a:off x="7330889" y="23267334"/>
          <a:ext cx="2835117" cy="1845988"/>
        </a:xfrm>
        <a:prstGeom prst="rect">
          <a:avLst/>
        </a:prstGeom>
      </xdr:spPr>
    </xdr:pic>
    <xdr:clientData/>
  </xdr:twoCellAnchor>
  <xdr:twoCellAnchor editAs="oneCell">
    <xdr:from>
      <xdr:col>12</xdr:col>
      <xdr:colOff>205740</xdr:colOff>
      <xdr:row>61</xdr:row>
      <xdr:rowOff>320040</xdr:rowOff>
    </xdr:from>
    <xdr:to>
      <xdr:col>15</xdr:col>
      <xdr:colOff>617473</xdr:colOff>
      <xdr:row>68</xdr:row>
      <xdr:rowOff>122740</xdr:rowOff>
    </xdr:to>
    <xdr:pic>
      <xdr:nvPicPr>
        <xdr:cNvPr id="8" name="Picture 7">
          <a:extLst>
            <a:ext uri="{FF2B5EF4-FFF2-40B4-BE49-F238E27FC236}">
              <a16:creationId xmlns:a16="http://schemas.microsoft.com/office/drawing/2014/main" id="{50583E95-4307-9F19-F4AD-A26E563EC2C5}"/>
            </a:ext>
          </a:extLst>
        </xdr:cNvPr>
        <xdr:cNvPicPr>
          <a:picLocks noChangeAspect="1"/>
        </xdr:cNvPicPr>
      </xdr:nvPicPr>
      <xdr:blipFill>
        <a:blip xmlns:r="http://schemas.openxmlformats.org/officeDocument/2006/relationships" r:embed="rId6"/>
        <a:stretch>
          <a:fillRect/>
        </a:stretch>
      </xdr:blipFill>
      <xdr:spPr>
        <a:xfrm>
          <a:off x="10401300" y="15582900"/>
          <a:ext cx="2918713" cy="1813717"/>
        </a:xfrm>
        <a:prstGeom prst="rect">
          <a:avLst/>
        </a:prstGeom>
      </xdr:spPr>
    </xdr:pic>
    <xdr:clientData/>
  </xdr:twoCellAnchor>
  <xdr:twoCellAnchor>
    <xdr:from>
      <xdr:col>0</xdr:col>
      <xdr:colOff>464819</xdr:colOff>
      <xdr:row>283</xdr:row>
      <xdr:rowOff>57150</xdr:rowOff>
    </xdr:from>
    <xdr:to>
      <xdr:col>7</xdr:col>
      <xdr:colOff>238124</xdr:colOff>
      <xdr:row>322</xdr:row>
      <xdr:rowOff>56028</xdr:rowOff>
    </xdr:to>
    <xdr:grpSp>
      <xdr:nvGrpSpPr>
        <xdr:cNvPr id="9" name="Group 8">
          <a:extLst>
            <a:ext uri="{FF2B5EF4-FFF2-40B4-BE49-F238E27FC236}">
              <a16:creationId xmlns:a16="http://schemas.microsoft.com/office/drawing/2014/main" id="{9F9E8C86-DF05-8F78-2ACC-9A6544B2C533}"/>
            </a:ext>
          </a:extLst>
        </xdr:cNvPr>
        <xdr:cNvGrpSpPr/>
      </xdr:nvGrpSpPr>
      <xdr:grpSpPr>
        <a:xfrm>
          <a:off x="464819" y="53139415"/>
          <a:ext cx="5353834" cy="7865407"/>
          <a:chOff x="525780" y="286075"/>
          <a:chExt cx="5400000" cy="7548532"/>
        </a:xfrm>
      </xdr:grpSpPr>
      <xdr:pic>
        <xdr:nvPicPr>
          <xdr:cNvPr id="10" name="Picture 9">
            <a:extLst>
              <a:ext uri="{FF2B5EF4-FFF2-40B4-BE49-F238E27FC236}">
                <a16:creationId xmlns:a16="http://schemas.microsoft.com/office/drawing/2014/main" id="{7966AA4F-0C4A-14B9-FDAA-649E54C76980}"/>
              </a:ext>
            </a:extLst>
          </xdr:cNvPr>
          <xdr:cNvPicPr>
            <a:picLocks noChangeAspect="1"/>
          </xdr:cNvPicPr>
        </xdr:nvPicPr>
        <xdr:blipFill>
          <a:blip xmlns:r="http://schemas.openxmlformats.org/officeDocument/2006/relationships" r:embed="rId7"/>
          <a:stretch>
            <a:fillRect/>
          </a:stretch>
        </xdr:blipFill>
        <xdr:spPr>
          <a:xfrm>
            <a:off x="525780" y="286075"/>
            <a:ext cx="5400000" cy="3353488"/>
          </a:xfrm>
          <a:prstGeom prst="rect">
            <a:avLst/>
          </a:prstGeom>
          <a:ln>
            <a:solidFill>
              <a:schemeClr val="tx1"/>
            </a:solidFill>
          </a:ln>
        </xdr:spPr>
      </xdr:pic>
      <xdr:pic>
        <xdr:nvPicPr>
          <xdr:cNvPr id="11" name="Picture 10">
            <a:extLst>
              <a:ext uri="{FF2B5EF4-FFF2-40B4-BE49-F238E27FC236}">
                <a16:creationId xmlns:a16="http://schemas.microsoft.com/office/drawing/2014/main" id="{DFEAF3A7-1E7D-F74F-8682-FC59E6CD9C44}"/>
              </a:ext>
            </a:extLst>
          </xdr:cNvPr>
          <xdr:cNvPicPr>
            <a:picLocks noChangeAspect="1"/>
          </xdr:cNvPicPr>
        </xdr:nvPicPr>
        <xdr:blipFill>
          <a:blip xmlns:r="http://schemas.openxmlformats.org/officeDocument/2006/relationships" r:embed="rId8"/>
          <a:stretch>
            <a:fillRect/>
          </a:stretch>
        </xdr:blipFill>
        <xdr:spPr>
          <a:xfrm>
            <a:off x="1056886" y="3777914"/>
            <a:ext cx="3971785" cy="4056693"/>
          </a:xfrm>
          <a:prstGeom prst="rect">
            <a:avLst/>
          </a:prstGeom>
          <a:ln>
            <a:solidFill>
              <a:schemeClr val="tx1"/>
            </a:solidFill>
          </a:ln>
        </xdr:spPr>
      </xdr:pic>
    </xdr:grpSp>
    <xdr:clientData/>
  </xdr:twoCellAnchor>
  <xdr:twoCellAnchor editAs="oneCell">
    <xdr:from>
      <xdr:col>8</xdr:col>
      <xdr:colOff>240196</xdr:colOff>
      <xdr:row>16</xdr:row>
      <xdr:rowOff>267696</xdr:rowOff>
    </xdr:from>
    <xdr:to>
      <xdr:col>16</xdr:col>
      <xdr:colOff>64708</xdr:colOff>
      <xdr:row>21</xdr:row>
      <xdr:rowOff>8283</xdr:rowOff>
    </xdr:to>
    <xdr:pic>
      <xdr:nvPicPr>
        <xdr:cNvPr id="17" name="Picture 16">
          <a:extLst>
            <a:ext uri="{FF2B5EF4-FFF2-40B4-BE49-F238E27FC236}">
              <a16:creationId xmlns:a16="http://schemas.microsoft.com/office/drawing/2014/main" id="{30BA1C3E-5E28-F1D0-3D78-399B7F0892CB}"/>
            </a:ext>
          </a:extLst>
        </xdr:cNvPr>
        <xdr:cNvPicPr>
          <a:picLocks noChangeAspect="1"/>
        </xdr:cNvPicPr>
      </xdr:nvPicPr>
      <xdr:blipFill>
        <a:blip xmlns:r="http://schemas.openxmlformats.org/officeDocument/2006/relationships" r:embed="rId9"/>
        <a:stretch>
          <a:fillRect/>
        </a:stretch>
      </xdr:blipFill>
      <xdr:spPr>
        <a:xfrm>
          <a:off x="6559826" y="3829218"/>
          <a:ext cx="6641099" cy="1156913"/>
        </a:xfrm>
        <a:prstGeom prst="rect">
          <a:avLst/>
        </a:prstGeom>
      </xdr:spPr>
    </xdr:pic>
    <xdr:clientData/>
  </xdr:twoCellAnchor>
  <xdr:twoCellAnchor>
    <xdr:from>
      <xdr:col>0</xdr:col>
      <xdr:colOff>160020</xdr:colOff>
      <xdr:row>239</xdr:row>
      <xdr:rowOff>160020</xdr:rowOff>
    </xdr:from>
    <xdr:to>
      <xdr:col>7</xdr:col>
      <xdr:colOff>589071</xdr:colOff>
      <xdr:row>277</xdr:row>
      <xdr:rowOff>25706</xdr:rowOff>
    </xdr:to>
    <xdr:grpSp>
      <xdr:nvGrpSpPr>
        <xdr:cNvPr id="18" name="Group 17">
          <a:extLst>
            <a:ext uri="{FF2B5EF4-FFF2-40B4-BE49-F238E27FC236}">
              <a16:creationId xmlns:a16="http://schemas.microsoft.com/office/drawing/2014/main" id="{6B97847F-F40C-8966-61F5-184C5F57358B}"/>
            </a:ext>
          </a:extLst>
        </xdr:cNvPr>
        <xdr:cNvGrpSpPr/>
      </xdr:nvGrpSpPr>
      <xdr:grpSpPr>
        <a:xfrm>
          <a:off x="160020" y="44781844"/>
          <a:ext cx="6009580" cy="7519303"/>
          <a:chOff x="363577" y="543889"/>
          <a:chExt cx="6159291" cy="7386626"/>
        </a:xfrm>
      </xdr:grpSpPr>
      <xdr:pic>
        <xdr:nvPicPr>
          <xdr:cNvPr id="19" name="Picture 18">
            <a:extLst>
              <a:ext uri="{FF2B5EF4-FFF2-40B4-BE49-F238E27FC236}">
                <a16:creationId xmlns:a16="http://schemas.microsoft.com/office/drawing/2014/main" id="{D625D50A-B8B9-F29D-B069-497D9F123F2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tretch>
            <a:fillRect/>
          </a:stretch>
        </xdr:blipFill>
        <xdr:spPr>
          <a:xfrm>
            <a:off x="363577" y="543889"/>
            <a:ext cx="3820517" cy="2880000"/>
          </a:xfrm>
          <a:prstGeom prst="rect">
            <a:avLst/>
          </a:prstGeom>
          <a:ln>
            <a:solidFill>
              <a:schemeClr val="tx1"/>
            </a:solidFill>
          </a:ln>
        </xdr:spPr>
      </xdr:pic>
      <xdr:pic>
        <xdr:nvPicPr>
          <xdr:cNvPr id="20" name="Picture 19">
            <a:extLst>
              <a:ext uri="{FF2B5EF4-FFF2-40B4-BE49-F238E27FC236}">
                <a16:creationId xmlns:a16="http://schemas.microsoft.com/office/drawing/2014/main" id="{8ED106F5-FDFF-686F-5E88-810455293086}"/>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tretch>
            <a:fillRect/>
          </a:stretch>
        </xdr:blipFill>
        <xdr:spPr>
          <a:xfrm>
            <a:off x="4356843" y="543889"/>
            <a:ext cx="2166025" cy="2880000"/>
          </a:xfrm>
          <a:prstGeom prst="rect">
            <a:avLst/>
          </a:prstGeom>
          <a:ln>
            <a:solidFill>
              <a:schemeClr val="tx1"/>
            </a:solidFill>
          </a:ln>
        </xdr:spPr>
      </xdr:pic>
      <xdr:pic>
        <xdr:nvPicPr>
          <xdr:cNvPr id="21" name="Picture 20">
            <a:extLst>
              <a:ext uri="{FF2B5EF4-FFF2-40B4-BE49-F238E27FC236}">
                <a16:creationId xmlns:a16="http://schemas.microsoft.com/office/drawing/2014/main" id="{0544FFB1-6E62-6BCF-DD88-6B7CB1D0DDDD}"/>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2576482" y="3607202"/>
            <a:ext cx="1759895" cy="2340000"/>
          </a:xfrm>
          <a:prstGeom prst="rect">
            <a:avLst/>
          </a:prstGeom>
          <a:ln>
            <a:solidFill>
              <a:schemeClr val="tx1"/>
            </a:solidFill>
          </a:ln>
        </xdr:spPr>
      </xdr:pic>
      <xdr:pic>
        <xdr:nvPicPr>
          <xdr:cNvPr id="22" name="Picture 21">
            <a:extLst>
              <a:ext uri="{FF2B5EF4-FFF2-40B4-BE49-F238E27FC236}">
                <a16:creationId xmlns:a16="http://schemas.microsoft.com/office/drawing/2014/main" id="{16EC52E5-C4A9-F993-B12D-15E174495C05}"/>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4495739" y="3607202"/>
            <a:ext cx="1759895" cy="2340000"/>
          </a:xfrm>
          <a:prstGeom prst="rect">
            <a:avLst/>
          </a:prstGeom>
          <a:ln>
            <a:solidFill>
              <a:schemeClr val="tx1"/>
            </a:solidFill>
          </a:ln>
        </xdr:spPr>
      </xdr:pic>
      <xdr:pic>
        <xdr:nvPicPr>
          <xdr:cNvPr id="23" name="Picture 22">
            <a:extLst>
              <a:ext uri="{FF2B5EF4-FFF2-40B4-BE49-F238E27FC236}">
                <a16:creationId xmlns:a16="http://schemas.microsoft.com/office/drawing/2014/main" id="{B2058A58-650E-A2BE-70E8-4A499DFE6D34}"/>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652836" y="3607202"/>
            <a:ext cx="1759895" cy="2340000"/>
          </a:xfrm>
          <a:prstGeom prst="rect">
            <a:avLst/>
          </a:prstGeom>
          <a:ln>
            <a:solidFill>
              <a:schemeClr val="tx1"/>
            </a:solidFill>
          </a:ln>
        </xdr:spPr>
      </xdr:pic>
      <xdr:pic>
        <xdr:nvPicPr>
          <xdr:cNvPr id="24" name="Picture 23">
            <a:extLst>
              <a:ext uri="{FF2B5EF4-FFF2-40B4-BE49-F238E27FC236}">
                <a16:creationId xmlns:a16="http://schemas.microsoft.com/office/drawing/2014/main" id="{341A794D-83D2-7184-63AB-22106C380677}"/>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tretch>
            <a:fillRect/>
          </a:stretch>
        </xdr:blipFill>
        <xdr:spPr>
          <a:xfrm>
            <a:off x="942311" y="6130515"/>
            <a:ext cx="2396667" cy="1800000"/>
          </a:xfrm>
          <a:prstGeom prst="rect">
            <a:avLst/>
          </a:prstGeom>
          <a:ln>
            <a:solidFill>
              <a:schemeClr val="tx1"/>
            </a:solidFill>
          </a:ln>
        </xdr:spPr>
      </xdr:pic>
      <xdr:pic>
        <xdr:nvPicPr>
          <xdr:cNvPr id="25" name="Picture 24">
            <a:extLst>
              <a:ext uri="{FF2B5EF4-FFF2-40B4-BE49-F238E27FC236}">
                <a16:creationId xmlns:a16="http://schemas.microsoft.com/office/drawing/2014/main" id="{4749562E-CFE1-6D83-B8E0-8B1128DE2EB9}"/>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a:ext>
            </a:extLst>
          </a:blip>
          <a:stretch>
            <a:fillRect/>
          </a:stretch>
        </xdr:blipFill>
        <xdr:spPr>
          <a:xfrm>
            <a:off x="3519024" y="6130515"/>
            <a:ext cx="2387823" cy="1800000"/>
          </a:xfrm>
          <a:prstGeom prst="rect">
            <a:avLst/>
          </a:prstGeom>
          <a:ln>
            <a:solidFill>
              <a:schemeClr val="tx1"/>
            </a:solidFill>
          </a:ln>
        </xdr:spPr>
      </xdr:pic>
    </xdr:grpSp>
    <xdr:clientData/>
  </xdr:twoCellAnchor>
  <xdr:twoCellAnchor editAs="oneCell">
    <xdr:from>
      <xdr:col>12</xdr:col>
      <xdr:colOff>205740</xdr:colOff>
      <xdr:row>79</xdr:row>
      <xdr:rowOff>160020</xdr:rowOff>
    </xdr:from>
    <xdr:to>
      <xdr:col>16</xdr:col>
      <xdr:colOff>498660</xdr:colOff>
      <xdr:row>86</xdr:row>
      <xdr:rowOff>196486</xdr:rowOff>
    </xdr:to>
    <xdr:pic>
      <xdr:nvPicPr>
        <xdr:cNvPr id="27" name="Picture 26">
          <a:extLst>
            <a:ext uri="{FF2B5EF4-FFF2-40B4-BE49-F238E27FC236}">
              <a16:creationId xmlns:a16="http://schemas.microsoft.com/office/drawing/2014/main" id="{8893C8EB-39E3-31A3-2A50-A9F005E924B9}"/>
            </a:ext>
          </a:extLst>
        </xdr:cNvPr>
        <xdr:cNvPicPr>
          <a:picLocks noChangeAspect="1"/>
        </xdr:cNvPicPr>
      </xdr:nvPicPr>
      <xdr:blipFill>
        <a:blip xmlns:r="http://schemas.openxmlformats.org/officeDocument/2006/relationships" r:embed="rId17"/>
        <a:stretch>
          <a:fillRect/>
        </a:stretch>
      </xdr:blipFill>
      <xdr:spPr>
        <a:xfrm>
          <a:off x="10401300" y="19933920"/>
          <a:ext cx="3600000" cy="1415686"/>
        </a:xfrm>
        <a:prstGeom prst="rect">
          <a:avLst/>
        </a:prstGeom>
      </xdr:spPr>
    </xdr:pic>
    <xdr:clientData/>
  </xdr:twoCellAnchor>
  <xdr:twoCellAnchor editAs="oneCell">
    <xdr:from>
      <xdr:col>8</xdr:col>
      <xdr:colOff>782955</xdr:colOff>
      <xdr:row>106</xdr:row>
      <xdr:rowOff>49530</xdr:rowOff>
    </xdr:from>
    <xdr:to>
      <xdr:col>11</xdr:col>
      <xdr:colOff>904515</xdr:colOff>
      <xdr:row>111</xdr:row>
      <xdr:rowOff>128256</xdr:rowOff>
    </xdr:to>
    <xdr:pic>
      <xdr:nvPicPr>
        <xdr:cNvPr id="28" name="Picture 27">
          <a:extLst>
            <a:ext uri="{FF2B5EF4-FFF2-40B4-BE49-F238E27FC236}">
              <a16:creationId xmlns:a16="http://schemas.microsoft.com/office/drawing/2014/main" id="{673A5855-42C7-D4F4-36FD-D5736382C9A4}"/>
            </a:ext>
          </a:extLst>
        </xdr:cNvPr>
        <xdr:cNvPicPr>
          <a:picLocks noChangeAspect="1"/>
        </xdr:cNvPicPr>
      </xdr:nvPicPr>
      <xdr:blipFill>
        <a:blip xmlns:r="http://schemas.openxmlformats.org/officeDocument/2006/relationships" r:embed="rId18"/>
        <a:stretch>
          <a:fillRect/>
        </a:stretch>
      </xdr:blipFill>
      <xdr:spPr>
        <a:xfrm>
          <a:off x="7098030" y="22919055"/>
          <a:ext cx="2798085" cy="878827"/>
        </a:xfrm>
        <a:prstGeom prst="rect">
          <a:avLst/>
        </a:prstGeom>
      </xdr:spPr>
    </xdr:pic>
    <xdr:clientData/>
  </xdr:twoCellAnchor>
  <xdr:twoCellAnchor editAs="oneCell">
    <xdr:from>
      <xdr:col>15</xdr:col>
      <xdr:colOff>86286</xdr:colOff>
      <xdr:row>100</xdr:row>
      <xdr:rowOff>142650</xdr:rowOff>
    </xdr:from>
    <xdr:to>
      <xdr:col>21</xdr:col>
      <xdr:colOff>527889</xdr:colOff>
      <xdr:row>121</xdr:row>
      <xdr:rowOff>323850</xdr:rowOff>
    </xdr:to>
    <xdr:pic>
      <xdr:nvPicPr>
        <xdr:cNvPr id="29" name="Picture 28">
          <a:extLst>
            <a:ext uri="{FF2B5EF4-FFF2-40B4-BE49-F238E27FC236}">
              <a16:creationId xmlns:a16="http://schemas.microsoft.com/office/drawing/2014/main" id="{F559918F-B19C-5F26-B851-52322835A1B7}"/>
            </a:ext>
          </a:extLst>
        </xdr:cNvPr>
        <xdr:cNvPicPr>
          <a:picLocks noChangeAspect="1"/>
        </xdr:cNvPicPr>
      </xdr:nvPicPr>
      <xdr:blipFill>
        <a:blip xmlns:r="http://schemas.openxmlformats.org/officeDocument/2006/relationships" r:embed="rId19"/>
        <a:stretch>
          <a:fillRect/>
        </a:stretch>
      </xdr:blipFill>
      <xdr:spPr>
        <a:xfrm>
          <a:off x="12435168" y="22756121"/>
          <a:ext cx="4486927" cy="1593141"/>
        </a:xfrm>
        <a:prstGeom prst="rect">
          <a:avLst/>
        </a:prstGeom>
      </xdr:spPr>
    </xdr:pic>
    <xdr:clientData/>
  </xdr:twoCellAnchor>
  <xdr:twoCellAnchor editAs="oneCell">
    <xdr:from>
      <xdr:col>11</xdr:col>
      <xdr:colOff>586740</xdr:colOff>
      <xdr:row>132</xdr:row>
      <xdr:rowOff>60961</xdr:rowOff>
    </xdr:from>
    <xdr:to>
      <xdr:col>15</xdr:col>
      <xdr:colOff>727260</xdr:colOff>
      <xdr:row>141</xdr:row>
      <xdr:rowOff>67838</xdr:rowOff>
    </xdr:to>
    <xdr:pic>
      <xdr:nvPicPr>
        <xdr:cNvPr id="30" name="Picture 29">
          <a:extLst>
            <a:ext uri="{FF2B5EF4-FFF2-40B4-BE49-F238E27FC236}">
              <a16:creationId xmlns:a16="http://schemas.microsoft.com/office/drawing/2014/main" id="{08D1241C-9857-88F4-0913-3A3D81FE0EE4}"/>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9829800" y="26388061"/>
          <a:ext cx="3600000" cy="1789957"/>
        </a:xfrm>
        <a:prstGeom prst="rect">
          <a:avLst/>
        </a:prstGeom>
      </xdr:spPr>
    </xdr:pic>
    <xdr:clientData/>
  </xdr:twoCellAnchor>
  <xdr:twoCellAnchor editAs="oneCell">
    <xdr:from>
      <xdr:col>13</xdr:col>
      <xdr:colOff>662780</xdr:colOff>
      <xdr:row>146</xdr:row>
      <xdr:rowOff>58462</xdr:rowOff>
    </xdr:from>
    <xdr:to>
      <xdr:col>18</xdr:col>
      <xdr:colOff>509544</xdr:colOff>
      <xdr:row>153</xdr:row>
      <xdr:rowOff>144741</xdr:rowOff>
    </xdr:to>
    <xdr:pic>
      <xdr:nvPicPr>
        <xdr:cNvPr id="31" name="Picture 30">
          <a:extLst>
            <a:ext uri="{FF2B5EF4-FFF2-40B4-BE49-F238E27FC236}">
              <a16:creationId xmlns:a16="http://schemas.microsoft.com/office/drawing/2014/main" id="{61D54CE8-6DA7-43E7-CE39-DB944B92CCE1}"/>
            </a:ext>
          </a:extLst>
        </xdr:cNvPr>
        <xdr:cNvPicPr>
          <a:picLocks noChangeAspect="1"/>
        </xdr:cNvPicPr>
      </xdr:nvPicPr>
      <xdr:blipFill>
        <a:blip xmlns:r="http://schemas.openxmlformats.org/officeDocument/2006/relationships" r:embed="rId21" cstate="hqprint">
          <a:extLst>
            <a:ext uri="{28A0092B-C50C-407E-A947-70E740481C1C}">
              <a14:useLocalDpi xmlns:a14="http://schemas.microsoft.com/office/drawing/2010/main"/>
            </a:ext>
          </a:extLst>
        </a:blip>
        <a:stretch>
          <a:fillRect/>
        </a:stretch>
      </xdr:blipFill>
      <xdr:spPr>
        <a:xfrm>
          <a:off x="11357994" y="29735641"/>
          <a:ext cx="3507086" cy="1515029"/>
        </a:xfrm>
        <a:prstGeom prst="rect">
          <a:avLst/>
        </a:prstGeom>
      </xdr:spPr>
    </xdr:pic>
    <xdr:clientData/>
  </xdr:twoCellAnchor>
  <xdr:twoCellAnchor editAs="oneCell">
    <xdr:from>
      <xdr:col>8</xdr:col>
      <xdr:colOff>304800</xdr:colOff>
      <xdr:row>65</xdr:row>
      <xdr:rowOff>114300</xdr:rowOff>
    </xdr:from>
    <xdr:to>
      <xdr:col>17</xdr:col>
      <xdr:colOff>201782</xdr:colOff>
      <xdr:row>84</xdr:row>
      <xdr:rowOff>37021</xdr:rowOff>
    </xdr:to>
    <xdr:pic>
      <xdr:nvPicPr>
        <xdr:cNvPr id="33" name="Picture 32"/>
        <xdr:cNvPicPr>
          <a:picLocks noChangeAspect="1"/>
        </xdr:cNvPicPr>
      </xdr:nvPicPr>
      <xdr:blipFill>
        <a:blip xmlns:r="http://schemas.openxmlformats.org/officeDocument/2006/relationships" r:embed="rId22"/>
        <a:stretch>
          <a:fillRect/>
        </a:stretch>
      </xdr:blipFill>
      <xdr:spPr>
        <a:xfrm>
          <a:off x="6619875" y="16144875"/>
          <a:ext cx="7326482" cy="4967610"/>
        </a:xfrm>
        <a:prstGeom prst="rect">
          <a:avLst/>
        </a:prstGeom>
      </xdr:spPr>
    </xdr:pic>
    <xdr:clientData/>
  </xdr:twoCellAnchor>
  <xdr:twoCellAnchor editAs="oneCell">
    <xdr:from>
      <xdr:col>14</xdr:col>
      <xdr:colOff>155281</xdr:colOff>
      <xdr:row>131</xdr:row>
      <xdr:rowOff>28814</xdr:rowOff>
    </xdr:from>
    <xdr:to>
      <xdr:col>26</xdr:col>
      <xdr:colOff>157264</xdr:colOff>
      <xdr:row>151</xdr:row>
      <xdr:rowOff>110071</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694138" y="26644385"/>
          <a:ext cx="7934947" cy="4163400"/>
        </a:xfrm>
        <a:prstGeom prst="rect">
          <a:avLst/>
        </a:prstGeom>
      </xdr:spPr>
    </xdr:pic>
    <xdr:clientData/>
  </xdr:twoCellAnchor>
  <xdr:twoCellAnchor editAs="oneCell">
    <xdr:from>
      <xdr:col>14</xdr:col>
      <xdr:colOff>246530</xdr:colOff>
      <xdr:row>144</xdr:row>
      <xdr:rowOff>22410</xdr:rowOff>
    </xdr:from>
    <xdr:to>
      <xdr:col>20</xdr:col>
      <xdr:colOff>429244</xdr:colOff>
      <xdr:row>161</xdr:row>
      <xdr:rowOff>13362</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1788589" y="29090469"/>
          <a:ext cx="4429743" cy="3419952"/>
        </a:xfrm>
        <a:prstGeom prst="rect">
          <a:avLst/>
        </a:prstGeom>
      </xdr:spPr>
    </xdr:pic>
    <xdr:clientData/>
  </xdr:twoCellAnchor>
  <xdr:twoCellAnchor editAs="oneCell">
    <xdr:from>
      <xdr:col>13</xdr:col>
      <xdr:colOff>444152</xdr:colOff>
      <xdr:row>149</xdr:row>
      <xdr:rowOff>97812</xdr:rowOff>
    </xdr:from>
    <xdr:to>
      <xdr:col>25</xdr:col>
      <xdr:colOff>425836</xdr:colOff>
      <xdr:row>171</xdr:row>
      <xdr:rowOff>9841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139366" y="30387312"/>
          <a:ext cx="8145970" cy="5191600"/>
        </a:xfrm>
        <a:prstGeom prst="rect">
          <a:avLst/>
        </a:prstGeom>
      </xdr:spPr>
    </xdr:pic>
    <xdr:clientData/>
  </xdr:twoCellAnchor>
  <xdr:twoCellAnchor editAs="oneCell">
    <xdr:from>
      <xdr:col>15</xdr:col>
      <xdr:colOff>399409</xdr:colOff>
      <xdr:row>137</xdr:row>
      <xdr:rowOff>94450</xdr:rowOff>
    </xdr:from>
    <xdr:to>
      <xdr:col>25</xdr:col>
      <xdr:colOff>488452</xdr:colOff>
      <xdr:row>154</xdr:row>
      <xdr:rowOff>171138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2754695" y="27934664"/>
          <a:ext cx="6593257" cy="3546510"/>
        </a:xfrm>
        <a:prstGeom prst="rect">
          <a:avLst/>
        </a:prstGeom>
      </xdr:spPr>
    </xdr:pic>
    <xdr:clientData/>
  </xdr:twoCellAnchor>
  <xdr:twoCellAnchor editAs="oneCell">
    <xdr:from>
      <xdr:col>11</xdr:col>
      <xdr:colOff>625928</xdr:colOff>
      <xdr:row>166</xdr:row>
      <xdr:rowOff>40821</xdr:rowOff>
    </xdr:from>
    <xdr:to>
      <xdr:col>27</xdr:col>
      <xdr:colOff>506357</xdr:colOff>
      <xdr:row>186</xdr:row>
      <xdr:rowOff>98657</xdr:rowOff>
    </xdr:to>
    <xdr:pic>
      <xdr:nvPicPr>
        <xdr:cNvPr id="39" name="Picture 38"/>
        <xdr:cNvPicPr>
          <a:picLocks noChangeAspect="1"/>
        </xdr:cNvPicPr>
      </xdr:nvPicPr>
      <xdr:blipFill>
        <a:blip xmlns:r="http://schemas.openxmlformats.org/officeDocument/2006/relationships" r:embed="rId27"/>
        <a:stretch>
          <a:fillRect/>
        </a:stretch>
      </xdr:blipFill>
      <xdr:spPr>
        <a:xfrm>
          <a:off x="9606642" y="33800142"/>
          <a:ext cx="10983858" cy="4915586"/>
        </a:xfrm>
        <a:prstGeom prst="rect">
          <a:avLst/>
        </a:prstGeom>
      </xdr:spPr>
    </xdr:pic>
    <xdr:clientData/>
  </xdr:twoCellAnchor>
  <xdr:twoCellAnchor editAs="oneCell">
    <xdr:from>
      <xdr:col>12</xdr:col>
      <xdr:colOff>462642</xdr:colOff>
      <xdr:row>149</xdr:row>
      <xdr:rowOff>16009</xdr:rowOff>
    </xdr:from>
    <xdr:to>
      <xdr:col>17</xdr:col>
      <xdr:colOff>124384</xdr:colOff>
      <xdr:row>156</xdr:row>
      <xdr:rowOff>100063</xdr:rowOff>
    </xdr:to>
    <xdr:pic>
      <xdr:nvPicPr>
        <xdr:cNvPr id="40" name="Picture 39">
          <a:extLst>
            <a:ext uri="{FF2B5EF4-FFF2-40B4-BE49-F238E27FC236}">
              <a16:creationId xmlns:a16="http://schemas.microsoft.com/office/drawing/2014/main" id="{7FB7DF6C-C25A-AEEE-C58C-F81F4EF49B48}"/>
            </a:ext>
          </a:extLst>
        </xdr:cNvPr>
        <xdr:cNvPicPr>
          <a:picLocks noChangeAspect="1"/>
        </xdr:cNvPicPr>
      </xdr:nvPicPr>
      <xdr:blipFill>
        <a:blip xmlns:r="http://schemas.openxmlformats.org/officeDocument/2006/relationships" r:embed="rId28"/>
        <a:stretch>
          <a:fillRect/>
        </a:stretch>
      </xdr:blipFill>
      <xdr:spPr>
        <a:xfrm>
          <a:off x="10368642" y="30305509"/>
          <a:ext cx="3498956" cy="1512804"/>
        </a:xfrm>
        <a:prstGeom prst="rect">
          <a:avLst/>
        </a:prstGeom>
      </xdr:spPr>
    </xdr:pic>
    <xdr:clientData/>
  </xdr:twoCellAnchor>
  <xdr:twoCellAnchor editAs="oneCell">
    <xdr:from>
      <xdr:col>8</xdr:col>
      <xdr:colOff>1011972</xdr:colOff>
      <xdr:row>24</xdr:row>
      <xdr:rowOff>56030</xdr:rowOff>
    </xdr:from>
    <xdr:to>
      <xdr:col>17</xdr:col>
      <xdr:colOff>533009</xdr:colOff>
      <xdr:row>50</xdr:row>
      <xdr:rowOff>15641</xdr:rowOff>
    </xdr:to>
    <xdr:pic>
      <xdr:nvPicPr>
        <xdr:cNvPr id="41" name="Picture 40"/>
        <xdr:cNvPicPr>
          <a:picLocks noChangeAspect="1"/>
        </xdr:cNvPicPr>
      </xdr:nvPicPr>
      <xdr:blipFill>
        <a:blip xmlns:r="http://schemas.openxmlformats.org/officeDocument/2006/relationships" r:embed="rId29"/>
        <a:stretch>
          <a:fillRect/>
        </a:stretch>
      </xdr:blipFill>
      <xdr:spPr>
        <a:xfrm>
          <a:off x="7320884" y="5894295"/>
          <a:ext cx="6950537" cy="5428081"/>
        </a:xfrm>
        <a:prstGeom prst="rect">
          <a:avLst/>
        </a:prstGeom>
      </xdr:spPr>
    </xdr:pic>
    <xdr:clientData/>
  </xdr:twoCellAnchor>
  <xdr:twoCellAnchor>
    <xdr:from>
      <xdr:col>0</xdr:col>
      <xdr:colOff>318782</xdr:colOff>
      <xdr:row>327</xdr:row>
      <xdr:rowOff>134568</xdr:rowOff>
    </xdr:from>
    <xdr:to>
      <xdr:col>7</xdr:col>
      <xdr:colOff>109321</xdr:colOff>
      <xdr:row>366</xdr:row>
      <xdr:rowOff>176893</xdr:rowOff>
    </xdr:to>
    <xdr:grpSp>
      <xdr:nvGrpSpPr>
        <xdr:cNvPr id="32" name="Group 31"/>
        <xdr:cNvGrpSpPr/>
      </xdr:nvGrpSpPr>
      <xdr:grpSpPr>
        <a:xfrm>
          <a:off x="318782" y="61688480"/>
          <a:ext cx="5371068" cy="7908854"/>
          <a:chOff x="404507" y="62264782"/>
          <a:chExt cx="5371647" cy="8002504"/>
        </a:xfrm>
      </xdr:grpSpPr>
      <xdr:grpSp>
        <xdr:nvGrpSpPr>
          <xdr:cNvPr id="12" name="Group 11">
            <a:extLst>
              <a:ext uri="{FF2B5EF4-FFF2-40B4-BE49-F238E27FC236}">
                <a16:creationId xmlns:a16="http://schemas.microsoft.com/office/drawing/2014/main" id="{020AD6F6-6BCE-3682-D0B1-3FDB30BE15A2}"/>
              </a:ext>
            </a:extLst>
          </xdr:cNvPr>
          <xdr:cNvGrpSpPr/>
        </xdr:nvGrpSpPr>
        <xdr:grpSpPr>
          <a:xfrm>
            <a:off x="404507" y="62264782"/>
            <a:ext cx="5371647" cy="4392275"/>
            <a:chOff x="729000" y="671331"/>
            <a:chExt cx="5400000" cy="4092453"/>
          </a:xfrm>
        </xdr:grpSpPr>
        <xdr:pic>
          <xdr:nvPicPr>
            <xdr:cNvPr id="13" name="Picture 12">
              <a:extLst>
                <a:ext uri="{FF2B5EF4-FFF2-40B4-BE49-F238E27FC236}">
                  <a16:creationId xmlns:a16="http://schemas.microsoft.com/office/drawing/2014/main" id="{680442F3-E658-6CA2-EEAD-11395764D2AB}"/>
                </a:ext>
              </a:extLst>
            </xdr:cNvPr>
            <xdr:cNvPicPr>
              <a:picLocks noChangeAspect="1"/>
            </xdr:cNvPicPr>
          </xdr:nvPicPr>
          <xdr:blipFill>
            <a:blip xmlns:r="http://schemas.openxmlformats.org/officeDocument/2006/relationships" r:embed="rId30" cstate="hqprint">
              <a:extLst>
                <a:ext uri="{28A0092B-C50C-407E-A947-70E740481C1C}">
                  <a14:useLocalDpi xmlns:a14="http://schemas.microsoft.com/office/drawing/2010/main"/>
                </a:ext>
              </a:extLst>
            </a:blip>
            <a:srcRect/>
            <a:stretch/>
          </xdr:blipFill>
          <xdr:spPr>
            <a:xfrm>
              <a:off x="729000" y="671331"/>
              <a:ext cx="5400000" cy="4092453"/>
            </a:xfrm>
            <a:prstGeom prst="rect">
              <a:avLst/>
            </a:prstGeom>
            <a:ln>
              <a:solidFill>
                <a:schemeClr val="tx1"/>
              </a:solidFill>
            </a:ln>
          </xdr:spPr>
        </xdr:pic>
        <xdr:sp macro="" textlink="">
          <xdr:nvSpPr>
            <xdr:cNvPr id="14" name="Rectangle 13">
              <a:extLst>
                <a:ext uri="{FF2B5EF4-FFF2-40B4-BE49-F238E27FC236}">
                  <a16:creationId xmlns:a16="http://schemas.microsoft.com/office/drawing/2014/main" id="{2392DF4B-EDED-E03E-BCB7-8965266C56C4}"/>
                </a:ext>
              </a:extLst>
            </xdr:cNvPr>
            <xdr:cNvSpPr/>
          </xdr:nvSpPr>
          <xdr:spPr>
            <a:xfrm>
              <a:off x="2407534" y="1817225"/>
              <a:ext cx="2025570" cy="1493134"/>
            </a:xfrm>
            <a:prstGeom prst="rect">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5" name="TextBox 20">
              <a:extLst>
                <a:ext uri="{FF2B5EF4-FFF2-40B4-BE49-F238E27FC236}">
                  <a16:creationId xmlns:a16="http://schemas.microsoft.com/office/drawing/2014/main" id="{FBDEFD51-E099-B001-49FA-8D5B07A3AFF9}"/>
                </a:ext>
              </a:extLst>
            </xdr:cNvPr>
            <xdr:cNvSpPr txBox="1"/>
          </xdr:nvSpPr>
          <xdr:spPr>
            <a:xfrm>
              <a:off x="2440490" y="3323639"/>
              <a:ext cx="2185601" cy="32719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FF00"/>
                  </a:solidFill>
                  <a:latin typeface="Times New Roman" panose="02020603050405020304" pitchFamily="18" charset="0"/>
                  <a:cs typeface="Times New Roman" panose="02020603050405020304" pitchFamily="18" charset="0"/>
                </a:rPr>
                <a:t>Sumit KMR Param</a:t>
              </a:r>
              <a:endParaRPr lang="en-IN" sz="1600" b="1">
                <a:solidFill>
                  <a:srgbClr val="FFFF00"/>
                </a:solidFill>
                <a:latin typeface="Times New Roman" panose="02020603050405020304" pitchFamily="18" charset="0"/>
                <a:cs typeface="Times New Roman" panose="02020603050405020304" pitchFamily="18" charset="0"/>
              </a:endParaRPr>
            </a:p>
          </xdr:txBody>
        </xdr:sp>
      </xdr:grpSp>
      <xdr:pic>
        <xdr:nvPicPr>
          <xdr:cNvPr id="26" name="Picture 25"/>
          <xdr:cNvPicPr>
            <a:picLocks noChangeAspect="1"/>
          </xdr:cNvPicPr>
        </xdr:nvPicPr>
        <xdr:blipFill rotWithShape="1">
          <a:blip xmlns:r="http://schemas.openxmlformats.org/officeDocument/2006/relationships" r:embed="rId31"/>
          <a:srcRect l="4130" t="5970" r="4130" b="9444"/>
          <a:stretch/>
        </xdr:blipFill>
        <xdr:spPr>
          <a:xfrm>
            <a:off x="693964" y="66770250"/>
            <a:ext cx="4608381" cy="3497036"/>
          </a:xfrm>
          <a:prstGeom prst="rect">
            <a:avLst/>
          </a:prstGeom>
          <a:ln>
            <a:solidFill>
              <a:sysClr val="windowText" lastClr="000000"/>
            </a:solidFill>
          </a:ln>
        </xdr:spPr>
      </xdr:pic>
    </xdr:grpSp>
    <xdr:clientData/>
  </xdr:twoCellAnchor>
  <xdr:twoCellAnchor editAs="oneCell">
    <xdr:from>
      <xdr:col>8</xdr:col>
      <xdr:colOff>731744</xdr:colOff>
      <xdr:row>24</xdr:row>
      <xdr:rowOff>153520</xdr:rowOff>
    </xdr:from>
    <xdr:to>
      <xdr:col>24</xdr:col>
      <xdr:colOff>185362</xdr:colOff>
      <xdr:row>40</xdr:row>
      <xdr:rowOff>178065</xdr:rowOff>
    </xdr:to>
    <xdr:pic>
      <xdr:nvPicPr>
        <xdr:cNvPr id="35" name="Picture 34"/>
        <xdr:cNvPicPr>
          <a:picLocks noChangeAspect="1"/>
        </xdr:cNvPicPr>
      </xdr:nvPicPr>
      <xdr:blipFill>
        <a:blip xmlns:r="http://schemas.openxmlformats.org/officeDocument/2006/relationships" r:embed="rId32"/>
        <a:stretch>
          <a:fillRect/>
        </a:stretch>
      </xdr:blipFill>
      <xdr:spPr>
        <a:xfrm>
          <a:off x="7040656" y="5991785"/>
          <a:ext cx="11354265" cy="32518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magicbricks.com/sumit-kmr-param-borivali-west-mumbai-pdpid-4d4235343234303535" TargetMode="External"/><Relationship Id="rId7" Type="http://schemas.openxmlformats.org/officeDocument/2006/relationships/vmlDrawing" Target="../drawings/vmlDrawing1.vml"/><Relationship Id="rId2" Type="http://schemas.openxmlformats.org/officeDocument/2006/relationships/hyperlink" Target="https://www.99acres.com/sumit-kmr-param-borivali-west-mumbai-andheri-dahisar-npxid-r430049?nn_source=Performance&amp;nn_account=Google_99acres-NPGoogle-Account&amp;nn_campaign=22819151926_181475938943_766405001925&amp;nn_medium=22819151926_181475938943_766405001925&amp;nn_adtype=g_&amp;nn_keyword=&amp;nn_placement=&amp;gad_source=1&amp;gad_campaignid=22819151926&amp;gbraid=0AAAAADLswZWg2VBWczw6FZ0lnTy9wvFtx&amp;gclid=Cj0KCQjwovPGBhDxARIsAFhgkwT3cicQmSJ99DWwcfpoCBaXnP4TrP3k44F33qUV9PA4ZhqS3fnQ-LgaAsujEALw_wcB" TargetMode="External"/><Relationship Id="rId1" Type="http://schemas.openxmlformats.org/officeDocument/2006/relationships/hyperlink" Target="https://maps.app.goo.gl/1oLWQZHM2nHMxGXx6"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dwello.in/view/sumit-param-by-sumit-group-at-borivali_b3568480-ca6a-4363-9448-904506262a66"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70"/>
  <sheetViews>
    <sheetView tabSelected="1" view="pageBreakPreview" topLeftCell="A87" zoomScale="85" zoomScaleNormal="100" zoomScaleSheetLayoutView="85" zoomScalePageLayoutView="85" workbookViewId="0">
      <selection activeCell="M127" sqref="M127"/>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88" t="s">
        <v>378</v>
      </c>
      <c r="B1" s="188"/>
      <c r="C1" s="188"/>
      <c r="D1" s="188"/>
      <c r="E1" s="188"/>
      <c r="F1" s="188"/>
      <c r="G1" s="188"/>
      <c r="H1" s="188"/>
    </row>
    <row r="2" spans="1:26" ht="16.5" customHeight="1" x14ac:dyDescent="0.25">
      <c r="A2" s="126" t="s">
        <v>0</v>
      </c>
      <c r="B2" s="126"/>
      <c r="C2" s="126"/>
      <c r="D2" s="126"/>
      <c r="E2" s="126"/>
      <c r="F2" s="126"/>
      <c r="G2" s="126"/>
      <c r="H2" s="126"/>
    </row>
    <row r="3" spans="1:26" x14ac:dyDescent="0.25">
      <c r="A3" s="132" t="s">
        <v>1</v>
      </c>
      <c r="B3" s="132"/>
      <c r="C3" s="132"/>
      <c r="D3" s="132"/>
      <c r="E3" s="132" t="str">
        <f ca="1">TEXT(TODAY(),"DD/MM/YYYY")</f>
        <v>03/10/2025</v>
      </c>
      <c r="F3" s="132"/>
      <c r="G3" s="132"/>
      <c r="H3" s="132"/>
      <c r="K3" s="55" t="s">
        <v>235</v>
      </c>
      <c r="L3" s="53" t="s">
        <v>233</v>
      </c>
      <c r="M3" s="53" t="s">
        <v>238</v>
      </c>
      <c r="N3" s="53" t="s">
        <v>389</v>
      </c>
      <c r="O3" s="53" t="s">
        <v>356</v>
      </c>
      <c r="P3" s="53" t="s">
        <v>442</v>
      </c>
    </row>
    <row r="4" spans="1:26" ht="15" customHeight="1" x14ac:dyDescent="0.25">
      <c r="A4" s="132" t="s">
        <v>232</v>
      </c>
      <c r="B4" s="132"/>
      <c r="C4" s="132"/>
      <c r="D4" s="132"/>
      <c r="E4" s="190" t="s">
        <v>442</v>
      </c>
      <c r="F4" s="190"/>
      <c r="G4" s="190"/>
      <c r="H4" s="190"/>
      <c r="K4" s="52" t="s">
        <v>234</v>
      </c>
      <c r="L4" s="53" t="s">
        <v>170</v>
      </c>
      <c r="M4" s="53" t="s">
        <v>243</v>
      </c>
      <c r="N4" s="53" t="s">
        <v>386</v>
      </c>
      <c r="O4" s="53" t="s">
        <v>340</v>
      </c>
      <c r="P4" s="53" t="s">
        <v>381</v>
      </c>
    </row>
    <row r="5" spans="1:26" ht="15" customHeight="1" x14ac:dyDescent="0.25">
      <c r="A5" s="132" t="s">
        <v>2</v>
      </c>
      <c r="B5" s="132"/>
      <c r="C5" s="132"/>
      <c r="D5" s="132"/>
      <c r="E5" s="190" t="s">
        <v>381</v>
      </c>
      <c r="F5" s="190"/>
      <c r="G5" s="190"/>
      <c r="H5" s="190"/>
      <c r="K5" s="52"/>
      <c r="L5" s="53" t="s">
        <v>240</v>
      </c>
      <c r="M5" s="53" t="s">
        <v>244</v>
      </c>
      <c r="N5" s="53" t="s">
        <v>246</v>
      </c>
      <c r="O5" s="53" t="s">
        <v>341</v>
      </c>
      <c r="P5" s="53"/>
    </row>
    <row r="6" spans="1:26" x14ac:dyDescent="0.25">
      <c r="A6" s="132" t="s">
        <v>3</v>
      </c>
      <c r="B6" s="132"/>
      <c r="C6" s="132"/>
      <c r="D6" s="132"/>
      <c r="E6" s="191">
        <v>45931</v>
      </c>
      <c r="F6" s="132"/>
      <c r="G6" s="132"/>
      <c r="H6" s="132"/>
      <c r="K6" s="52"/>
      <c r="L6" s="53" t="s">
        <v>241</v>
      </c>
      <c r="M6" s="53" t="s">
        <v>354</v>
      </c>
      <c r="N6" s="53"/>
      <c r="O6" s="53" t="s">
        <v>342</v>
      </c>
      <c r="P6" s="53"/>
    </row>
    <row r="7" spans="1:26" ht="16.5" customHeight="1" x14ac:dyDescent="0.25">
      <c r="A7" s="132" t="s">
        <v>4</v>
      </c>
      <c r="B7" s="132"/>
      <c r="C7" s="132"/>
      <c r="D7" s="132"/>
      <c r="E7" s="132" t="s">
        <v>447</v>
      </c>
      <c r="F7" s="132"/>
      <c r="G7" s="132"/>
      <c r="H7" s="132"/>
      <c r="K7" s="52"/>
      <c r="L7" s="53" t="s">
        <v>242</v>
      </c>
      <c r="M7" s="53"/>
      <c r="N7" s="53"/>
      <c r="O7" s="53" t="s">
        <v>342</v>
      </c>
      <c r="P7" s="53"/>
    </row>
    <row r="8" spans="1:26" ht="15" customHeight="1" x14ac:dyDescent="0.25">
      <c r="A8" s="132" t="s">
        <v>5</v>
      </c>
      <c r="B8" s="132"/>
      <c r="C8" s="132"/>
      <c r="D8" s="132"/>
      <c r="E8" s="132" t="str">
        <f>E7</f>
        <v>M/s. Sumit Woods Limited</v>
      </c>
      <c r="F8" s="132"/>
      <c r="G8" s="132"/>
      <c r="H8" s="132"/>
      <c r="K8" s="52"/>
      <c r="L8" s="53"/>
      <c r="M8" s="53"/>
      <c r="N8" s="53"/>
      <c r="O8" s="53" t="s">
        <v>343</v>
      </c>
      <c r="P8" s="53"/>
    </row>
    <row r="9" spans="1:26" x14ac:dyDescent="0.25">
      <c r="A9" s="132" t="s">
        <v>443</v>
      </c>
      <c r="B9" s="132"/>
      <c r="C9" s="132"/>
      <c r="D9" s="132"/>
      <c r="E9" s="189" t="s">
        <v>390</v>
      </c>
      <c r="F9" s="189"/>
      <c r="G9" s="189"/>
      <c r="H9" s="189"/>
      <c r="K9" s="52"/>
      <c r="L9" s="53"/>
      <c r="M9" s="53"/>
      <c r="N9" s="53"/>
      <c r="O9" s="53" t="s">
        <v>344</v>
      </c>
      <c r="P9" s="53"/>
    </row>
    <row r="10" spans="1:26" x14ac:dyDescent="0.25">
      <c r="A10" s="132" t="s">
        <v>444</v>
      </c>
      <c r="B10" s="132"/>
      <c r="C10" s="132"/>
      <c r="D10" s="132"/>
      <c r="E10" s="189" t="s">
        <v>391</v>
      </c>
      <c r="F10" s="189"/>
      <c r="G10" s="189"/>
      <c r="H10" s="189"/>
      <c r="K10" s="52"/>
      <c r="L10" s="53"/>
      <c r="M10" s="53"/>
      <c r="N10" s="53"/>
      <c r="O10" s="53" t="s">
        <v>344</v>
      </c>
      <c r="P10" s="53"/>
    </row>
    <row r="11" spans="1:26" x14ac:dyDescent="0.25">
      <c r="A11" s="132" t="s">
        <v>167</v>
      </c>
      <c r="B11" s="132"/>
      <c r="C11" s="132"/>
      <c r="D11" s="132"/>
      <c r="E11" s="132" t="s">
        <v>392</v>
      </c>
      <c r="F11" s="132"/>
      <c r="G11" s="132"/>
      <c r="H11" s="132"/>
      <c r="K11" s="52"/>
      <c r="L11" s="53"/>
      <c r="M11" s="53"/>
      <c r="N11" s="53"/>
      <c r="O11" s="53" t="s">
        <v>345</v>
      </c>
      <c r="P11" s="53"/>
    </row>
    <row r="12" spans="1:26" x14ac:dyDescent="0.25">
      <c r="A12" s="132" t="s">
        <v>168</v>
      </c>
      <c r="B12" s="132"/>
      <c r="C12" s="132"/>
      <c r="D12" s="132"/>
      <c r="E12" s="132" t="s">
        <v>436</v>
      </c>
      <c r="F12" s="132"/>
      <c r="G12" s="132"/>
      <c r="H12" s="132"/>
      <c r="O12" s="53" t="s">
        <v>346</v>
      </c>
    </row>
    <row r="13" spans="1:26" x14ac:dyDescent="0.25">
      <c r="A13" s="132" t="s">
        <v>6</v>
      </c>
      <c r="B13" s="132"/>
      <c r="C13" s="132"/>
      <c r="D13" s="132"/>
      <c r="E13" s="132" t="s">
        <v>446</v>
      </c>
      <c r="F13" s="132"/>
      <c r="G13" s="132"/>
      <c r="H13" s="132"/>
    </row>
    <row r="14" spans="1:26" x14ac:dyDescent="0.25">
      <c r="A14" s="190" t="s">
        <v>171</v>
      </c>
      <c r="B14" s="190"/>
      <c r="C14" s="190"/>
      <c r="D14" s="190"/>
      <c r="E14" s="132" t="s">
        <v>27</v>
      </c>
      <c r="F14" s="132"/>
      <c r="G14" s="132"/>
      <c r="H14" s="132"/>
      <c r="S14" s="53" t="s">
        <v>179</v>
      </c>
      <c r="T14" s="53" t="s">
        <v>188</v>
      </c>
      <c r="U14" s="53" t="s">
        <v>172</v>
      </c>
      <c r="V14" s="53" t="s">
        <v>193</v>
      </c>
      <c r="W14" s="53" t="s">
        <v>211</v>
      </c>
      <c r="X14"/>
      <c r="Y14" t="s">
        <v>193</v>
      </c>
      <c r="Z14" t="e">
        <f ca="1">OFFSET($S$14,1,MATCH($G21,$S$14:$W$14,0)-1,15,1)</f>
        <v>#VALUE!</v>
      </c>
    </row>
    <row r="15" spans="1:26" x14ac:dyDescent="0.25">
      <c r="A15" s="131" t="s">
        <v>278</v>
      </c>
      <c r="B15" s="131"/>
      <c r="C15" s="131"/>
      <c r="D15" s="131"/>
      <c r="E15" s="192" t="s">
        <v>434</v>
      </c>
      <c r="F15" s="192"/>
      <c r="G15" s="192"/>
      <c r="H15" s="192"/>
      <c r="S15" s="53" t="s">
        <v>179</v>
      </c>
      <c r="T15" s="53" t="s">
        <v>186</v>
      </c>
      <c r="U15" s="53" t="s">
        <v>208</v>
      </c>
      <c r="V15" s="53" t="s">
        <v>194</v>
      </c>
      <c r="W15" s="53" t="s">
        <v>212</v>
      </c>
      <c r="X15"/>
      <c r="Y15"/>
      <c r="Z15"/>
    </row>
    <row r="16" spans="1:26" x14ac:dyDescent="0.25">
      <c r="A16" s="131" t="s">
        <v>7</v>
      </c>
      <c r="B16" s="131"/>
      <c r="C16" s="131"/>
      <c r="D16" s="131"/>
      <c r="E16" s="193" t="s">
        <v>393</v>
      </c>
      <c r="F16" s="190"/>
      <c r="G16" s="190"/>
      <c r="H16" s="190"/>
      <c r="I16" s="133" t="e">
        <f ca="1">OFFSET($D$5,1,MATCH($J14,$D$5:$H$5,0)-1,15,1)</f>
        <v>#N/A</v>
      </c>
      <c r="J16" s="134"/>
      <c r="K16" s="134"/>
      <c r="L16" s="134"/>
      <c r="M16" s="134"/>
      <c r="N16" s="134"/>
      <c r="O16" s="134"/>
      <c r="P16" s="134"/>
      <c r="S16" s="53" t="s">
        <v>180</v>
      </c>
      <c r="T16" s="53" t="s">
        <v>187</v>
      </c>
      <c r="U16" s="53" t="s">
        <v>209</v>
      </c>
      <c r="V16" s="53" t="s">
        <v>195</v>
      </c>
      <c r="W16" s="53" t="s">
        <v>225</v>
      </c>
      <c r="X16"/>
      <c r="Y16"/>
      <c r="Z16"/>
    </row>
    <row r="17" spans="1:26" ht="48.75" customHeight="1" x14ac:dyDescent="0.25">
      <c r="A17" s="120" t="s">
        <v>8</v>
      </c>
      <c r="B17" s="120"/>
      <c r="C17" s="120" t="str">
        <f>CONCATENATE((IF(OR(E10="",E10="NA"),"",E10)),", ",(IF(OR(A18="",A18="NA"),"",A18)),".",(IF(OR(C18="",C18="NA"),"",C18)),", near ",(IF(OR(C23="",C23="NA"),"",C23)),", ",(IF(OR(C20="",C20="NA"),"",C20)),", ",(IF(OR(C19="",C19="NA"),"",C19)),", ",(IF(OR(G20="",G20="NA"),"",G20)),", ",(IF(OR(C21="",C21="NA"),"",C21)),", ",(IF(OR(C22="",C22="NA"),"",C22)),", ",(IF(OR(G21="",G21="NA"),"",G21))," - ",(IF(OR(G22="",G22="NA"),"",G22)),".")</f>
        <v>Sky World, CTS No.282, 283, 284 &amp; 293, near Sri Sri Ravishankar Vidya Mandir, Baburao Paranjape Marg, Ashok Nagar, Borivali, Borivali West, Borivali, Mumbai - 400092.</v>
      </c>
      <c r="D17" s="120"/>
      <c r="E17" s="120"/>
      <c r="F17" s="120"/>
      <c r="G17" s="120"/>
      <c r="H17" s="120"/>
      <c r="S17" s="53" t="s">
        <v>181</v>
      </c>
      <c r="T17" s="53" t="s">
        <v>189</v>
      </c>
      <c r="U17" s="53" t="s">
        <v>210</v>
      </c>
      <c r="V17" s="53" t="s">
        <v>196</v>
      </c>
      <c r="W17" s="53" t="s">
        <v>213</v>
      </c>
      <c r="X17"/>
      <c r="Y17"/>
      <c r="Z17"/>
    </row>
    <row r="18" spans="1:26" x14ac:dyDescent="0.25">
      <c r="A18" s="193" t="s">
        <v>174</v>
      </c>
      <c r="B18" s="193"/>
      <c r="C18" s="193" t="s">
        <v>394</v>
      </c>
      <c r="D18" s="193"/>
      <c r="E18" s="193"/>
      <c r="F18" s="193"/>
      <c r="G18" s="193"/>
      <c r="H18" s="193"/>
      <c r="S18" s="53" t="s">
        <v>182</v>
      </c>
      <c r="T18" s="53" t="s">
        <v>190</v>
      </c>
      <c r="U18" s="53" t="s">
        <v>172</v>
      </c>
      <c r="V18" s="53" t="s">
        <v>197</v>
      </c>
      <c r="W18" s="53" t="s">
        <v>214</v>
      </c>
      <c r="X18"/>
      <c r="Y18"/>
      <c r="Z18"/>
    </row>
    <row r="19" spans="1:26" ht="15.75" customHeight="1" x14ac:dyDescent="0.25">
      <c r="A19" s="192" t="s">
        <v>163</v>
      </c>
      <c r="B19" s="192"/>
      <c r="C19" s="192" t="s">
        <v>395</v>
      </c>
      <c r="D19" s="192"/>
      <c r="E19" s="192"/>
      <c r="F19" s="192"/>
      <c r="G19" s="192"/>
      <c r="H19" s="192"/>
      <c r="S19" s="53" t="s">
        <v>183</v>
      </c>
      <c r="T19" s="53" t="s">
        <v>188</v>
      </c>
      <c r="U19" s="53"/>
      <c r="V19" s="53" t="s">
        <v>198</v>
      </c>
      <c r="W19" s="53" t="s">
        <v>215</v>
      </c>
      <c r="X19"/>
      <c r="Y19"/>
      <c r="Z19"/>
    </row>
    <row r="20" spans="1:26" ht="15.75" customHeight="1" x14ac:dyDescent="0.25">
      <c r="A20" s="120" t="s">
        <v>9</v>
      </c>
      <c r="B20" s="120"/>
      <c r="C20" s="132" t="s">
        <v>435</v>
      </c>
      <c r="D20" s="132"/>
      <c r="E20" s="120" t="s">
        <v>67</v>
      </c>
      <c r="F20" s="120"/>
      <c r="G20" s="192" t="s">
        <v>209</v>
      </c>
      <c r="H20" s="192"/>
      <c r="S20" s="53" t="s">
        <v>184</v>
      </c>
      <c r="T20" s="53" t="s">
        <v>191</v>
      </c>
      <c r="U20" s="53"/>
      <c r="V20" s="53" t="s">
        <v>199</v>
      </c>
      <c r="W20" s="53" t="s">
        <v>216</v>
      </c>
      <c r="X20"/>
      <c r="Y20"/>
      <c r="Z20"/>
    </row>
    <row r="21" spans="1:26" x14ac:dyDescent="0.25">
      <c r="A21" s="131" t="s">
        <v>11</v>
      </c>
      <c r="B21" s="131"/>
      <c r="C21" s="192" t="s">
        <v>396</v>
      </c>
      <c r="D21" s="192"/>
      <c r="E21" s="120" t="s">
        <v>10</v>
      </c>
      <c r="F21" s="120"/>
      <c r="G21" s="194" t="s">
        <v>172</v>
      </c>
      <c r="H21" s="194"/>
      <c r="S21" s="53" t="s">
        <v>185</v>
      </c>
      <c r="T21" s="53" t="s">
        <v>192</v>
      </c>
      <c r="U21" s="53"/>
      <c r="V21" s="53" t="s">
        <v>200</v>
      </c>
      <c r="W21" s="53" t="s">
        <v>217</v>
      </c>
      <c r="X21"/>
      <c r="Y21"/>
      <c r="Z21"/>
    </row>
    <row r="22" spans="1:26" x14ac:dyDescent="0.25">
      <c r="A22" s="131" t="s">
        <v>68</v>
      </c>
      <c r="B22" s="131"/>
      <c r="C22" s="193" t="s">
        <v>209</v>
      </c>
      <c r="D22" s="193"/>
      <c r="E22" s="120" t="s">
        <v>12</v>
      </c>
      <c r="F22" s="120"/>
      <c r="G22" s="192">
        <v>400092</v>
      </c>
      <c r="H22" s="192"/>
      <c r="S22" s="53"/>
      <c r="T22" s="53"/>
      <c r="U22" s="53"/>
      <c r="V22" s="53" t="s">
        <v>201</v>
      </c>
      <c r="W22" s="53" t="s">
        <v>218</v>
      </c>
      <c r="X22"/>
      <c r="Y22"/>
      <c r="Z22"/>
    </row>
    <row r="23" spans="1:26" ht="32.25" customHeight="1" x14ac:dyDescent="0.25">
      <c r="A23" s="131" t="s">
        <v>119</v>
      </c>
      <c r="B23" s="131"/>
      <c r="C23" s="192" t="s">
        <v>401</v>
      </c>
      <c r="D23" s="192"/>
      <c r="E23" s="120" t="s">
        <v>13</v>
      </c>
      <c r="F23" s="120"/>
      <c r="G23" s="192" t="s">
        <v>458</v>
      </c>
      <c r="H23" s="192"/>
      <c r="S23" s="53"/>
      <c r="T23" s="53"/>
      <c r="U23" s="53"/>
      <c r="V23" s="53" t="s">
        <v>202</v>
      </c>
      <c r="W23" s="53" t="s">
        <v>219</v>
      </c>
      <c r="X23"/>
      <c r="Y23"/>
      <c r="Z23"/>
    </row>
    <row r="24" spans="1:26" ht="15" customHeight="1" x14ac:dyDescent="0.25">
      <c r="A24" s="120" t="s">
        <v>70</v>
      </c>
      <c r="B24" s="120"/>
      <c r="C24" s="120"/>
      <c r="D24" s="120"/>
      <c r="E24" s="132" t="s">
        <v>14</v>
      </c>
      <c r="F24" s="132"/>
      <c r="G24" s="132"/>
      <c r="H24" s="132"/>
      <c r="S24" s="53"/>
      <c r="T24" s="53"/>
      <c r="U24" s="53"/>
      <c r="V24" s="53" t="s">
        <v>203</v>
      </c>
      <c r="W24" s="53" t="s">
        <v>220</v>
      </c>
      <c r="X24"/>
      <c r="Y24"/>
      <c r="Z24"/>
    </row>
    <row r="25" spans="1:26" ht="18.75" customHeight="1" x14ac:dyDescent="0.25">
      <c r="A25" s="120"/>
      <c r="B25" s="120"/>
      <c r="C25" s="120"/>
      <c r="D25" s="120"/>
      <c r="E25" s="132"/>
      <c r="F25" s="132"/>
      <c r="G25" s="132"/>
      <c r="H25" s="132"/>
      <c r="S25" s="53"/>
      <c r="T25" s="53"/>
      <c r="U25" s="53"/>
      <c r="V25" s="53" t="s">
        <v>204</v>
      </c>
      <c r="W25" s="53" t="s">
        <v>221</v>
      </c>
      <c r="X25"/>
      <c r="Y25"/>
      <c r="Z25"/>
    </row>
    <row r="26" spans="1:26" ht="15" customHeight="1" x14ac:dyDescent="0.25">
      <c r="A26" s="120" t="s">
        <v>15</v>
      </c>
      <c r="B26" s="120"/>
      <c r="C26" s="120"/>
      <c r="D26" s="120"/>
      <c r="E26" s="192" t="s">
        <v>16</v>
      </c>
      <c r="F26" s="192"/>
      <c r="G26" s="192"/>
      <c r="H26" s="192"/>
      <c r="S26" s="53"/>
      <c r="T26" s="53"/>
      <c r="U26" s="53"/>
      <c r="V26" s="53" t="s">
        <v>205</v>
      </c>
      <c r="W26" s="53" t="s">
        <v>222</v>
      </c>
      <c r="X26"/>
      <c r="Y26"/>
      <c r="Z26"/>
    </row>
    <row r="27" spans="1:26" ht="15" customHeight="1" x14ac:dyDescent="0.25">
      <c r="A27" s="131" t="s">
        <v>17</v>
      </c>
      <c r="B27" s="131"/>
      <c r="C27" s="131"/>
      <c r="D27" s="131"/>
      <c r="E27" s="192" t="str">
        <f>IF(AND(G21="Mumbai"),"Upper Class","Middle Class")</f>
        <v>Upper Class</v>
      </c>
      <c r="F27" s="192"/>
      <c r="G27" s="192"/>
      <c r="H27" s="192"/>
      <c r="S27" s="53"/>
      <c r="T27" s="53"/>
      <c r="U27" s="53"/>
      <c r="V27" s="53" t="s">
        <v>206</v>
      </c>
      <c r="W27" s="53" t="s">
        <v>223</v>
      </c>
      <c r="X27"/>
      <c r="Y27"/>
      <c r="Z27"/>
    </row>
    <row r="28" spans="1:26" x14ac:dyDescent="0.25">
      <c r="A28" s="131" t="s">
        <v>18</v>
      </c>
      <c r="B28" s="131"/>
      <c r="C28" s="131"/>
      <c r="D28" s="131"/>
      <c r="E28" s="192" t="s">
        <v>19</v>
      </c>
      <c r="F28" s="192"/>
      <c r="G28" s="192"/>
      <c r="H28" s="192"/>
      <c r="S28" s="53"/>
      <c r="T28" s="53"/>
      <c r="U28" s="53"/>
      <c r="V28" s="53" t="s">
        <v>207</v>
      </c>
      <c r="W28" s="53" t="s">
        <v>224</v>
      </c>
      <c r="X28"/>
      <c r="Y28"/>
      <c r="Z28"/>
    </row>
    <row r="29" spans="1:26" ht="15.75" customHeight="1" x14ac:dyDescent="0.25">
      <c r="A29" s="131" t="s">
        <v>20</v>
      </c>
      <c r="B29" s="131"/>
      <c r="C29" s="131"/>
      <c r="D29" s="131"/>
      <c r="E29" s="192" t="str">
        <f>IF(AND(G21="Mumbai"),"Developed","Developing")</f>
        <v>Developed</v>
      </c>
      <c r="F29" s="192"/>
      <c r="G29" s="192"/>
      <c r="H29" s="192"/>
    </row>
    <row r="30" spans="1:26" x14ac:dyDescent="0.25">
      <c r="A30" s="131" t="s">
        <v>21</v>
      </c>
      <c r="B30" s="131"/>
      <c r="C30" s="131"/>
      <c r="D30" s="131"/>
      <c r="E30" s="192" t="s">
        <v>22</v>
      </c>
      <c r="F30" s="192"/>
      <c r="G30" s="192"/>
      <c r="H30" s="192"/>
    </row>
    <row r="31" spans="1:26" ht="15.75" customHeight="1" x14ac:dyDescent="0.25">
      <c r="A31" s="131" t="s">
        <v>75</v>
      </c>
      <c r="B31" s="131"/>
      <c r="C31" s="131"/>
      <c r="D31" s="131"/>
      <c r="E31" s="192" t="s">
        <v>76</v>
      </c>
      <c r="F31" s="192"/>
      <c r="G31" s="192"/>
      <c r="H31" s="192"/>
    </row>
    <row r="32" spans="1:26" ht="15" customHeight="1" x14ac:dyDescent="0.25">
      <c r="A32" s="131" t="s">
        <v>29</v>
      </c>
      <c r="B32" s="131"/>
      <c r="C32" s="131"/>
      <c r="D32" s="131"/>
      <c r="E32" s="192" t="str">
        <f>IF(AND(ISNUMBER(SEARCH("Flat",D66)),ISNUMBER(SEARCH("Shop",D66)),ISNUMBER(SEARCH("Office",D66))),"Residential + Commercial",IF(AND(ISNUMBER(SEARCH("Flat",D66)),ISNUMBER(SEARCH("Shop",D66))),"Residential + Commercial",IF(AND(ISNUMBER(SEARCH("Flat",D66)),ISNUMBER(SEARCH("Office",D66))),"Residential + Commercial",IF(AND(ISNUMBER(SEARCH("Shop",D66)),ISNUMBER(SEARCH("Office",D66))),"Commercial",IF(ISNUMBER(SEARCH("Shop",D66)),"Commercial",IF(ISNUMBER(SEARCH("Office",D66)),"Commercial",IF(ISNUMBER(SEARCH("Flat",D66)),"Residential")))))))</f>
        <v>Residential</v>
      </c>
      <c r="F32" s="192"/>
      <c r="G32" s="192"/>
      <c r="H32" s="192"/>
    </row>
    <row r="33" spans="1:19" ht="15.75" customHeight="1" x14ac:dyDescent="0.25">
      <c r="A33" s="131" t="s">
        <v>87</v>
      </c>
      <c r="B33" s="131"/>
      <c r="C33" s="131"/>
      <c r="D33" s="131"/>
      <c r="E33" s="192" t="s">
        <v>30</v>
      </c>
      <c r="F33" s="192"/>
      <c r="G33" s="192"/>
      <c r="H33" s="192"/>
    </row>
    <row r="34" spans="1:19" s="22" customFormat="1" x14ac:dyDescent="0.25">
      <c r="A34" s="212" t="s">
        <v>88</v>
      </c>
      <c r="B34" s="212"/>
      <c r="C34" s="209" t="s">
        <v>173</v>
      </c>
      <c r="D34" s="210"/>
      <c r="E34" s="211"/>
      <c r="F34" s="209" t="s">
        <v>28</v>
      </c>
      <c r="G34" s="210"/>
      <c r="H34" s="211"/>
      <c r="S34" s="22" t="e">
        <f ca="1">OFFSET($S$14,1,MATCH($G21,$S$14:$W$14,0)-1,15,1)</f>
        <v>#VALUE!</v>
      </c>
    </row>
    <row r="35" spans="1:19" s="22" customFormat="1" x14ac:dyDescent="0.25">
      <c r="A35" s="205" t="s">
        <v>23</v>
      </c>
      <c r="B35" s="205" t="s">
        <v>27</v>
      </c>
      <c r="C35" s="206" t="s">
        <v>397</v>
      </c>
      <c r="D35" s="207"/>
      <c r="E35" s="208"/>
      <c r="F35" s="206" t="s">
        <v>400</v>
      </c>
      <c r="G35" s="207"/>
      <c r="H35" s="208"/>
    </row>
    <row r="36" spans="1:19" x14ac:dyDescent="0.25">
      <c r="A36" s="205" t="s">
        <v>24</v>
      </c>
      <c r="B36" s="205" t="s">
        <v>27</v>
      </c>
      <c r="C36" s="206" t="s">
        <v>398</v>
      </c>
      <c r="D36" s="207"/>
      <c r="E36" s="208"/>
      <c r="F36" s="206" t="s">
        <v>401</v>
      </c>
      <c r="G36" s="207"/>
      <c r="H36" s="208"/>
    </row>
    <row r="37" spans="1:19" s="22" customFormat="1" x14ac:dyDescent="0.25">
      <c r="A37" s="205" t="s">
        <v>26</v>
      </c>
      <c r="B37" s="205" t="s">
        <v>27</v>
      </c>
      <c r="C37" s="206" t="s">
        <v>399</v>
      </c>
      <c r="D37" s="207"/>
      <c r="E37" s="208"/>
      <c r="F37" s="206" t="s">
        <v>400</v>
      </c>
      <c r="G37" s="207"/>
      <c r="H37" s="208"/>
    </row>
    <row r="38" spans="1:19" x14ac:dyDescent="0.25">
      <c r="A38" s="205" t="s">
        <v>25</v>
      </c>
      <c r="B38" s="205" t="s">
        <v>27</v>
      </c>
      <c r="C38" s="206" t="s">
        <v>400</v>
      </c>
      <c r="D38" s="207"/>
      <c r="E38" s="208"/>
      <c r="F38" s="206" t="s">
        <v>402</v>
      </c>
      <c r="G38" s="207"/>
      <c r="H38" s="208"/>
    </row>
    <row r="39" spans="1:19" x14ac:dyDescent="0.25">
      <c r="A39" s="131" t="s">
        <v>279</v>
      </c>
      <c r="B39" s="131"/>
      <c r="C39" s="131"/>
      <c r="D39" s="131"/>
      <c r="E39" s="131"/>
      <c r="F39" s="131"/>
      <c r="G39" s="131"/>
      <c r="H39" s="131"/>
    </row>
    <row r="40" spans="1:19" ht="15.75" customHeight="1" x14ac:dyDescent="0.25">
      <c r="A40" s="131" t="s">
        <v>165</v>
      </c>
      <c r="B40" s="131"/>
      <c r="C40" s="184" t="s">
        <v>403</v>
      </c>
      <c r="D40" s="184"/>
      <c r="E40" s="184"/>
      <c r="F40" s="184"/>
      <c r="G40" s="184"/>
      <c r="H40" s="184"/>
    </row>
    <row r="41" spans="1:19" x14ac:dyDescent="0.25">
      <c r="A41" s="131" t="s">
        <v>162</v>
      </c>
      <c r="B41" s="131"/>
      <c r="C41" s="264" t="s">
        <v>404</v>
      </c>
      <c r="D41" s="192"/>
      <c r="E41" s="192"/>
      <c r="F41" s="192"/>
      <c r="G41" s="192"/>
      <c r="H41" s="192"/>
    </row>
    <row r="42" spans="1:19" x14ac:dyDescent="0.25">
      <c r="A42" s="184" t="s">
        <v>31</v>
      </c>
      <c r="B42" s="184"/>
      <c r="C42" s="184"/>
      <c r="D42" s="184"/>
      <c r="E42" s="184"/>
      <c r="F42" s="184"/>
      <c r="G42" s="184"/>
      <c r="H42" s="184"/>
    </row>
    <row r="43" spans="1:19" x14ac:dyDescent="0.25">
      <c r="A43" s="131" t="s">
        <v>32</v>
      </c>
      <c r="B43" s="131"/>
      <c r="C43" s="131"/>
      <c r="D43" s="131"/>
      <c r="E43" s="223">
        <v>2580.8000000000002</v>
      </c>
      <c r="F43" s="223"/>
      <c r="G43" s="223"/>
      <c r="H43" s="223"/>
    </row>
    <row r="44" spans="1:19" x14ac:dyDescent="0.25">
      <c r="A44" s="131" t="s">
        <v>33</v>
      </c>
      <c r="B44" s="131"/>
      <c r="C44" s="131"/>
      <c r="D44" s="131"/>
      <c r="E44" s="204">
        <v>1</v>
      </c>
      <c r="F44" s="204"/>
      <c r="G44" s="204"/>
      <c r="H44" s="204"/>
    </row>
    <row r="45" spans="1:19" x14ac:dyDescent="0.25">
      <c r="A45" s="131" t="s">
        <v>34</v>
      </c>
      <c r="B45" s="131"/>
      <c r="C45" s="131"/>
      <c r="D45" s="131"/>
      <c r="E45" s="204">
        <f>E47/E43-E44</f>
        <v>6.0761701797892123</v>
      </c>
      <c r="F45" s="204"/>
      <c r="G45" s="204"/>
      <c r="H45" s="204"/>
    </row>
    <row r="46" spans="1:19" x14ac:dyDescent="0.25">
      <c r="A46" s="131" t="s">
        <v>35</v>
      </c>
      <c r="B46" s="131"/>
      <c r="C46" s="131"/>
      <c r="D46" s="131"/>
      <c r="E46" s="204">
        <f>E44+E45</f>
        <v>7.0761701797892123</v>
      </c>
      <c r="F46" s="204"/>
      <c r="G46" s="204"/>
      <c r="H46" s="204"/>
    </row>
    <row r="47" spans="1:19" x14ac:dyDescent="0.25">
      <c r="A47" s="131" t="s">
        <v>86</v>
      </c>
      <c r="B47" s="131"/>
      <c r="C47" s="131"/>
      <c r="D47" s="131"/>
      <c r="E47" s="225">
        <v>18262.18</v>
      </c>
      <c r="F47" s="225"/>
      <c r="G47" s="225"/>
      <c r="H47" s="225"/>
    </row>
    <row r="48" spans="1:19" x14ac:dyDescent="0.25">
      <c r="A48" s="132" t="s">
        <v>36</v>
      </c>
      <c r="B48" s="132"/>
      <c r="C48" s="132"/>
      <c r="D48" s="132"/>
      <c r="E48" s="190" t="s">
        <v>117</v>
      </c>
      <c r="F48" s="190"/>
      <c r="G48" s="190"/>
      <c r="H48" s="190"/>
    </row>
    <row r="49" spans="1:24" x14ac:dyDescent="0.25">
      <c r="A49" s="184" t="s">
        <v>37</v>
      </c>
      <c r="B49" s="184"/>
      <c r="C49" s="184"/>
      <c r="D49" s="184"/>
      <c r="E49" s="184"/>
      <c r="F49" s="184"/>
      <c r="G49" s="184"/>
      <c r="H49" s="184"/>
    </row>
    <row r="50" spans="1:24" ht="33.75" customHeight="1" x14ac:dyDescent="0.25">
      <c r="A50" s="112" t="s">
        <v>151</v>
      </c>
      <c r="B50" s="113"/>
      <c r="C50" s="230" t="s">
        <v>254</v>
      </c>
      <c r="D50" s="231"/>
      <c r="E50" s="231"/>
      <c r="F50" s="231"/>
      <c r="G50" s="231"/>
      <c r="H50" s="232"/>
      <c r="R50" t="s">
        <v>252</v>
      </c>
      <c r="S50" s="56" t="s">
        <v>172</v>
      </c>
      <c r="T50" s="56" t="s">
        <v>179</v>
      </c>
      <c r="U50" s="56" t="s">
        <v>193</v>
      </c>
      <c r="V50" s="56" t="s">
        <v>188</v>
      </c>
    </row>
    <row r="51" spans="1:24" ht="31.9" customHeight="1" x14ac:dyDescent="0.25">
      <c r="A51" s="112" t="s">
        <v>38</v>
      </c>
      <c r="B51" s="113"/>
      <c r="C51" s="112" t="s">
        <v>405</v>
      </c>
      <c r="D51" s="197"/>
      <c r="E51" s="113"/>
      <c r="F51" s="18" t="s">
        <v>39</v>
      </c>
      <c r="G51" s="236">
        <v>45702</v>
      </c>
      <c r="H51" s="237"/>
      <c r="R51"/>
      <c r="S51" s="56" t="s">
        <v>253</v>
      </c>
      <c r="T51" s="56" t="s">
        <v>258</v>
      </c>
      <c r="U51" s="56" t="s">
        <v>269</v>
      </c>
      <c r="V51" s="56" t="s">
        <v>274</v>
      </c>
    </row>
    <row r="52" spans="1:24" ht="31.9" customHeight="1" x14ac:dyDescent="0.25">
      <c r="A52" s="112" t="s">
        <v>40</v>
      </c>
      <c r="B52" s="113"/>
      <c r="C52" s="112" t="str">
        <f>C51</f>
        <v>P-12775/2022/(282 And Other)/R/C Ward/BORIVALI-R/C/337/2/Amend</v>
      </c>
      <c r="D52" s="197"/>
      <c r="E52" s="113"/>
      <c r="F52" s="18" t="s">
        <v>39</v>
      </c>
      <c r="G52" s="236">
        <f>G51</f>
        <v>45702</v>
      </c>
      <c r="H52" s="237"/>
      <c r="R52"/>
      <c r="S52" s="56" t="s">
        <v>254</v>
      </c>
      <c r="T52" s="56" t="s">
        <v>357</v>
      </c>
      <c r="U52" s="56" t="s">
        <v>267</v>
      </c>
      <c r="V52" s="56" t="s">
        <v>275</v>
      </c>
    </row>
    <row r="53" spans="1:24" s="23" customFormat="1" ht="15.75" customHeight="1" x14ac:dyDescent="0.25">
      <c r="A53" s="198" t="s">
        <v>155</v>
      </c>
      <c r="B53" s="200"/>
      <c r="C53" s="198" t="s">
        <v>406</v>
      </c>
      <c r="D53" s="199"/>
      <c r="E53" s="200"/>
      <c r="F53" s="18" t="s">
        <v>39</v>
      </c>
      <c r="G53" s="236">
        <v>45734</v>
      </c>
      <c r="H53" s="237"/>
      <c r="I53" s="22" t="str">
        <f ca="1">IF(G53&gt;EDATE(E3,-48),"NO REMARK","CC REMARK FOR CC")</f>
        <v>NO REMARK</v>
      </c>
      <c r="J53" s="78"/>
      <c r="R53"/>
      <c r="S53" s="56" t="s">
        <v>255</v>
      </c>
      <c r="T53" s="56" t="s">
        <v>260</v>
      </c>
      <c r="U53" s="56" t="s">
        <v>257</v>
      </c>
      <c r="V53" s="56" t="s">
        <v>276</v>
      </c>
    </row>
    <row r="54" spans="1:24" s="23" customFormat="1" ht="33.75" customHeight="1" x14ac:dyDescent="0.25">
      <c r="A54" s="241"/>
      <c r="B54" s="242"/>
      <c r="C54" s="201"/>
      <c r="D54" s="202"/>
      <c r="E54" s="203"/>
      <c r="F54" s="18" t="s">
        <v>118</v>
      </c>
      <c r="G54" s="236">
        <v>46085</v>
      </c>
      <c r="H54" s="113"/>
      <c r="R54"/>
      <c r="S54" s="56" t="s">
        <v>256</v>
      </c>
      <c r="T54" s="56" t="s">
        <v>263</v>
      </c>
      <c r="U54" s="56" t="s">
        <v>270</v>
      </c>
      <c r="V54" s="74" t="s">
        <v>349</v>
      </c>
    </row>
    <row r="55" spans="1:24" s="23" customFormat="1" ht="64.900000000000006" customHeight="1" x14ac:dyDescent="0.25">
      <c r="A55" s="201"/>
      <c r="B55" s="203"/>
      <c r="C55" s="112" t="s">
        <v>407</v>
      </c>
      <c r="D55" s="197"/>
      <c r="E55" s="197"/>
      <c r="F55" s="197"/>
      <c r="G55" s="197"/>
      <c r="H55" s="113"/>
      <c r="R55"/>
      <c r="S55" s="56"/>
      <c r="T55" s="56"/>
      <c r="U55" s="56"/>
      <c r="V55" s="74"/>
    </row>
    <row r="56" spans="1:24" s="23" customFormat="1" ht="32.450000000000003" customHeight="1" x14ac:dyDescent="0.25">
      <c r="A56" s="145" t="s">
        <v>280</v>
      </c>
      <c r="B56" s="146"/>
      <c r="C56" s="112" t="s">
        <v>408</v>
      </c>
      <c r="D56" s="197"/>
      <c r="E56" s="113"/>
      <c r="F56" s="18" t="s">
        <v>39</v>
      </c>
      <c r="G56" s="236">
        <v>45108</v>
      </c>
      <c r="H56" s="237"/>
      <c r="K56" s="79">
        <f>EDATE(G53,-48)</f>
        <v>44273</v>
      </c>
      <c r="L56" s="23" t="str">
        <f ca="1">IF(G53&gt;EDATE(E3,-48),"NO REMARK","CC REMARK FOR CC")</f>
        <v>NO REMARK</v>
      </c>
      <c r="R56"/>
      <c r="S56" s="56" t="s">
        <v>255</v>
      </c>
      <c r="T56" s="56" t="s">
        <v>260</v>
      </c>
      <c r="U56" s="56" t="s">
        <v>257</v>
      </c>
      <c r="V56" s="56" t="s">
        <v>276</v>
      </c>
    </row>
    <row r="57" spans="1:24" s="23" customFormat="1" ht="37.5" customHeight="1" x14ac:dyDescent="0.25">
      <c r="A57" s="147"/>
      <c r="B57" s="148"/>
      <c r="C57" s="238" t="s">
        <v>445</v>
      </c>
      <c r="D57" s="239"/>
      <c r="E57" s="239"/>
      <c r="F57" s="239"/>
      <c r="G57" s="239"/>
      <c r="H57" s="240"/>
      <c r="R57"/>
      <c r="S57" s="56" t="s">
        <v>257</v>
      </c>
      <c r="T57" s="56" t="s">
        <v>261</v>
      </c>
      <c r="U57" s="56" t="s">
        <v>271</v>
      </c>
      <c r="V57" s="75"/>
      <c r="W57" s="21"/>
      <c r="X57" s="21"/>
    </row>
    <row r="58" spans="1:24" s="23" customFormat="1" ht="34.5" hidden="1" customHeight="1" x14ac:dyDescent="0.25">
      <c r="A58" s="243" t="s">
        <v>281</v>
      </c>
      <c r="B58" s="244"/>
      <c r="C58" s="112"/>
      <c r="D58" s="197"/>
      <c r="E58" s="113"/>
      <c r="F58" s="18" t="s">
        <v>39</v>
      </c>
      <c r="G58" s="236">
        <f>G57</f>
        <v>0</v>
      </c>
      <c r="H58" s="237"/>
      <c r="R58"/>
      <c r="S58" s="75"/>
      <c r="T58" s="56" t="s">
        <v>262</v>
      </c>
      <c r="U58" s="56" t="s">
        <v>272</v>
      </c>
      <c r="V58" s="75"/>
      <c r="W58" s="21"/>
      <c r="X58" s="21"/>
    </row>
    <row r="59" spans="1:24" s="23" customFormat="1" ht="41.25" hidden="1" customHeight="1" x14ac:dyDescent="0.25">
      <c r="A59" s="245"/>
      <c r="B59" s="246"/>
      <c r="C59" s="112"/>
      <c r="D59" s="197"/>
      <c r="E59" s="197"/>
      <c r="F59" s="197"/>
      <c r="G59" s="197"/>
      <c r="H59" s="113"/>
      <c r="R59"/>
      <c r="S59" s="75"/>
      <c r="T59" s="56" t="s">
        <v>264</v>
      </c>
      <c r="U59" s="56" t="s">
        <v>273</v>
      </c>
      <c r="V59" s="75"/>
      <c r="W59" s="21"/>
      <c r="X59" s="21"/>
    </row>
    <row r="60" spans="1:24" s="23" customFormat="1" ht="15.75" customHeight="1" x14ac:dyDescent="0.25">
      <c r="A60" s="145" t="s">
        <v>352</v>
      </c>
      <c r="B60" s="146"/>
      <c r="C60" s="198" t="s">
        <v>409</v>
      </c>
      <c r="D60" s="199"/>
      <c r="E60" s="200"/>
      <c r="F60" s="18" t="s">
        <v>39</v>
      </c>
      <c r="G60" s="236">
        <v>44894</v>
      </c>
      <c r="H60" s="237"/>
      <c r="R60"/>
      <c r="S60" s="75"/>
      <c r="T60" s="56" t="s">
        <v>265</v>
      </c>
      <c r="U60" s="75" t="s">
        <v>295</v>
      </c>
      <c r="V60" s="75"/>
      <c r="W60" s="21"/>
      <c r="X60" s="21"/>
    </row>
    <row r="61" spans="1:24" s="23" customFormat="1" ht="33.75" customHeight="1" x14ac:dyDescent="0.25">
      <c r="A61" s="195"/>
      <c r="B61" s="196"/>
      <c r="C61" s="201"/>
      <c r="D61" s="202"/>
      <c r="E61" s="203"/>
      <c r="F61" s="18" t="s">
        <v>353</v>
      </c>
      <c r="G61" s="236">
        <v>47815</v>
      </c>
      <c r="H61" s="237"/>
      <c r="R61"/>
      <c r="S61" s="75"/>
      <c r="T61" s="56" t="s">
        <v>266</v>
      </c>
      <c r="U61" s="75"/>
      <c r="V61" s="75"/>
      <c r="W61" s="21"/>
      <c r="X61" s="21"/>
    </row>
    <row r="62" spans="1:24" s="23" customFormat="1" ht="33.75" customHeight="1" x14ac:dyDescent="0.25">
      <c r="A62" s="147"/>
      <c r="B62" s="148"/>
      <c r="C62" s="112" t="s">
        <v>410</v>
      </c>
      <c r="D62" s="197"/>
      <c r="E62" s="197"/>
      <c r="F62" s="197"/>
      <c r="G62" s="197"/>
      <c r="H62" s="113"/>
      <c r="I62" s="23">
        <f>176.12-9.84</f>
        <v>166.28</v>
      </c>
      <c r="R62"/>
      <c r="S62" s="75"/>
      <c r="T62" s="56"/>
      <c r="U62" s="75"/>
      <c r="V62" s="75"/>
      <c r="W62" s="21"/>
      <c r="X62" s="21"/>
    </row>
    <row r="63" spans="1:24" x14ac:dyDescent="0.25">
      <c r="A63" s="138" t="s">
        <v>41</v>
      </c>
      <c r="B63" s="139"/>
      <c r="C63" s="138" t="s">
        <v>100</v>
      </c>
      <c r="D63" s="140"/>
      <c r="E63" s="139"/>
      <c r="F63" s="44" t="s">
        <v>39</v>
      </c>
      <c r="G63" s="143" t="s">
        <v>27</v>
      </c>
      <c r="H63" s="144"/>
      <c r="R63"/>
      <c r="S63" s="75"/>
      <c r="T63" s="56" t="s">
        <v>268</v>
      </c>
      <c r="U63" s="75"/>
      <c r="V63" s="75"/>
    </row>
    <row r="64" spans="1:24" x14ac:dyDescent="0.25">
      <c r="A64" s="186" t="s">
        <v>42</v>
      </c>
      <c r="B64" s="186"/>
      <c r="C64" s="186"/>
      <c r="D64" s="186"/>
      <c r="E64" s="186"/>
      <c r="F64" s="186"/>
      <c r="G64" s="186"/>
      <c r="H64" s="186"/>
      <c r="S64" s="75"/>
      <c r="T64" s="56" t="s">
        <v>277</v>
      </c>
      <c r="U64" s="75"/>
      <c r="V64" s="75"/>
    </row>
    <row r="65" spans="1:19" x14ac:dyDescent="0.25">
      <c r="A65" s="120" t="s">
        <v>85</v>
      </c>
      <c r="B65" s="120"/>
      <c r="C65" s="120"/>
      <c r="D65" s="132">
        <f>E47</f>
        <v>18262.18</v>
      </c>
      <c r="E65" s="132"/>
      <c r="F65" s="132"/>
      <c r="G65" s="132"/>
      <c r="H65" s="132"/>
      <c r="R65"/>
    </row>
    <row r="66" spans="1:19" x14ac:dyDescent="0.25">
      <c r="A66" s="192" t="s">
        <v>43</v>
      </c>
      <c r="B66" s="132"/>
      <c r="C66" s="132"/>
      <c r="D66" s="132" t="s">
        <v>433</v>
      </c>
      <c r="E66" s="132"/>
      <c r="F66" s="132"/>
      <c r="G66" s="132"/>
      <c r="H66" s="132"/>
      <c r="I66" s="24"/>
      <c r="R66"/>
    </row>
    <row r="67" spans="1:19" ht="31.9" customHeight="1" x14ac:dyDescent="0.25">
      <c r="A67" s="227" t="s">
        <v>44</v>
      </c>
      <c r="B67" s="228"/>
      <c r="C67" s="229"/>
      <c r="D67" s="121" t="s">
        <v>448</v>
      </c>
      <c r="E67" s="226"/>
      <c r="F67" s="226"/>
      <c r="G67" s="226"/>
      <c r="H67" s="226"/>
      <c r="R67"/>
    </row>
    <row r="68" spans="1:19" ht="30.75" customHeight="1" x14ac:dyDescent="0.25">
      <c r="A68" s="227" t="s">
        <v>83</v>
      </c>
      <c r="B68" s="228"/>
      <c r="C68" s="228"/>
      <c r="D68" s="233" t="s">
        <v>449</v>
      </c>
      <c r="E68" s="234"/>
      <c r="F68" s="234"/>
      <c r="G68" s="234"/>
      <c r="H68" s="235"/>
      <c r="R68"/>
    </row>
    <row r="69" spans="1:19" ht="15.75" customHeight="1" x14ac:dyDescent="0.25">
      <c r="A69" s="131" t="s">
        <v>81</v>
      </c>
      <c r="B69" s="131"/>
      <c r="C69" s="131"/>
      <c r="D69" s="224" t="str">
        <f>(IF(G63="NA","60 Years After Completion",IF(G63&lt;&gt;"NA",""&amp;60-ROUNDDOWN((E3-G63)/360,0)&amp;" Years"," ")))</f>
        <v>60 Years After Completion</v>
      </c>
      <c r="E69" s="224"/>
      <c r="F69" s="224"/>
      <c r="G69" s="224"/>
      <c r="H69" s="224"/>
      <c r="N69" s="24"/>
      <c r="S69"/>
    </row>
    <row r="70" spans="1:19" ht="15.75" customHeight="1" x14ac:dyDescent="0.25">
      <c r="A70" s="131" t="s">
        <v>82</v>
      </c>
      <c r="B70" s="131"/>
      <c r="C70" s="131"/>
      <c r="D70" s="120" t="s">
        <v>22</v>
      </c>
      <c r="E70" s="120"/>
      <c r="F70" s="120"/>
      <c r="G70" s="120"/>
      <c r="H70" s="120"/>
      <c r="J70" s="25"/>
      <c r="K70" s="25"/>
      <c r="S70"/>
    </row>
    <row r="71" spans="1:19" ht="51" customHeight="1" x14ac:dyDescent="0.25">
      <c r="A71" s="190" t="s">
        <v>412</v>
      </c>
      <c r="B71" s="190"/>
      <c r="C71" s="190"/>
      <c r="D71" s="192" t="s">
        <v>455</v>
      </c>
      <c r="E71" s="120"/>
      <c r="F71" s="120"/>
      <c r="G71" s="120"/>
      <c r="H71" s="120"/>
      <c r="I71" s="99" t="s">
        <v>411</v>
      </c>
      <c r="S71"/>
    </row>
    <row r="72" spans="1:19" x14ac:dyDescent="0.25">
      <c r="A72" s="120" t="s">
        <v>147</v>
      </c>
      <c r="B72" s="120"/>
      <c r="C72" s="120"/>
      <c r="D72" s="120" t="s">
        <v>27</v>
      </c>
      <c r="E72" s="120"/>
      <c r="F72" s="120"/>
      <c r="G72" s="120"/>
      <c r="H72" s="120"/>
      <c r="I72" s="26"/>
      <c r="J72" s="26"/>
      <c r="K72" s="26"/>
      <c r="L72" s="26"/>
      <c r="M72" s="26"/>
      <c r="N72" s="26"/>
    </row>
    <row r="73" spans="1:19" ht="15.75" customHeight="1" x14ac:dyDescent="0.25">
      <c r="A73" s="222" t="s">
        <v>80</v>
      </c>
      <c r="B73" s="222"/>
      <c r="C73" s="222"/>
      <c r="D73" s="121" t="str">
        <f ca="1">(IF(G79&gt;95%,"Nothing",IF(G79&gt;0%,"Cement, Aggregate, Steel, etc",IF(G79=0%,"Work not yet Started"))))</f>
        <v>Cement, Aggregate, Steel, etc</v>
      </c>
      <c r="E73" s="121"/>
      <c r="F73" s="121"/>
      <c r="G73" s="121"/>
      <c r="H73" s="121"/>
      <c r="J73" s="25"/>
      <c r="S73"/>
    </row>
    <row r="74" spans="1:19" ht="33.75" customHeight="1" thickBot="1" x14ac:dyDescent="0.3">
      <c r="A74" s="221" t="s">
        <v>113</v>
      </c>
      <c r="B74" s="221"/>
      <c r="C74" s="221"/>
      <c r="D74" s="121" t="str">
        <f ca="1">(IF(D73="Nothing","Yes",IF(D73="Cement, Aggregate, Steel, etc","Under Construction",IF(D73="Work not yet Started","Work not yet Started"))))</f>
        <v>Under Construction</v>
      </c>
      <c r="E74" s="121"/>
      <c r="F74" s="121" t="str">
        <f ca="1">(IF(D73="Nothing","Yes",IF(D73="Cement, Aggregate, Steel, etc","Under Construction",IF(D73="Work not yet Started","Work not yet Started"))))</f>
        <v>Under Construction</v>
      </c>
      <c r="G74" s="121"/>
      <c r="H74" s="121"/>
      <c r="S74"/>
    </row>
    <row r="75" spans="1:19" ht="30.75" customHeight="1" x14ac:dyDescent="0.25">
      <c r="A75" s="214" t="s">
        <v>137</v>
      </c>
      <c r="B75" s="215"/>
      <c r="C75" s="216" t="str">
        <f>D68</f>
        <v>Building No.1 = B + Gr/Stilt + P1 to P7 + 8th Amenity Floor + 9th to 37th Floor</v>
      </c>
      <c r="D75" s="217"/>
      <c r="E75" s="217"/>
      <c r="F75" s="217"/>
      <c r="G75" s="217"/>
      <c r="H75" s="218"/>
      <c r="I75" s="48" t="str">
        <f ca="1">IF(D88=100%,"All work Completed. Possession granted to the Building.",IF(D87=100%,"All work Completed, Waiting for OC",I76&amp;""&amp;I77&amp;""&amp;J76&amp;""&amp;J75&amp;" "&amp;J77))</f>
        <v>Excavation, Plinth Completed, RCC upto 9 Slab Completed</v>
      </c>
      <c r="J75" s="49"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9 Slab</v>
      </c>
      <c r="S75"/>
    </row>
    <row r="76" spans="1:19" x14ac:dyDescent="0.25">
      <c r="A76" s="16" t="s">
        <v>139</v>
      </c>
      <c r="B76" s="46">
        <v>1</v>
      </c>
      <c r="C76" s="46" t="s">
        <v>66</v>
      </c>
      <c r="D76" s="46">
        <v>1</v>
      </c>
      <c r="E76" s="46" t="s">
        <v>65</v>
      </c>
      <c r="F76" s="102">
        <v>0</v>
      </c>
      <c r="G76" s="47" t="s">
        <v>74</v>
      </c>
      <c r="H76" s="17">
        <f ca="1">--TRIM(RIGHT(SUBSTITUTE(LEFT(C75,_xlfn.AGGREGATE(16,6,FIND({0,1,2,3,4,5,6,7,8,9},C75,ROW(INDIRECT("1:"&amp;LEN(C75)))),1))," ",REPT(" ",LEN(C75))),LEN(C75)))</f>
        <v>37</v>
      </c>
      <c r="I76" s="50" t="str">
        <f ca="1">IF(D79=100%,"Excavation","")&amp;IF(D80=100%,", Plinth","")&amp;IF(D81=100%,", RCC Slab","")&amp;IF(D82=100%,", Brickwork","")&amp;IF(D83=100%,", Internal Plaster","")&amp;IF(D84=100%,", External Plaster","")&amp;IF(D85=100%,", Flooring","")&amp;IF(D86=100%,", Painting","")&amp;IF(D87=100%,", Building common Amenities","")</f>
        <v>Excavation, Plinth</v>
      </c>
      <c r="J76" s="51"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25">
      <c r="A77" s="213" t="s">
        <v>84</v>
      </c>
      <c r="B77" s="189"/>
      <c r="C77" s="219" t="str">
        <f ca="1">I75</f>
        <v>Excavation, Plinth Completed, RCC upto 9 Slab Completed</v>
      </c>
      <c r="D77" s="219"/>
      <c r="E77" s="219"/>
      <c r="F77" s="219"/>
      <c r="G77" s="219"/>
      <c r="H77" s="220"/>
      <c r="I77" s="50" t="str">
        <f ca="1">IF(I76&lt;&gt;""," Completed","")</f>
        <v xml:space="preserve"> Completed</v>
      </c>
      <c r="J77" s="51" t="str">
        <f ca="1">IF(J75&lt;&gt;"","Completed","")</f>
        <v>Completed</v>
      </c>
      <c r="S77"/>
    </row>
    <row r="78" spans="1:19" ht="15.75" customHeight="1" x14ac:dyDescent="0.25">
      <c r="A78" s="110" t="s">
        <v>45</v>
      </c>
      <c r="B78" s="111"/>
      <c r="C78" s="42" t="s">
        <v>136</v>
      </c>
      <c r="D78" s="42" t="s">
        <v>77</v>
      </c>
      <c r="E78" s="111" t="s">
        <v>79</v>
      </c>
      <c r="F78" s="111"/>
      <c r="G78" s="111" t="s">
        <v>78</v>
      </c>
      <c r="H78" s="122"/>
      <c r="I78" s="13" t="s">
        <v>138</v>
      </c>
      <c r="J78" s="27">
        <f ca="1">H76*25%</f>
        <v>9.25</v>
      </c>
      <c r="S78"/>
    </row>
    <row r="79" spans="1:19" x14ac:dyDescent="0.25">
      <c r="A79" s="110" t="s">
        <v>125</v>
      </c>
      <c r="B79" s="111"/>
      <c r="C79" s="42">
        <f ca="1">J80</f>
        <v>37</v>
      </c>
      <c r="D79" s="19">
        <f ca="1">((100/H76)*C79)/100</f>
        <v>1</v>
      </c>
      <c r="E79" s="255">
        <f ca="1">(((C80/H76*10)+(40/(D76+F76+H76)*C81)+(7.5/(H76)*C82)+(7.5/(H76)*C83)+(10/H76*C84)+(10/H76*C85)+(5/H76*C86)+(5/H76*C87)+(5/H76*C88))/100)</f>
        <v>0.19473684210526315</v>
      </c>
      <c r="F79" s="256"/>
      <c r="G79" s="255">
        <f ca="1">((((C79/H76)*20)+((C80/H76)*25)+(30/(H76+F76+D76)*C81)+(5/H76*C82)+(5/H76*C83)+(5/H76*C84)+(5/H76*C85)+(0/H76*C86)+(0/H76*C87)+(5/H76*C88))/100)</f>
        <v>0.52105263157894743</v>
      </c>
      <c r="H79" s="261"/>
      <c r="I79" s="13" t="s">
        <v>95</v>
      </c>
      <c r="J79" s="28">
        <f ca="1">H76*50%</f>
        <v>18.5</v>
      </c>
    </row>
    <row r="80" spans="1:19" x14ac:dyDescent="0.25">
      <c r="A80" s="110" t="s">
        <v>46</v>
      </c>
      <c r="B80" s="111"/>
      <c r="C80" s="42">
        <f ca="1">J88</f>
        <v>37</v>
      </c>
      <c r="D80" s="19">
        <f ca="1">((100/H76)*C80)/100</f>
        <v>1</v>
      </c>
      <c r="E80" s="257"/>
      <c r="F80" s="258"/>
      <c r="G80" s="257"/>
      <c r="H80" s="262"/>
      <c r="I80" s="13" t="s">
        <v>96</v>
      </c>
      <c r="J80" s="28">
        <f ca="1">H76</f>
        <v>37</v>
      </c>
      <c r="L80" s="95"/>
      <c r="S80"/>
    </row>
    <row r="81" spans="1:22" ht="15.75" customHeight="1" x14ac:dyDescent="0.25">
      <c r="A81" s="110" t="s">
        <v>126</v>
      </c>
      <c r="B81" s="111"/>
      <c r="C81" s="42">
        <v>9</v>
      </c>
      <c r="D81" s="19">
        <f ca="1">((100/(D76+F76+H76))*C81)/100</f>
        <v>0.23684210526315791</v>
      </c>
      <c r="E81" s="257"/>
      <c r="F81" s="258"/>
      <c r="G81" s="257"/>
      <c r="H81" s="262"/>
      <c r="I81" s="13" t="s">
        <v>97</v>
      </c>
      <c r="J81" s="29">
        <f ca="1">(IF(B76&gt;1,(H76/(B76+2)),H76/4))</f>
        <v>9.25</v>
      </c>
      <c r="S81"/>
    </row>
    <row r="82" spans="1:22" ht="15.75" customHeight="1" x14ac:dyDescent="0.25">
      <c r="A82" s="110" t="s">
        <v>133</v>
      </c>
      <c r="B82" s="111" t="s">
        <v>127</v>
      </c>
      <c r="C82" s="42">
        <v>0</v>
      </c>
      <c r="D82" s="19">
        <f ca="1">((100/H76)*C82)/100</f>
        <v>0</v>
      </c>
      <c r="E82" s="257"/>
      <c r="F82" s="258"/>
      <c r="G82" s="257"/>
      <c r="H82" s="262"/>
      <c r="I82" s="13" t="s">
        <v>98</v>
      </c>
      <c r="J82" s="29">
        <f ca="1">(IF(B76&gt;1,(H76/(B76+2)+J81),H76/4+J81))</f>
        <v>18.5</v>
      </c>
    </row>
    <row r="83" spans="1:22" ht="15.75" customHeight="1" x14ac:dyDescent="0.25">
      <c r="A83" s="110" t="s">
        <v>134</v>
      </c>
      <c r="B83" s="111" t="s">
        <v>127</v>
      </c>
      <c r="C83" s="42">
        <v>0</v>
      </c>
      <c r="D83" s="19">
        <f ca="1">((100/H76)*C83)/100</f>
        <v>0</v>
      </c>
      <c r="E83" s="257"/>
      <c r="F83" s="258"/>
      <c r="G83" s="257"/>
      <c r="H83" s="262"/>
      <c r="I83" s="13" t="s">
        <v>145</v>
      </c>
      <c r="J83" s="29">
        <f>(IF(B76&gt;1,(H76/(B76+2)+J82),0))</f>
        <v>0</v>
      </c>
    </row>
    <row r="84" spans="1:22" ht="15" customHeight="1" x14ac:dyDescent="0.25">
      <c r="A84" s="110" t="s">
        <v>132</v>
      </c>
      <c r="B84" s="111" t="s">
        <v>129</v>
      </c>
      <c r="C84" s="42">
        <v>0</v>
      </c>
      <c r="D84" s="19">
        <f ca="1">((100/(H76))*C84)/100</f>
        <v>0</v>
      </c>
      <c r="E84" s="257"/>
      <c r="F84" s="258"/>
      <c r="G84" s="257"/>
      <c r="H84" s="262"/>
      <c r="I84" s="13" t="s">
        <v>140</v>
      </c>
      <c r="J84" s="29">
        <f>(IF(B76&gt;2,(H76/(B76+2)+J83),0))</f>
        <v>0</v>
      </c>
    </row>
    <row r="85" spans="1:22" ht="15.75" customHeight="1" x14ac:dyDescent="0.25">
      <c r="A85" s="110" t="s">
        <v>128</v>
      </c>
      <c r="B85" s="111" t="s">
        <v>128</v>
      </c>
      <c r="C85" s="42">
        <v>0</v>
      </c>
      <c r="D85" s="19">
        <f ca="1">((100/H76)*C85)/100</f>
        <v>0</v>
      </c>
      <c r="E85" s="257"/>
      <c r="F85" s="258"/>
      <c r="G85" s="257"/>
      <c r="H85" s="262"/>
      <c r="I85" s="13" t="s">
        <v>141</v>
      </c>
      <c r="J85" s="30">
        <f>(IF(B76&gt;3,(H76/(B76+2)+J84),0))</f>
        <v>0</v>
      </c>
    </row>
    <row r="86" spans="1:22" ht="15.75" customHeight="1" x14ac:dyDescent="0.25">
      <c r="A86" s="110" t="s">
        <v>135</v>
      </c>
      <c r="B86" s="111"/>
      <c r="C86" s="42">
        <v>0</v>
      </c>
      <c r="D86" s="19">
        <f ca="1">((100/H76)*C86)/100</f>
        <v>0</v>
      </c>
      <c r="E86" s="257"/>
      <c r="F86" s="258"/>
      <c r="G86" s="257"/>
      <c r="H86" s="262"/>
      <c r="I86" s="13" t="s">
        <v>142</v>
      </c>
      <c r="J86" s="29">
        <f>(IF(B76&gt;4,(H76/(B76+2)+J85),0))</f>
        <v>0</v>
      </c>
    </row>
    <row r="87" spans="1:22" ht="15.75" customHeight="1" x14ac:dyDescent="0.25">
      <c r="A87" s="110" t="s">
        <v>130</v>
      </c>
      <c r="B87" s="111" t="s">
        <v>130</v>
      </c>
      <c r="C87" s="42">
        <v>0</v>
      </c>
      <c r="D87" s="19">
        <f ca="1">((100/(H76))*C87)/100</f>
        <v>0</v>
      </c>
      <c r="E87" s="257"/>
      <c r="F87" s="258"/>
      <c r="G87" s="257"/>
      <c r="H87" s="262"/>
      <c r="I87" s="13" t="s">
        <v>146</v>
      </c>
      <c r="J87" s="29">
        <f ca="1">(IF(B76=1,(H76/(B76+3)+J82),IF(B76=0,(H76/4+J82),IF(B76&gt;1,0))))</f>
        <v>27.75</v>
      </c>
    </row>
    <row r="88" spans="1:22" ht="16.5" thickBot="1" x14ac:dyDescent="0.3">
      <c r="A88" s="123" t="s">
        <v>131</v>
      </c>
      <c r="B88" s="124"/>
      <c r="C88" s="43">
        <v>0</v>
      </c>
      <c r="D88" s="20">
        <f ca="1">((100/(H76))*C88)/100</f>
        <v>0</v>
      </c>
      <c r="E88" s="259"/>
      <c r="F88" s="260"/>
      <c r="G88" s="259"/>
      <c r="H88" s="263"/>
      <c r="I88" s="15" t="s">
        <v>99</v>
      </c>
      <c r="J88" s="31">
        <f ca="1">(IF(B76&gt;1.5,(H76/(B76+2)+J82+MAX(0,J83-J82)+MAX(0,J84-J83)+MAX(0,J85-J84)+MAX(0,J86-J85)+MAX(0,J87-J86)),IF(B76=1,(H76/(B76+3)+J87),IF(B76=0,H76/4+J87))))</f>
        <v>37</v>
      </c>
    </row>
    <row r="89" spans="1:22" x14ac:dyDescent="0.25">
      <c r="A89" s="167" t="s">
        <v>157</v>
      </c>
      <c r="B89" s="167"/>
      <c r="C89" s="167"/>
      <c r="D89" s="167"/>
      <c r="E89" s="167"/>
      <c r="F89" s="176" t="s">
        <v>161</v>
      </c>
      <c r="G89" s="176"/>
      <c r="H89" s="176"/>
      <c r="K89" s="99" t="s">
        <v>439</v>
      </c>
      <c r="R89" t="s">
        <v>252</v>
      </c>
      <c r="S89" t="s">
        <v>172</v>
      </c>
      <c r="T89" t="s">
        <v>179</v>
      </c>
      <c r="U89" t="s">
        <v>193</v>
      </c>
      <c r="V89" t="s">
        <v>188</v>
      </c>
    </row>
    <row r="90" spans="1:22" x14ac:dyDescent="0.25">
      <c r="A90" s="132" t="s">
        <v>159</v>
      </c>
      <c r="B90" s="132"/>
      <c r="C90" s="132"/>
      <c r="D90" s="132"/>
      <c r="E90" s="132"/>
      <c r="F90" s="135">
        <v>20000</v>
      </c>
      <c r="G90" s="135"/>
      <c r="H90" s="135"/>
      <c r="I90" s="104" t="s">
        <v>440</v>
      </c>
      <c r="J90" s="24">
        <f>23600000/(748)</f>
        <v>31550.802139037434</v>
      </c>
      <c r="K90" s="24">
        <f>J90/1.5</f>
        <v>21033.868092691624</v>
      </c>
      <c r="R90"/>
      <c r="S90">
        <v>800000</v>
      </c>
      <c r="T90">
        <v>150000</v>
      </c>
      <c r="U90">
        <v>100000</v>
      </c>
      <c r="V90">
        <v>100000</v>
      </c>
    </row>
    <row r="91" spans="1:22" hidden="1" x14ac:dyDescent="0.25">
      <c r="A91" s="132" t="s">
        <v>158</v>
      </c>
      <c r="B91" s="132"/>
      <c r="C91" s="132"/>
      <c r="D91" s="132"/>
      <c r="E91" s="132"/>
      <c r="F91" s="135"/>
      <c r="G91" s="135"/>
      <c r="H91" s="135"/>
      <c r="K91" s="21">
        <f t="shared" ref="K91:K100" si="0">J91/1.5</f>
        <v>0</v>
      </c>
      <c r="R91"/>
      <c r="S91">
        <v>900000</v>
      </c>
      <c r="T91">
        <v>200000</v>
      </c>
      <c r="U91">
        <v>150000</v>
      </c>
      <c r="V91">
        <v>150000</v>
      </c>
    </row>
    <row r="92" spans="1:22" hidden="1" x14ac:dyDescent="0.25">
      <c r="A92" s="132" t="s">
        <v>160</v>
      </c>
      <c r="B92" s="132"/>
      <c r="C92" s="132"/>
      <c r="D92" s="132"/>
      <c r="E92" s="132"/>
      <c r="F92" s="135"/>
      <c r="G92" s="135"/>
      <c r="H92" s="135"/>
      <c r="K92" s="21">
        <f t="shared" si="0"/>
        <v>0</v>
      </c>
      <c r="R92"/>
      <c r="S92">
        <v>1000000</v>
      </c>
      <c r="T92">
        <v>250000</v>
      </c>
      <c r="U92">
        <v>200000</v>
      </c>
      <c r="V92">
        <v>200000</v>
      </c>
    </row>
    <row r="93" spans="1:22" s="32" customFormat="1" hidden="1" x14ac:dyDescent="0.25">
      <c r="A93" s="132" t="s">
        <v>438</v>
      </c>
      <c r="B93" s="132"/>
      <c r="C93" s="132"/>
      <c r="D93" s="132"/>
      <c r="E93" s="132"/>
      <c r="F93" s="135"/>
      <c r="G93" s="135"/>
      <c r="H93" s="135"/>
      <c r="K93" s="21"/>
      <c r="R93"/>
      <c r="S93">
        <v>1100000</v>
      </c>
      <c r="T93">
        <v>300000</v>
      </c>
      <c r="U93">
        <v>250000</v>
      </c>
      <c r="V93" s="23">
        <v>250000</v>
      </c>
    </row>
    <row r="94" spans="1:22" s="32" customFormat="1" hidden="1" x14ac:dyDescent="0.25">
      <c r="A94" s="132" t="s">
        <v>89</v>
      </c>
      <c r="B94" s="132"/>
      <c r="C94" s="132"/>
      <c r="D94" s="132"/>
      <c r="E94" s="132"/>
      <c r="F94" s="135"/>
      <c r="G94" s="135"/>
      <c r="H94" s="135"/>
      <c r="K94" s="21">
        <f t="shared" si="0"/>
        <v>0</v>
      </c>
      <c r="R94"/>
      <c r="S94">
        <v>1200000</v>
      </c>
      <c r="T94">
        <v>350000</v>
      </c>
      <c r="U94">
        <v>300000</v>
      </c>
      <c r="V94">
        <v>300000</v>
      </c>
    </row>
    <row r="95" spans="1:22" s="32" customFormat="1" hidden="1" x14ac:dyDescent="0.25">
      <c r="A95" s="132" t="s">
        <v>90</v>
      </c>
      <c r="B95" s="132"/>
      <c r="C95" s="132"/>
      <c r="D95" s="132"/>
      <c r="E95" s="132"/>
      <c r="F95" s="135"/>
      <c r="G95" s="135"/>
      <c r="H95" s="135"/>
      <c r="K95" s="21">
        <f t="shared" si="0"/>
        <v>0</v>
      </c>
      <c r="R95"/>
      <c r="S95">
        <v>1300000</v>
      </c>
      <c r="T95">
        <v>400000</v>
      </c>
      <c r="U95">
        <v>350000</v>
      </c>
      <c r="V95" s="23">
        <v>400000</v>
      </c>
    </row>
    <row r="96" spans="1:22" s="32" customFormat="1" hidden="1" x14ac:dyDescent="0.25">
      <c r="A96" s="132" t="s">
        <v>91</v>
      </c>
      <c r="B96" s="132"/>
      <c r="C96" s="132"/>
      <c r="D96" s="132"/>
      <c r="E96" s="132"/>
      <c r="F96" s="135"/>
      <c r="G96" s="135"/>
      <c r="H96" s="135"/>
      <c r="K96" s="21">
        <f t="shared" si="0"/>
        <v>0</v>
      </c>
      <c r="R96"/>
      <c r="S96">
        <v>1400000</v>
      </c>
      <c r="T96">
        <v>500000</v>
      </c>
      <c r="U96">
        <v>400000</v>
      </c>
      <c r="V96"/>
    </row>
    <row r="97" spans="1:22" s="32" customFormat="1" hidden="1" x14ac:dyDescent="0.25">
      <c r="A97" s="132" t="s">
        <v>92</v>
      </c>
      <c r="B97" s="132"/>
      <c r="C97" s="132"/>
      <c r="D97" s="132"/>
      <c r="E97" s="132"/>
      <c r="F97" s="135"/>
      <c r="G97" s="135"/>
      <c r="H97" s="135"/>
      <c r="K97" s="21">
        <f t="shared" si="0"/>
        <v>0</v>
      </c>
      <c r="R97"/>
      <c r="S97">
        <v>1500000</v>
      </c>
      <c r="T97">
        <v>600000</v>
      </c>
      <c r="U97">
        <v>500000</v>
      </c>
      <c r="V97" s="23"/>
    </row>
    <row r="98" spans="1:22" s="32" customFormat="1" hidden="1" x14ac:dyDescent="0.25">
      <c r="A98" s="132" t="s">
        <v>93</v>
      </c>
      <c r="B98" s="132"/>
      <c r="C98" s="132"/>
      <c r="D98" s="132"/>
      <c r="E98" s="132"/>
      <c r="F98" s="135"/>
      <c r="G98" s="135"/>
      <c r="H98" s="135"/>
      <c r="K98" s="21">
        <f t="shared" si="0"/>
        <v>0</v>
      </c>
      <c r="R98"/>
      <c r="S98">
        <v>1600000</v>
      </c>
      <c r="T98">
        <v>700000</v>
      </c>
      <c r="U98">
        <v>600000</v>
      </c>
      <c r="V98"/>
    </row>
    <row r="99" spans="1:22" s="32" customFormat="1" hidden="1" x14ac:dyDescent="0.25">
      <c r="A99" s="132" t="s">
        <v>94</v>
      </c>
      <c r="B99" s="132"/>
      <c r="C99" s="132"/>
      <c r="D99" s="132"/>
      <c r="E99" s="132"/>
      <c r="F99" s="135"/>
      <c r="G99" s="135"/>
      <c r="H99" s="135"/>
      <c r="K99" s="21">
        <f t="shared" si="0"/>
        <v>0</v>
      </c>
      <c r="R99"/>
      <c r="S99">
        <v>1700000</v>
      </c>
      <c r="T99">
        <v>800000</v>
      </c>
      <c r="U99"/>
      <c r="V99" s="23"/>
    </row>
    <row r="100" spans="1:22" x14ac:dyDescent="0.25">
      <c r="A100" s="132" t="s">
        <v>47</v>
      </c>
      <c r="B100" s="132"/>
      <c r="C100" s="132"/>
      <c r="D100" s="132"/>
      <c r="E100" s="132"/>
      <c r="F100" s="135">
        <v>800000</v>
      </c>
      <c r="G100" s="135"/>
      <c r="H100" s="135"/>
      <c r="I100" s="24"/>
      <c r="J100" s="24">
        <f>30100000/(953)</f>
        <v>31584.470094438613</v>
      </c>
      <c r="K100" s="24">
        <f t="shared" si="0"/>
        <v>21056.313396292408</v>
      </c>
      <c r="R100"/>
      <c r="S100">
        <v>1800000</v>
      </c>
      <c r="T100">
        <v>900000</v>
      </c>
      <c r="U100"/>
    </row>
    <row r="101" spans="1:22" s="33" customFormat="1" x14ac:dyDescent="0.25">
      <c r="A101" s="184" t="s">
        <v>48</v>
      </c>
      <c r="B101" s="184"/>
      <c r="C101" s="184"/>
      <c r="D101" s="184"/>
      <c r="E101" s="184"/>
      <c r="F101" s="135">
        <f>F90*0.8</f>
        <v>16000</v>
      </c>
      <c r="G101" s="135"/>
      <c r="H101" s="135"/>
      <c r="K101" s="99" t="s">
        <v>441</v>
      </c>
      <c r="R101" s="21"/>
      <c r="S101" s="21"/>
      <c r="T101">
        <v>1000000</v>
      </c>
      <c r="U101"/>
      <c r="V101" s="21"/>
    </row>
    <row r="102" spans="1:22" s="34" customFormat="1" ht="15.75" hidden="1" customHeight="1" x14ac:dyDescent="0.25">
      <c r="A102" s="183" t="s">
        <v>69</v>
      </c>
      <c r="B102" s="183"/>
      <c r="C102" s="183"/>
      <c r="D102" s="183"/>
      <c r="E102" s="183"/>
      <c r="F102" s="183"/>
      <c r="G102" s="183"/>
      <c r="H102" s="183"/>
      <c r="R102"/>
      <c r="S102" s="21"/>
      <c r="T102"/>
      <c r="U102"/>
      <c r="V102" s="21"/>
    </row>
    <row r="103" spans="1:22" s="34" customFormat="1" ht="15.75" hidden="1" customHeight="1" x14ac:dyDescent="0.25">
      <c r="A103" s="137" t="s">
        <v>49</v>
      </c>
      <c r="B103" s="137"/>
      <c r="C103" s="142" t="s">
        <v>72</v>
      </c>
      <c r="D103" s="142"/>
      <c r="E103" s="125" t="s">
        <v>50</v>
      </c>
      <c r="F103" s="125"/>
      <c r="G103" s="137" t="s">
        <v>51</v>
      </c>
      <c r="H103" s="137"/>
      <c r="R103"/>
      <c r="S103" s="21"/>
      <c r="T103"/>
      <c r="U103" s="21"/>
      <c r="V103" s="21"/>
    </row>
    <row r="104" spans="1:22" s="34" customFormat="1" hidden="1" x14ac:dyDescent="0.25">
      <c r="A104" s="141"/>
      <c r="B104" s="141"/>
      <c r="C104" s="253"/>
      <c r="D104" s="253"/>
      <c r="E104" s="254"/>
      <c r="F104" s="254"/>
      <c r="G104" s="154"/>
      <c r="H104" s="154"/>
      <c r="R104"/>
      <c r="S104" s="21"/>
      <c r="T104"/>
      <c r="U104" s="21"/>
      <c r="V104" s="21"/>
    </row>
    <row r="105" spans="1:22" s="34" customFormat="1" hidden="1" x14ac:dyDescent="0.25">
      <c r="A105" s="141"/>
      <c r="B105" s="141"/>
      <c r="C105" s="253"/>
      <c r="D105" s="253"/>
      <c r="E105" s="254"/>
      <c r="F105" s="254"/>
      <c r="G105" s="154"/>
      <c r="H105" s="154"/>
      <c r="R105"/>
      <c r="S105" s="21"/>
      <c r="T105"/>
      <c r="U105" s="21"/>
      <c r="V105" s="21"/>
    </row>
    <row r="106" spans="1:22" s="34" customFormat="1" hidden="1" x14ac:dyDescent="0.25">
      <c r="A106" s="183" t="s">
        <v>150</v>
      </c>
      <c r="B106" s="183"/>
      <c r="C106" s="142"/>
      <c r="D106" s="142"/>
      <c r="E106" s="125"/>
      <c r="F106" s="125"/>
      <c r="G106" s="137"/>
      <c r="H106" s="137"/>
      <c r="R106"/>
      <c r="S106" s="21"/>
      <c r="T106"/>
      <c r="U106" s="21"/>
      <c r="V106" s="21"/>
    </row>
    <row r="107" spans="1:22" s="34" customFormat="1" x14ac:dyDescent="0.25">
      <c r="A107" s="183" t="s">
        <v>64</v>
      </c>
      <c r="B107" s="183"/>
      <c r="C107" s="183"/>
      <c r="D107" s="183"/>
      <c r="E107" s="183"/>
      <c r="F107" s="183"/>
      <c r="G107" s="183"/>
      <c r="H107" s="183"/>
      <c r="T107"/>
    </row>
    <row r="108" spans="1:22" s="34" customFormat="1" ht="15.75" customHeight="1" x14ac:dyDescent="0.25">
      <c r="A108" s="137" t="s">
        <v>49</v>
      </c>
      <c r="B108" s="137"/>
      <c r="C108" s="142" t="s">
        <v>72</v>
      </c>
      <c r="D108" s="142"/>
      <c r="E108" s="125" t="s">
        <v>50</v>
      </c>
      <c r="F108" s="125"/>
      <c r="G108" s="137" t="s">
        <v>51</v>
      </c>
      <c r="H108" s="137"/>
      <c r="T108"/>
    </row>
    <row r="109" spans="1:22" s="34" customFormat="1" x14ac:dyDescent="0.25">
      <c r="A109" s="141" t="s">
        <v>446</v>
      </c>
      <c r="B109" s="141"/>
      <c r="C109" s="248">
        <f>COUNT(D131,D133:D134,D136:D138)+COUNT(D140:D147)*21+COUNT(D149,D151:D152,D154:D156)*2+COUNT(D158,D160:D161,D163:D165)+COUNT(D167:D174)+COUNT(D176:D177,D180:D183)+COUNT(D185:D187,D191:D192)</f>
        <v>211</v>
      </c>
      <c r="D109" s="248"/>
      <c r="E109" s="248">
        <f t="shared" ref="E109" si="1">SUM(F131,F133:F134,F136:F138)+SUM(F140:F147)*21+SUM(F149,F151:F152,F154:F156)*2+SUM(F158,F160:F161,F163:F165)+SUM(F167:F174)+SUM(F176:F177,F180:F183)+SUM(F185:F187,F191:F192)</f>
        <v>179292.16983599999</v>
      </c>
      <c r="F109" s="248"/>
      <c r="G109" s="248">
        <f t="shared" ref="G109" si="2">SUM(H131,H133:H134,H136:H138)+SUM(H140:H147)*21+SUM(H149,H151:H152,H154:H156)*2+SUM(H158,H160:H161,H163:H165)+SUM(H167:H174)+SUM(H176:H177,H180:H183)+SUM(H185:H187,H191:H192)</f>
        <v>268938.25475399994</v>
      </c>
      <c r="H109" s="248"/>
      <c r="T109"/>
    </row>
    <row r="110" spans="1:22" s="34" customFormat="1" x14ac:dyDescent="0.25">
      <c r="A110" s="252" t="s">
        <v>150</v>
      </c>
      <c r="B110" s="252"/>
      <c r="C110" s="155">
        <f>C109</f>
        <v>211</v>
      </c>
      <c r="D110" s="156"/>
      <c r="E110" s="155">
        <f t="shared" ref="E110" si="3">E109</f>
        <v>179292.16983599999</v>
      </c>
      <c r="F110" s="156"/>
      <c r="G110" s="155">
        <f t="shared" ref="G110" si="4">G109</f>
        <v>268938.25475399994</v>
      </c>
      <c r="H110" s="156"/>
      <c r="M110" s="34" t="s">
        <v>440</v>
      </c>
      <c r="N110" s="103">
        <f>26000000/(747)</f>
        <v>34805.890227576972</v>
      </c>
      <c r="O110" s="103">
        <f>N110/1.5</f>
        <v>23203.926818384647</v>
      </c>
      <c r="T110"/>
    </row>
    <row r="111" spans="1:22" s="34" customFormat="1" hidden="1" x14ac:dyDescent="0.25">
      <c r="A111" s="165" t="s">
        <v>166</v>
      </c>
      <c r="B111" s="166"/>
      <c r="C111" s="187">
        <f>C106+C110</f>
        <v>211</v>
      </c>
      <c r="D111" s="187"/>
      <c r="E111" s="251">
        <f>E106+E110</f>
        <v>179292.16983599999</v>
      </c>
      <c r="F111" s="251"/>
      <c r="G111" s="265">
        <f>G106+G110</f>
        <v>268938.25475399994</v>
      </c>
      <c r="H111" s="266"/>
      <c r="N111" s="103">
        <f>37100000/1067.6</f>
        <v>34750.843012364181</v>
      </c>
      <c r="O111" s="103">
        <f>N111/1.5</f>
        <v>23167.228674909453</v>
      </c>
      <c r="T111"/>
    </row>
    <row r="112" spans="1:22" s="33" customFormat="1" x14ac:dyDescent="0.25">
      <c r="A112" s="126" t="s">
        <v>355</v>
      </c>
      <c r="B112" s="126"/>
      <c r="C112" s="126"/>
      <c r="D112" s="126"/>
      <c r="E112" s="126"/>
      <c r="F112" s="126"/>
      <c r="G112" s="126"/>
      <c r="H112" s="126"/>
      <c r="T112" s="34"/>
    </row>
    <row r="113" spans="1:20" x14ac:dyDescent="0.25">
      <c r="A113" s="136" t="s">
        <v>413</v>
      </c>
      <c r="B113" s="136"/>
      <c r="C113" s="136"/>
      <c r="D113" s="136"/>
      <c r="E113" s="136"/>
      <c r="F113" s="136"/>
      <c r="G113" s="136"/>
      <c r="H113" s="136"/>
      <c r="T113" s="34"/>
    </row>
    <row r="114" spans="1:20" ht="47.25" hidden="1" customHeight="1" x14ac:dyDescent="0.25">
      <c r="A114" s="129" t="s">
        <v>115</v>
      </c>
      <c r="B114" s="163" t="s">
        <v>175</v>
      </c>
      <c r="C114" s="129" t="s">
        <v>52</v>
      </c>
      <c r="D114" s="163" t="s">
        <v>231</v>
      </c>
      <c r="E114" s="249" t="s">
        <v>156</v>
      </c>
      <c r="F114" s="129" t="s">
        <v>53</v>
      </c>
      <c r="G114" s="168" t="s">
        <v>54</v>
      </c>
      <c r="H114" s="64" t="s">
        <v>148</v>
      </c>
      <c r="T114" s="34"/>
    </row>
    <row r="115" spans="1:20" s="36" customFormat="1" hidden="1" x14ac:dyDescent="0.25">
      <c r="A115" s="130"/>
      <c r="B115" s="164"/>
      <c r="C115" s="130"/>
      <c r="D115" s="164"/>
      <c r="E115" s="250"/>
      <c r="F115" s="130"/>
      <c r="G115" s="169"/>
      <c r="H115" s="54">
        <v>0.45</v>
      </c>
      <c r="T115" s="34"/>
    </row>
    <row r="116" spans="1:20" s="36" customFormat="1" hidden="1" x14ac:dyDescent="0.25">
      <c r="A116" s="117" t="s">
        <v>114</v>
      </c>
      <c r="B116" s="118"/>
      <c r="C116" s="118"/>
      <c r="D116" s="118"/>
      <c r="E116" s="118"/>
      <c r="F116" s="118"/>
      <c r="G116" s="118"/>
      <c r="H116" s="119"/>
      <c r="J116" s="35"/>
      <c r="T116" s="34"/>
    </row>
    <row r="117" spans="1:20" s="36" customFormat="1" ht="15.75" hidden="1" customHeight="1" x14ac:dyDescent="0.25">
      <c r="A117" s="115">
        <v>1</v>
      </c>
      <c r="B117" s="116"/>
      <c r="C117" s="41"/>
      <c r="D117" s="41">
        <v>0</v>
      </c>
      <c r="E117" s="41">
        <v>0</v>
      </c>
      <c r="F117" s="41">
        <f>D117+(IF(E117&lt;201,E117,IF(E117&lt;301,E117/2,E117/3)))</f>
        <v>0</v>
      </c>
      <c r="G117" s="41">
        <v>0</v>
      </c>
      <c r="H117" s="41">
        <f>(F117+(IF(G117&lt;101,G117,IF(G117&lt;201,G117/2,IF(G117&lt;=301,G117/3,G117/4)))))*(($H$115)+1)</f>
        <v>0</v>
      </c>
      <c r="I117" s="35"/>
      <c r="L117" s="247"/>
      <c r="M117" s="247"/>
      <c r="N117" s="35"/>
      <c r="T117" s="34"/>
    </row>
    <row r="118" spans="1:20" s="36" customFormat="1" ht="15.75" hidden="1" customHeight="1" x14ac:dyDescent="0.25">
      <c r="A118" s="115">
        <f>A117+1</f>
        <v>2</v>
      </c>
      <c r="B118" s="116"/>
      <c r="C118" s="41"/>
      <c r="D118" s="41"/>
      <c r="E118" s="41">
        <v>0</v>
      </c>
      <c r="F118" s="41">
        <f>D118+(IF(E118&lt;201,E118,IF(E118&lt;301,E118/2,E118/3)))</f>
        <v>0</v>
      </c>
      <c r="G118" s="41">
        <v>0</v>
      </c>
      <c r="H118" s="41">
        <f>(F118+(IF(G118&lt;101,G118,IF(G118&lt;201,G118/2,IF(G118&lt;=301,G118/3,G118/4)))))*(($H$115)+1)</f>
        <v>0</v>
      </c>
      <c r="I118" s="35"/>
      <c r="L118" s="247"/>
      <c r="M118" s="247"/>
      <c r="N118" s="35"/>
      <c r="T118" s="33"/>
    </row>
    <row r="119" spans="1:20" s="36" customFormat="1" ht="15.75" hidden="1" customHeight="1" x14ac:dyDescent="0.25">
      <c r="A119" s="115">
        <f>A118+1</f>
        <v>3</v>
      </c>
      <c r="B119" s="116"/>
      <c r="C119" s="41"/>
      <c r="D119" s="41"/>
      <c r="E119" s="41">
        <v>0</v>
      </c>
      <c r="F119" s="41">
        <f>D119+(IF(E119&lt;201,E119,IF(E119&lt;301,E119/2,E119/3)))</f>
        <v>0</v>
      </c>
      <c r="G119" s="41">
        <v>0</v>
      </c>
      <c r="H119" s="41">
        <f>(F119+(IF(G119&lt;101,G119,IF(G119&lt;201,G119/2,IF(G119&lt;=301,G119/3,G119/4)))))*(($H$115)+1)</f>
        <v>0</v>
      </c>
      <c r="I119" s="35"/>
      <c r="L119" s="247"/>
      <c r="M119" s="247"/>
      <c r="N119" s="35"/>
      <c r="T119" s="21"/>
    </row>
    <row r="120" spans="1:20" s="36" customFormat="1" ht="15.75" hidden="1" customHeight="1" x14ac:dyDescent="0.25">
      <c r="A120" s="115">
        <f>A119+1</f>
        <v>4</v>
      </c>
      <c r="B120" s="116"/>
      <c r="C120" s="41"/>
      <c r="D120" s="41"/>
      <c r="E120" s="41">
        <v>0</v>
      </c>
      <c r="F120" s="41">
        <f>D120+(IF(E120&lt;201,E120,IF(E120&lt;301,E120/2,E120/3)))</f>
        <v>0</v>
      </c>
      <c r="G120" s="41">
        <v>0</v>
      </c>
      <c r="H120" s="41">
        <f>(F120+(IF(G120&lt;101,G120,IF(G120&lt;201,G120/2,IF(G120&lt;=301,G120/3,G120/4)))))*(($H$115)+1)</f>
        <v>0</v>
      </c>
      <c r="I120" s="35"/>
      <c r="L120" s="247"/>
      <c r="M120" s="247"/>
      <c r="N120" s="35"/>
      <c r="T120" s="21"/>
    </row>
    <row r="121" spans="1:20" s="36" customFormat="1" hidden="1" x14ac:dyDescent="0.25">
      <c r="A121" s="115"/>
      <c r="B121" s="149"/>
      <c r="C121" s="149"/>
      <c r="D121" s="149"/>
      <c r="E121" s="149"/>
      <c r="F121" s="149"/>
      <c r="G121" s="149"/>
      <c r="H121" s="116"/>
      <c r="I121" s="35"/>
      <c r="N121" s="35"/>
    </row>
    <row r="122" spans="1:20" ht="47.25" customHeight="1" x14ac:dyDescent="0.25">
      <c r="A122" s="127" t="s">
        <v>116</v>
      </c>
      <c r="B122" s="152" t="s">
        <v>176</v>
      </c>
      <c r="C122" s="129" t="s">
        <v>52</v>
      </c>
      <c r="D122" s="152" t="s">
        <v>375</v>
      </c>
      <c r="E122" s="152" t="s">
        <v>431</v>
      </c>
      <c r="F122" s="129" t="s">
        <v>53</v>
      </c>
      <c r="G122" s="168" t="s">
        <v>54</v>
      </c>
      <c r="H122" s="63" t="s">
        <v>148</v>
      </c>
      <c r="I122" s="41">
        <v>10.763999999999999</v>
      </c>
      <c r="T122" s="36"/>
    </row>
    <row r="123" spans="1:20" s="36" customFormat="1" x14ac:dyDescent="0.25">
      <c r="A123" s="128"/>
      <c r="B123" s="153"/>
      <c r="C123" s="130"/>
      <c r="D123" s="153"/>
      <c r="E123" s="153"/>
      <c r="F123" s="130"/>
      <c r="G123" s="169"/>
      <c r="H123" s="100">
        <v>0.5</v>
      </c>
      <c r="I123" s="35"/>
    </row>
    <row r="124" spans="1:20" s="98" customFormat="1" x14ac:dyDescent="0.25">
      <c r="A124" s="177" t="s">
        <v>446</v>
      </c>
      <c r="B124" s="178"/>
      <c r="C124" s="178"/>
      <c r="D124" s="178"/>
      <c r="E124" s="178"/>
      <c r="F124" s="178"/>
      <c r="G124" s="178"/>
      <c r="H124" s="179"/>
      <c r="I124" s="35">
        <f>31000/1.5</f>
        <v>20666.666666666668</v>
      </c>
    </row>
    <row r="125" spans="1:20" s="36" customFormat="1" x14ac:dyDescent="0.25">
      <c r="A125" s="117" t="s">
        <v>415</v>
      </c>
      <c r="B125" s="118"/>
      <c r="C125" s="118"/>
      <c r="D125" s="118"/>
      <c r="E125" s="118"/>
      <c r="F125" s="118"/>
      <c r="G125" s="118"/>
      <c r="H125" s="119"/>
      <c r="J125" s="35"/>
    </row>
    <row r="126" spans="1:20" s="36" customFormat="1" x14ac:dyDescent="0.25">
      <c r="A126" s="117" t="s">
        <v>414</v>
      </c>
      <c r="B126" s="118"/>
      <c r="C126" s="118"/>
      <c r="D126" s="118"/>
      <c r="E126" s="118"/>
      <c r="F126" s="118"/>
      <c r="G126" s="118"/>
      <c r="H126" s="119"/>
      <c r="J126" s="35"/>
    </row>
    <row r="127" spans="1:20" s="36" customFormat="1" x14ac:dyDescent="0.25">
      <c r="A127" s="117" t="s">
        <v>416</v>
      </c>
      <c r="B127" s="118"/>
      <c r="C127" s="118"/>
      <c r="D127" s="118"/>
      <c r="E127" s="118"/>
      <c r="F127" s="118"/>
      <c r="G127" s="118"/>
      <c r="H127" s="119"/>
      <c r="I127" s="36">
        <v>1</v>
      </c>
      <c r="J127" s="35"/>
    </row>
    <row r="128" spans="1:20" s="36" customFormat="1" x14ac:dyDescent="0.25">
      <c r="A128" s="117" t="s">
        <v>417</v>
      </c>
      <c r="B128" s="118"/>
      <c r="C128" s="118"/>
      <c r="D128" s="118"/>
      <c r="E128" s="118"/>
      <c r="F128" s="118"/>
      <c r="G128" s="118"/>
      <c r="H128" s="119"/>
      <c r="I128" s="36">
        <v>6</v>
      </c>
      <c r="J128" s="35"/>
    </row>
    <row r="129" spans="1:20" s="36" customFormat="1" x14ac:dyDescent="0.25">
      <c r="A129" s="117" t="s">
        <v>418</v>
      </c>
      <c r="B129" s="118"/>
      <c r="C129" s="118"/>
      <c r="D129" s="118"/>
      <c r="E129" s="118"/>
      <c r="F129" s="118"/>
      <c r="G129" s="118"/>
      <c r="H129" s="119"/>
      <c r="I129" s="36">
        <v>1</v>
      </c>
      <c r="J129" s="35"/>
    </row>
    <row r="130" spans="1:20" s="36" customFormat="1" x14ac:dyDescent="0.25">
      <c r="A130" s="117" t="s">
        <v>419</v>
      </c>
      <c r="B130" s="118"/>
      <c r="C130" s="118"/>
      <c r="D130" s="118"/>
      <c r="E130" s="118"/>
      <c r="F130" s="118"/>
      <c r="G130" s="118"/>
      <c r="H130" s="119"/>
      <c r="I130" s="36">
        <v>1</v>
      </c>
      <c r="J130" s="35"/>
    </row>
    <row r="131" spans="1:20" s="36" customFormat="1" ht="15.75" customHeight="1" x14ac:dyDescent="0.25">
      <c r="A131" s="115">
        <v>1</v>
      </c>
      <c r="B131" s="116"/>
      <c r="C131" s="41" t="s">
        <v>421</v>
      </c>
      <c r="D131" s="41">
        <f>(67.59)*10.764</f>
        <v>727.53876000000002</v>
      </c>
      <c r="E131" s="41">
        <f>(1.7*2.78)*10.764</f>
        <v>50.870663999999998</v>
      </c>
      <c r="F131" s="41">
        <f>D131+E131</f>
        <v>778.40942400000006</v>
      </c>
      <c r="G131" s="41">
        <v>0</v>
      </c>
      <c r="H131" s="41">
        <f>F131*(($H$123)+1)+(IF(G131&lt;101,G131,IF(G131&lt;201,G131/2,IF(G131&lt;=301,G131/3,G131/4))))</f>
        <v>1167.6141360000001</v>
      </c>
      <c r="I131" s="35">
        <f>6*4.15+2.15*1.15+2.15*3.5+3.05*3.5+3.5*3.2+1.3*2.15+2.2*1.3+0.7*1+1.2*1</f>
        <v>64.327500000000001</v>
      </c>
      <c r="J131" s="36">
        <f>1.7*2.78</f>
        <v>4.726</v>
      </c>
      <c r="K131" s="105">
        <f>I131+J131</f>
        <v>69.0535</v>
      </c>
      <c r="L131" s="247"/>
      <c r="M131" s="247"/>
      <c r="N131" s="35"/>
    </row>
    <row r="132" spans="1:20" s="36" customFormat="1" ht="15.75" customHeight="1" x14ac:dyDescent="0.25">
      <c r="A132" s="115">
        <f>A131+1</f>
        <v>2</v>
      </c>
      <c r="B132" s="116"/>
      <c r="C132" s="115" t="s">
        <v>420</v>
      </c>
      <c r="D132" s="149"/>
      <c r="E132" s="149"/>
      <c r="F132" s="149"/>
      <c r="G132" s="149"/>
      <c r="H132" s="116"/>
      <c r="I132" s="35"/>
      <c r="K132" s="106"/>
      <c r="L132" s="247"/>
      <c r="M132" s="247"/>
      <c r="N132" s="35"/>
    </row>
    <row r="133" spans="1:20" s="36" customFormat="1" ht="15.75" customHeight="1" x14ac:dyDescent="0.25">
      <c r="A133" s="115">
        <f>A132+1</f>
        <v>3</v>
      </c>
      <c r="B133" s="116"/>
      <c r="C133" s="41" t="s">
        <v>421</v>
      </c>
      <c r="D133" s="41">
        <f>(69.38)*10.764</f>
        <v>746.80631999999991</v>
      </c>
      <c r="E133" s="41">
        <f>(3.2*1.35)*10.764</f>
        <v>46.500480000000003</v>
      </c>
      <c r="F133" s="41">
        <f>D133+E133</f>
        <v>793.30679999999995</v>
      </c>
      <c r="G133" s="41">
        <v>0</v>
      </c>
      <c r="H133" s="41">
        <f>F133*(($H$123)+1)+(IF(G133&lt;101,G133,IF(G133&lt;201,G133/2,IF(G133&lt;=301,G133/3,G133/4))))</f>
        <v>1189.9602</v>
      </c>
      <c r="I133" s="35">
        <f>3.15*5.35+1.4*2.3+0.2*2.35+2.3*4+3.29*3.55+3.15*3.65+2.4*1.25+2.3*1.25+3.6</f>
        <v>62.394500000000001</v>
      </c>
      <c r="J133" s="36">
        <f>3.15*1.35</f>
        <v>4.2525000000000004</v>
      </c>
      <c r="K133" s="107">
        <f>I133+J133</f>
        <v>66.647000000000006</v>
      </c>
      <c r="L133" s="247"/>
      <c r="M133" s="247"/>
      <c r="N133" s="35"/>
    </row>
    <row r="134" spans="1:20" s="36" customFormat="1" ht="15.75" customHeight="1" x14ac:dyDescent="0.25">
      <c r="A134" s="115">
        <f>A133+1</f>
        <v>4</v>
      </c>
      <c r="B134" s="116"/>
      <c r="C134" s="41" t="s">
        <v>421</v>
      </c>
      <c r="D134" s="41">
        <f>(69.38)*10.764</f>
        <v>746.80631999999991</v>
      </c>
      <c r="E134" s="41">
        <f>(3.2*1.35)*10.764</f>
        <v>46.500480000000003</v>
      </c>
      <c r="F134" s="41">
        <f>D134+E134</f>
        <v>793.30679999999995</v>
      </c>
      <c r="G134" s="41">
        <v>0</v>
      </c>
      <c r="H134" s="41">
        <f>F134*(($H$123)+1)+(IF(G134&lt;101,G134,IF(G134&lt;201,G134/2,IF(G134&lt;=301,G134/3,G134/4))))</f>
        <v>1189.9602</v>
      </c>
      <c r="I134" s="35"/>
      <c r="L134" s="247"/>
      <c r="M134" s="247"/>
      <c r="N134" s="35"/>
      <c r="T134" s="21"/>
    </row>
    <row r="135" spans="1:20" s="36" customFormat="1" ht="15.75" customHeight="1" x14ac:dyDescent="0.25">
      <c r="A135" s="115">
        <f t="shared" ref="A135:A138" si="5">A134+1</f>
        <v>5</v>
      </c>
      <c r="B135" s="116"/>
      <c r="C135" s="115" t="s">
        <v>420</v>
      </c>
      <c r="D135" s="149"/>
      <c r="E135" s="149"/>
      <c r="F135" s="149"/>
      <c r="G135" s="149"/>
      <c r="H135" s="116"/>
      <c r="I135" s="35"/>
      <c r="L135" s="247"/>
      <c r="M135" s="247"/>
      <c r="N135" s="35"/>
      <c r="T135" s="21"/>
    </row>
    <row r="136" spans="1:20" s="36" customFormat="1" ht="15.75" customHeight="1" x14ac:dyDescent="0.25">
      <c r="A136" s="115">
        <f t="shared" si="5"/>
        <v>6</v>
      </c>
      <c r="B136" s="116"/>
      <c r="C136" s="41" t="s">
        <v>421</v>
      </c>
      <c r="D136" s="41">
        <f>(65.7)*10.764</f>
        <v>707.19479999999999</v>
      </c>
      <c r="E136" s="41">
        <f>(1.7*2.78)*10.764</f>
        <v>50.870663999999998</v>
      </c>
      <c r="F136" s="41">
        <f t="shared" ref="F136:F138" si="6">D136+E136</f>
        <v>758.06546400000002</v>
      </c>
      <c r="G136" s="41">
        <v>0</v>
      </c>
      <c r="H136" s="41">
        <f t="shared" ref="H136:H138" si="7">F136*(($H$123)+1)+(IF(G136&lt;101,G136,IF(G136&lt;201,G136/2,IF(G136&lt;=301,G136/3,G136/4))))</f>
        <v>1137.0981959999999</v>
      </c>
      <c r="I136" s="35">
        <f>3.15*5.35+1.4*2.3+0.2*2.35+2.3*4+3.29*3.55+3.15*3.65+2.4*1.25+2.3*1.25+3.6</f>
        <v>62.394500000000001</v>
      </c>
      <c r="J136" s="98">
        <f>3.15*1.35</f>
        <v>4.2525000000000004</v>
      </c>
      <c r="K136" s="107">
        <f>I136+J136</f>
        <v>66.647000000000006</v>
      </c>
      <c r="L136" s="247"/>
      <c r="M136" s="247"/>
      <c r="N136" s="35"/>
      <c r="T136" s="21"/>
    </row>
    <row r="137" spans="1:20" s="36" customFormat="1" ht="15.75" customHeight="1" x14ac:dyDescent="0.25">
      <c r="A137" s="115">
        <f t="shared" si="5"/>
        <v>7</v>
      </c>
      <c r="B137" s="116"/>
      <c r="C137" s="41" t="s">
        <v>421</v>
      </c>
      <c r="D137" s="97">
        <f>(65.23)*10.764</f>
        <v>702.13571999999999</v>
      </c>
      <c r="E137" s="41">
        <f>(3.15*1.35)*10.764</f>
        <v>45.773910000000001</v>
      </c>
      <c r="F137" s="41">
        <f t="shared" si="6"/>
        <v>747.90962999999999</v>
      </c>
      <c r="G137" s="41">
        <v>0</v>
      </c>
      <c r="H137" s="41">
        <f t="shared" si="7"/>
        <v>1121.8644449999999</v>
      </c>
      <c r="I137" s="35"/>
      <c r="L137" s="247"/>
      <c r="M137" s="247"/>
      <c r="N137" s="35"/>
      <c r="T137" s="21"/>
    </row>
    <row r="138" spans="1:20" s="36" customFormat="1" ht="15.75" customHeight="1" x14ac:dyDescent="0.25">
      <c r="A138" s="115">
        <f t="shared" si="5"/>
        <v>8</v>
      </c>
      <c r="B138" s="116"/>
      <c r="C138" s="41" t="s">
        <v>421</v>
      </c>
      <c r="D138" s="97">
        <f>(65.23)*10.764</f>
        <v>702.13571999999999</v>
      </c>
      <c r="E138" s="41">
        <f>(3.15*1.35)*10.764</f>
        <v>45.773910000000001</v>
      </c>
      <c r="F138" s="41">
        <f t="shared" si="6"/>
        <v>747.90962999999999</v>
      </c>
      <c r="G138" s="41">
        <v>0</v>
      </c>
      <c r="H138" s="41">
        <f t="shared" si="7"/>
        <v>1121.8644449999999</v>
      </c>
      <c r="I138" s="35"/>
      <c r="L138" s="247"/>
      <c r="M138" s="247"/>
      <c r="N138" s="35"/>
      <c r="T138" s="21"/>
    </row>
    <row r="139" spans="1:20" s="36" customFormat="1" x14ac:dyDescent="0.25">
      <c r="A139" s="267" t="s">
        <v>429</v>
      </c>
      <c r="B139" s="268"/>
      <c r="C139" s="268"/>
      <c r="D139" s="268"/>
      <c r="E139" s="268"/>
      <c r="F139" s="268"/>
      <c r="G139" s="268"/>
      <c r="H139" s="269"/>
      <c r="I139" s="36">
        <f>6+6+6+3</f>
        <v>21</v>
      </c>
      <c r="K139" s="101" t="s">
        <v>430</v>
      </c>
    </row>
    <row r="140" spans="1:20" s="36" customFormat="1" ht="15.75" customHeight="1" x14ac:dyDescent="0.25">
      <c r="A140" s="270">
        <v>1</v>
      </c>
      <c r="B140" s="271"/>
      <c r="C140" s="108" t="s">
        <v>421</v>
      </c>
      <c r="D140" s="108">
        <f>(67.59)*10.764</f>
        <v>727.53876000000002</v>
      </c>
      <c r="E140" s="108">
        <f>(1.7*2.78)*10.764</f>
        <v>50.870663999999998</v>
      </c>
      <c r="F140" s="108">
        <f>D140+E140</f>
        <v>778.40942400000006</v>
      </c>
      <c r="G140" s="108">
        <v>0</v>
      </c>
      <c r="H140" s="108">
        <f>F140*(($H$123)+1)+(IF(G140&lt;101,G140,IF(G140&lt;201,G140/2,IF(G140&lt;=301,G140/3,G140/4))))</f>
        <v>1167.6141360000001</v>
      </c>
      <c r="I140" s="35"/>
      <c r="L140" s="247"/>
      <c r="M140" s="247"/>
      <c r="N140" s="35"/>
    </row>
    <row r="141" spans="1:20" s="36" customFormat="1" ht="15.75" customHeight="1" x14ac:dyDescent="0.25">
      <c r="A141" s="270">
        <f>A140+1</f>
        <v>2</v>
      </c>
      <c r="B141" s="271"/>
      <c r="C141" s="108" t="s">
        <v>422</v>
      </c>
      <c r="D141" s="108">
        <f>(91.77)*10.764</f>
        <v>987.81227999999987</v>
      </c>
      <c r="E141" s="108">
        <f>(1.7*2.78+2.3*0.9)*10.764</f>
        <v>73.152143999999993</v>
      </c>
      <c r="F141" s="108">
        <f>D141+E141</f>
        <v>1060.9644239999998</v>
      </c>
      <c r="G141" s="108">
        <v>0</v>
      </c>
      <c r="H141" s="108">
        <f>F141*(($H$123)+1)+(IF(G141&lt;101,G141,IF(G141&lt;201,G141/2,IF(G141&lt;=301,G141/3,G141/4))))</f>
        <v>1591.4466359999997</v>
      </c>
      <c r="I141" s="35"/>
      <c r="L141" s="247"/>
      <c r="M141" s="247"/>
      <c r="N141" s="35"/>
    </row>
    <row r="142" spans="1:20" s="36" customFormat="1" ht="15.75" customHeight="1" x14ac:dyDescent="0.25">
      <c r="A142" s="270">
        <f>A141+1</f>
        <v>3</v>
      </c>
      <c r="B142" s="271"/>
      <c r="C142" s="108" t="s">
        <v>421</v>
      </c>
      <c r="D142" s="108">
        <f>(69.38)*10.764</f>
        <v>746.80631999999991</v>
      </c>
      <c r="E142" s="108">
        <f>(3.2*1.35)*10.764</f>
        <v>46.500480000000003</v>
      </c>
      <c r="F142" s="108">
        <f>D142+E142</f>
        <v>793.30679999999995</v>
      </c>
      <c r="G142" s="108">
        <v>0</v>
      </c>
      <c r="H142" s="108">
        <f>F142*(($H$123)+1)+(IF(G142&lt;101,G142,IF(G142&lt;201,G142/2,IF(G142&lt;=301,G142/3,G142/4))))</f>
        <v>1189.9602</v>
      </c>
      <c r="I142" s="35"/>
      <c r="L142" s="247"/>
      <c r="M142" s="247"/>
      <c r="N142" s="35"/>
    </row>
    <row r="143" spans="1:20" s="36" customFormat="1" ht="15.75" customHeight="1" x14ac:dyDescent="0.25">
      <c r="A143" s="115">
        <f>A142+1</f>
        <v>4</v>
      </c>
      <c r="B143" s="116"/>
      <c r="C143" s="41" t="s">
        <v>421</v>
      </c>
      <c r="D143" s="41">
        <f>(69.38)*10.764</f>
        <v>746.80631999999991</v>
      </c>
      <c r="E143" s="41">
        <f>(3.2*1.35)*10.764</f>
        <v>46.500480000000003</v>
      </c>
      <c r="F143" s="41">
        <f>D143+E143</f>
        <v>793.30679999999995</v>
      </c>
      <c r="G143" s="41">
        <v>0</v>
      </c>
      <c r="H143" s="41">
        <f>F143*(($H$123)+1)+(IF(G143&lt;101,G143,IF(G143&lt;201,G143/2,IF(G143&lt;=301,G143/3,G143/4))))</f>
        <v>1189.9602</v>
      </c>
      <c r="I143" s="35"/>
      <c r="L143" s="247"/>
      <c r="M143" s="247"/>
      <c r="N143" s="35"/>
      <c r="T143" s="21"/>
    </row>
    <row r="144" spans="1:20" s="36" customFormat="1" ht="15.75" customHeight="1" x14ac:dyDescent="0.25">
      <c r="A144" s="115">
        <f t="shared" ref="A144:A147" si="8">A143+1</f>
        <v>5</v>
      </c>
      <c r="B144" s="116"/>
      <c r="C144" s="41" t="s">
        <v>422</v>
      </c>
      <c r="D144" s="41">
        <f>(91.77)*10.764</f>
        <v>987.81227999999987</v>
      </c>
      <c r="E144" s="41">
        <f>(1.7*2.78+2.3*0.9)*10.764</f>
        <v>73.152143999999993</v>
      </c>
      <c r="F144" s="41">
        <f t="shared" ref="F144:F147" si="9">D144+E144</f>
        <v>1060.9644239999998</v>
      </c>
      <c r="G144" s="41">
        <v>0</v>
      </c>
      <c r="H144" s="41">
        <f t="shared" ref="H144:H147" si="10">F144*(($H$123)+1)+(IF(G144&lt;101,G144,IF(G144&lt;201,G144/2,IF(G144&lt;=301,G144/3,G144/4))))</f>
        <v>1591.4466359999997</v>
      </c>
      <c r="I144" s="35"/>
      <c r="L144" s="247"/>
      <c r="M144" s="247"/>
      <c r="N144" s="35"/>
      <c r="T144" s="21"/>
    </row>
    <row r="145" spans="1:20" s="36" customFormat="1" ht="15.75" customHeight="1" x14ac:dyDescent="0.25">
      <c r="A145" s="115">
        <f t="shared" si="8"/>
        <v>6</v>
      </c>
      <c r="B145" s="116"/>
      <c r="C145" s="41" t="s">
        <v>421</v>
      </c>
      <c r="D145" s="41">
        <f>(65.7)*10.764</f>
        <v>707.19479999999999</v>
      </c>
      <c r="E145" s="41">
        <f>(1.7*2.78)*10.764</f>
        <v>50.870663999999998</v>
      </c>
      <c r="F145" s="41">
        <f t="shared" si="9"/>
        <v>758.06546400000002</v>
      </c>
      <c r="G145" s="41">
        <v>0</v>
      </c>
      <c r="H145" s="41">
        <f t="shared" si="10"/>
        <v>1137.0981959999999</v>
      </c>
      <c r="I145" s="35"/>
      <c r="K145" s="106"/>
      <c r="L145" s="247" t="s">
        <v>457</v>
      </c>
      <c r="M145" s="247"/>
      <c r="N145" s="105">
        <f>31000/1.5</f>
        <v>20666.666666666668</v>
      </c>
      <c r="T145" s="21"/>
    </row>
    <row r="146" spans="1:20" s="36" customFormat="1" ht="15.75" customHeight="1" x14ac:dyDescent="0.25">
      <c r="A146" s="115">
        <f t="shared" si="8"/>
        <v>7</v>
      </c>
      <c r="B146" s="116"/>
      <c r="C146" s="41" t="s">
        <v>421</v>
      </c>
      <c r="D146" s="97">
        <f>(65.23)*10.764</f>
        <v>702.13571999999999</v>
      </c>
      <c r="E146" s="41">
        <f>(3.15*1.35)*10.764</f>
        <v>45.773910000000001</v>
      </c>
      <c r="F146" s="41">
        <f t="shared" si="9"/>
        <v>747.90962999999999</v>
      </c>
      <c r="G146" s="41">
        <v>0</v>
      </c>
      <c r="H146" s="41">
        <f t="shared" si="10"/>
        <v>1121.8644449999999</v>
      </c>
      <c r="I146" s="35" t="s">
        <v>450</v>
      </c>
      <c r="K146" s="106">
        <f>21100000/H146</f>
        <v>18807.97639504477</v>
      </c>
      <c r="L146" s="247" t="s">
        <v>456</v>
      </c>
      <c r="M146" s="247"/>
      <c r="N146" s="35"/>
      <c r="T146" s="21"/>
    </row>
    <row r="147" spans="1:20" s="36" customFormat="1" ht="15.75" customHeight="1" x14ac:dyDescent="0.25">
      <c r="A147" s="115">
        <f t="shared" si="8"/>
        <v>8</v>
      </c>
      <c r="B147" s="116"/>
      <c r="C147" s="41" t="s">
        <v>421</v>
      </c>
      <c r="D147" s="97">
        <f>(65.23)*10.764</f>
        <v>702.13571999999999</v>
      </c>
      <c r="E147" s="41">
        <f>(3.15*1.35)*10.764</f>
        <v>45.773910000000001</v>
      </c>
      <c r="F147" s="41">
        <f t="shared" si="9"/>
        <v>747.90962999999999</v>
      </c>
      <c r="G147" s="41">
        <v>0</v>
      </c>
      <c r="H147" s="41">
        <f t="shared" si="10"/>
        <v>1121.8644449999999</v>
      </c>
      <c r="I147" s="35"/>
      <c r="K147" s="106">
        <f>22800000/H147</f>
        <v>20323.310986114728</v>
      </c>
      <c r="L147" s="272">
        <f>24000000/H147</f>
        <v>21392.958932752346</v>
      </c>
      <c r="M147" s="272"/>
      <c r="N147" s="35"/>
      <c r="T147" s="21"/>
    </row>
    <row r="148" spans="1:20" s="36" customFormat="1" x14ac:dyDescent="0.25">
      <c r="A148" s="117" t="s">
        <v>423</v>
      </c>
      <c r="B148" s="118"/>
      <c r="C148" s="118"/>
      <c r="D148" s="118"/>
      <c r="E148" s="118"/>
      <c r="F148" s="118"/>
      <c r="G148" s="118"/>
      <c r="H148" s="119"/>
      <c r="I148" s="36">
        <v>2</v>
      </c>
      <c r="J148" s="35"/>
    </row>
    <row r="149" spans="1:20" s="36" customFormat="1" ht="15.75" customHeight="1" x14ac:dyDescent="0.25">
      <c r="A149" s="115">
        <v>1</v>
      </c>
      <c r="B149" s="116"/>
      <c r="C149" s="41" t="s">
        <v>422</v>
      </c>
      <c r="D149" s="41">
        <f>(87.34)*10.764</f>
        <v>940.12775999999997</v>
      </c>
      <c r="E149" s="41">
        <f>((1.7*2.78)+1.7*2.98)*10.764</f>
        <v>105.40108799999999</v>
      </c>
      <c r="F149" s="41">
        <f>D149+E149</f>
        <v>1045.5288479999999</v>
      </c>
      <c r="G149" s="41">
        <v>0</v>
      </c>
      <c r="H149" s="41">
        <f>F149*(($H$123)+1)+(IF(G149&lt;101,G149,IF(G149&lt;201,G149/2,IF(G149&lt;=301,G149/3,G149/4))))</f>
        <v>1568.2932719999999</v>
      </c>
      <c r="I149" s="35"/>
      <c r="L149" s="247"/>
      <c r="M149" s="247"/>
      <c r="N149" s="35"/>
    </row>
    <row r="150" spans="1:20" s="36" customFormat="1" ht="15.75" customHeight="1" x14ac:dyDescent="0.25">
      <c r="A150" s="115">
        <f>A149+1</f>
        <v>2</v>
      </c>
      <c r="B150" s="116"/>
      <c r="C150" s="115" t="s">
        <v>420</v>
      </c>
      <c r="D150" s="149"/>
      <c r="E150" s="149"/>
      <c r="F150" s="149"/>
      <c r="G150" s="149"/>
      <c r="H150" s="116"/>
      <c r="I150" s="35"/>
      <c r="L150" s="247"/>
      <c r="M150" s="247"/>
      <c r="N150" s="35"/>
    </row>
    <row r="151" spans="1:20" s="36" customFormat="1" ht="15.75" customHeight="1" x14ac:dyDescent="0.25">
      <c r="A151" s="115">
        <f>A150+1</f>
        <v>3</v>
      </c>
      <c r="B151" s="116"/>
      <c r="C151" s="41" t="s">
        <v>421</v>
      </c>
      <c r="D151" s="41">
        <f>(69.38)*10.764</f>
        <v>746.80631999999991</v>
      </c>
      <c r="E151" s="41">
        <f>(3.2*1.35)*10.764</f>
        <v>46.500480000000003</v>
      </c>
      <c r="F151" s="41">
        <f>D151+E151</f>
        <v>793.30679999999995</v>
      </c>
      <c r="G151" s="41">
        <v>0</v>
      </c>
      <c r="H151" s="41">
        <f>F151*(($H$123)+1)+(IF(G151&lt;101,G151,IF(G151&lt;201,G151/2,IF(G151&lt;=301,G151/3,G151/4))))</f>
        <v>1189.9602</v>
      </c>
      <c r="I151" s="35"/>
      <c r="L151" s="247"/>
      <c r="M151" s="247"/>
      <c r="N151" s="35"/>
    </row>
    <row r="152" spans="1:20" s="36" customFormat="1" ht="15.75" customHeight="1" x14ac:dyDescent="0.25">
      <c r="A152" s="115">
        <f>A151+1</f>
        <v>4</v>
      </c>
      <c r="B152" s="116"/>
      <c r="C152" s="41" t="s">
        <v>421</v>
      </c>
      <c r="D152" s="41">
        <f>(69.38)*10.764</f>
        <v>746.80631999999991</v>
      </c>
      <c r="E152" s="41">
        <f>(3.2*1.35)*10.764</f>
        <v>46.500480000000003</v>
      </c>
      <c r="F152" s="41">
        <f>D152+E152</f>
        <v>793.30679999999995</v>
      </c>
      <c r="G152" s="41">
        <v>0</v>
      </c>
      <c r="H152" s="41">
        <f>F152*(($H$123)+1)+(IF(G152&lt;101,G152,IF(G152&lt;201,G152/2,IF(G152&lt;=301,G152/3,G152/4))))</f>
        <v>1189.9602</v>
      </c>
      <c r="I152" s="35"/>
      <c r="L152" s="247"/>
      <c r="M152" s="247"/>
      <c r="N152" s="35"/>
      <c r="T152" s="21"/>
    </row>
    <row r="153" spans="1:20" s="36" customFormat="1" ht="15.75" customHeight="1" x14ac:dyDescent="0.25">
      <c r="A153" s="115">
        <f t="shared" ref="A153:A156" si="11">A152+1</f>
        <v>5</v>
      </c>
      <c r="B153" s="116"/>
      <c r="C153" s="115" t="s">
        <v>420</v>
      </c>
      <c r="D153" s="149"/>
      <c r="E153" s="149"/>
      <c r="F153" s="149"/>
      <c r="G153" s="149"/>
      <c r="H153" s="116"/>
      <c r="I153" s="35"/>
      <c r="L153" s="247"/>
      <c r="M153" s="247"/>
      <c r="N153" s="35"/>
      <c r="T153" s="21"/>
    </row>
    <row r="154" spans="1:20" s="36" customFormat="1" ht="15.75" customHeight="1" x14ac:dyDescent="0.25">
      <c r="A154" s="115">
        <f t="shared" si="11"/>
        <v>6</v>
      </c>
      <c r="B154" s="116"/>
      <c r="C154" s="41" t="s">
        <v>422</v>
      </c>
      <c r="D154" s="41">
        <f>(85.45)*10.764</f>
        <v>919.78379999999993</v>
      </c>
      <c r="E154" s="97">
        <f>((1.7*2.78)+1.7*2.98)*10.764</f>
        <v>105.40108799999999</v>
      </c>
      <c r="F154" s="41">
        <f t="shared" ref="F154:F156" si="12">D154+E154</f>
        <v>1025.184888</v>
      </c>
      <c r="G154" s="41">
        <v>0</v>
      </c>
      <c r="H154" s="41">
        <f t="shared" ref="H154:H156" si="13">F154*(($H$123)+1)+(IF(G154&lt;101,G154,IF(G154&lt;201,G154/2,IF(G154&lt;=301,G154/3,G154/4))))</f>
        <v>1537.7773320000001</v>
      </c>
      <c r="I154" s="35"/>
      <c r="L154" s="247"/>
      <c r="M154" s="247"/>
      <c r="N154" s="35"/>
      <c r="T154" s="21"/>
    </row>
    <row r="155" spans="1:20" s="36" customFormat="1" ht="15.75" customHeight="1" x14ac:dyDescent="0.25">
      <c r="A155" s="115">
        <f t="shared" si="11"/>
        <v>7</v>
      </c>
      <c r="B155" s="116"/>
      <c r="C155" s="41" t="s">
        <v>421</v>
      </c>
      <c r="D155" s="97">
        <f>(65.23)*10.764</f>
        <v>702.13571999999999</v>
      </c>
      <c r="E155" s="41">
        <f>(3.15*1.35)*10.764</f>
        <v>45.773910000000001</v>
      </c>
      <c r="F155" s="41">
        <f t="shared" si="12"/>
        <v>747.90962999999999</v>
      </c>
      <c r="G155" s="41">
        <v>0</v>
      </c>
      <c r="H155" s="41">
        <f t="shared" si="13"/>
        <v>1121.8644449999999</v>
      </c>
      <c r="I155" s="35"/>
      <c r="L155" s="247"/>
      <c r="M155" s="247"/>
      <c r="N155" s="35"/>
      <c r="T155" s="21"/>
    </row>
    <row r="156" spans="1:20" s="36" customFormat="1" ht="15.75" customHeight="1" x14ac:dyDescent="0.25">
      <c r="A156" s="115">
        <f t="shared" si="11"/>
        <v>8</v>
      </c>
      <c r="B156" s="116"/>
      <c r="C156" s="41" t="s">
        <v>421</v>
      </c>
      <c r="D156" s="97">
        <f>(65.23)*10.764</f>
        <v>702.13571999999999</v>
      </c>
      <c r="E156" s="41">
        <f>(3.15*1.35)*10.764</f>
        <v>45.773910000000001</v>
      </c>
      <c r="F156" s="41">
        <f t="shared" si="12"/>
        <v>747.90962999999999</v>
      </c>
      <c r="G156" s="41">
        <v>0</v>
      </c>
      <c r="H156" s="41">
        <f t="shared" si="13"/>
        <v>1121.8644449999999</v>
      </c>
      <c r="I156" s="35"/>
      <c r="L156" s="247"/>
      <c r="M156" s="247"/>
      <c r="N156" s="35"/>
      <c r="T156" s="21"/>
    </row>
    <row r="157" spans="1:20" s="36" customFormat="1" x14ac:dyDescent="0.25">
      <c r="A157" s="117" t="s">
        <v>424</v>
      </c>
      <c r="B157" s="118"/>
      <c r="C157" s="118"/>
      <c r="D157" s="118"/>
      <c r="E157" s="118"/>
      <c r="F157" s="118"/>
      <c r="G157" s="118"/>
      <c r="H157" s="119"/>
      <c r="I157" s="36">
        <v>1</v>
      </c>
      <c r="J157" s="35"/>
      <c r="K157" s="36">
        <v>20000</v>
      </c>
    </row>
    <row r="158" spans="1:20" s="36" customFormat="1" ht="15.75" customHeight="1" x14ac:dyDescent="0.25">
      <c r="A158" s="115">
        <v>1</v>
      </c>
      <c r="B158" s="116"/>
      <c r="C158" s="41" t="s">
        <v>421</v>
      </c>
      <c r="D158" s="41">
        <f>(67.59)*10.764</f>
        <v>727.53876000000002</v>
      </c>
      <c r="E158" s="41">
        <f>(1.7*2.78)*10.764</f>
        <v>50.870663999999998</v>
      </c>
      <c r="F158" s="41">
        <f>D158+E158</f>
        <v>778.40942400000006</v>
      </c>
      <c r="G158" s="41">
        <v>0</v>
      </c>
      <c r="H158" s="41">
        <f>F158*(($H$123)+1)+(IF(G158&lt;101,G158,IF(G158&lt;201,G158/2,IF(G158&lt;=301,G158/3,G158/4))))</f>
        <v>1167.6141360000001</v>
      </c>
      <c r="I158" s="35"/>
      <c r="K158" s="109">
        <f>H158*$K$157</f>
        <v>23352282.720000003</v>
      </c>
      <c r="L158" s="247"/>
      <c r="M158" s="247"/>
      <c r="N158" s="35"/>
    </row>
    <row r="159" spans="1:20" s="36" customFormat="1" ht="15.75" customHeight="1" x14ac:dyDescent="0.25">
      <c r="A159" s="115">
        <f>A158+1</f>
        <v>2</v>
      </c>
      <c r="B159" s="116"/>
      <c r="C159" s="115" t="s">
        <v>420</v>
      </c>
      <c r="D159" s="149"/>
      <c r="E159" s="149"/>
      <c r="F159" s="149"/>
      <c r="G159" s="149"/>
      <c r="H159" s="116"/>
      <c r="I159" s="35"/>
      <c r="K159" s="98">
        <f t="shared" ref="K159:K165" si="14">H159*$K$157</f>
        <v>0</v>
      </c>
      <c r="L159" s="247"/>
      <c r="M159" s="247"/>
      <c r="N159" s="35"/>
    </row>
    <row r="160" spans="1:20" s="36" customFormat="1" ht="15.75" customHeight="1" x14ac:dyDescent="0.25">
      <c r="A160" s="115">
        <f>A159+1</f>
        <v>3</v>
      </c>
      <c r="B160" s="116"/>
      <c r="C160" s="41" t="s">
        <v>421</v>
      </c>
      <c r="D160" s="41">
        <f>(69.38)*10.764</f>
        <v>746.80631999999991</v>
      </c>
      <c r="E160" s="41">
        <f>(3.2*1.35)*10.764</f>
        <v>46.500480000000003</v>
      </c>
      <c r="F160" s="41">
        <f>D160+E160</f>
        <v>793.30679999999995</v>
      </c>
      <c r="G160" s="41">
        <v>0</v>
      </c>
      <c r="H160" s="41">
        <f>F160*(($H$123)+1)+(IF(G160&lt;101,G160,IF(G160&lt;201,G160/2,IF(G160&lt;=301,G160/3,G160/4))))</f>
        <v>1189.9602</v>
      </c>
      <c r="I160" s="35"/>
      <c r="K160" s="98">
        <f t="shared" si="14"/>
        <v>23799204</v>
      </c>
      <c r="L160" s="247"/>
      <c r="M160" s="247"/>
      <c r="N160" s="35"/>
    </row>
    <row r="161" spans="1:20" s="36" customFormat="1" ht="15.75" customHeight="1" x14ac:dyDescent="0.25">
      <c r="A161" s="115">
        <f>A160+1</f>
        <v>4</v>
      </c>
      <c r="B161" s="116"/>
      <c r="C161" s="41" t="s">
        <v>421</v>
      </c>
      <c r="D161" s="41">
        <f>(69.38)*10.764</f>
        <v>746.80631999999991</v>
      </c>
      <c r="E161" s="41">
        <f>(3.2*1.35)*10.764</f>
        <v>46.500480000000003</v>
      </c>
      <c r="F161" s="41">
        <f>D161+E161</f>
        <v>793.30679999999995</v>
      </c>
      <c r="G161" s="41">
        <v>0</v>
      </c>
      <c r="H161" s="41">
        <f>F161*(($H$123)+1)+(IF(G161&lt;101,G161,IF(G161&lt;201,G161/2,IF(G161&lt;=301,G161/3,G161/4))))</f>
        <v>1189.9602</v>
      </c>
      <c r="I161" s="35"/>
      <c r="K161" s="98">
        <f t="shared" si="14"/>
        <v>23799204</v>
      </c>
      <c r="L161" s="247"/>
      <c r="M161" s="247"/>
      <c r="N161" s="35"/>
      <c r="T161" s="21"/>
    </row>
    <row r="162" spans="1:20" s="36" customFormat="1" ht="15.75" customHeight="1" x14ac:dyDescent="0.25">
      <c r="A162" s="115">
        <f t="shared" ref="A162:A165" si="15">A161+1</f>
        <v>5</v>
      </c>
      <c r="B162" s="116"/>
      <c r="C162" s="115" t="s">
        <v>420</v>
      </c>
      <c r="D162" s="149"/>
      <c r="E162" s="149"/>
      <c r="F162" s="149"/>
      <c r="G162" s="149"/>
      <c r="H162" s="116"/>
      <c r="I162" s="35"/>
      <c r="K162" s="98">
        <f t="shared" si="14"/>
        <v>0</v>
      </c>
      <c r="L162" s="247"/>
      <c r="M162" s="247"/>
      <c r="N162" s="35"/>
      <c r="T162" s="21"/>
    </row>
    <row r="163" spans="1:20" s="36" customFormat="1" ht="15.75" customHeight="1" x14ac:dyDescent="0.25">
      <c r="A163" s="115">
        <f t="shared" si="15"/>
        <v>6</v>
      </c>
      <c r="B163" s="116"/>
      <c r="C163" s="41" t="s">
        <v>421</v>
      </c>
      <c r="D163" s="41">
        <f>(65.7)*10.764</f>
        <v>707.19479999999999</v>
      </c>
      <c r="E163" s="41">
        <f>(1.7*2.78)*10.764</f>
        <v>50.870663999999998</v>
      </c>
      <c r="F163" s="41">
        <f t="shared" ref="F163:F165" si="16">D163+E163</f>
        <v>758.06546400000002</v>
      </c>
      <c r="G163" s="41">
        <v>0</v>
      </c>
      <c r="H163" s="41">
        <f t="shared" ref="H163:H165" si="17">F163*(($H$123)+1)+(IF(G163&lt;101,G163,IF(G163&lt;201,G163/2,IF(G163&lt;=301,G163/3,G163/4))))</f>
        <v>1137.0981959999999</v>
      </c>
      <c r="I163" s="35"/>
      <c r="K163" s="98">
        <f t="shared" si="14"/>
        <v>22741963.919999998</v>
      </c>
      <c r="L163" s="247"/>
      <c r="M163" s="247"/>
      <c r="N163" s="35"/>
      <c r="T163" s="21"/>
    </row>
    <row r="164" spans="1:20" s="36" customFormat="1" ht="15.75" customHeight="1" x14ac:dyDescent="0.25">
      <c r="A164" s="115">
        <f t="shared" si="15"/>
        <v>7</v>
      </c>
      <c r="B164" s="116"/>
      <c r="C164" s="41" t="s">
        <v>421</v>
      </c>
      <c r="D164" s="97">
        <f>(65.23)*10.764</f>
        <v>702.13571999999999</v>
      </c>
      <c r="E164" s="41">
        <f>(3.15*1.35)*10.764</f>
        <v>45.773910000000001</v>
      </c>
      <c r="F164" s="41">
        <f t="shared" si="16"/>
        <v>747.90962999999999</v>
      </c>
      <c r="G164" s="41">
        <v>0</v>
      </c>
      <c r="H164" s="41">
        <f t="shared" si="17"/>
        <v>1121.8644449999999</v>
      </c>
      <c r="I164" s="35"/>
      <c r="K164" s="98">
        <f t="shared" si="14"/>
        <v>22437288.899999999</v>
      </c>
      <c r="L164" s="247"/>
      <c r="M164" s="247"/>
      <c r="N164" s="35"/>
      <c r="T164" s="21"/>
    </row>
    <row r="165" spans="1:20" s="36" customFormat="1" ht="15.75" customHeight="1" x14ac:dyDescent="0.25">
      <c r="A165" s="115">
        <f t="shared" si="15"/>
        <v>8</v>
      </c>
      <c r="B165" s="116"/>
      <c r="C165" s="41" t="s">
        <v>421</v>
      </c>
      <c r="D165" s="97">
        <f>(65.23)*10.764</f>
        <v>702.13571999999999</v>
      </c>
      <c r="E165" s="41">
        <f>(3.15*1.35)*10.764</f>
        <v>45.773910000000001</v>
      </c>
      <c r="F165" s="41">
        <f t="shared" si="16"/>
        <v>747.90962999999999</v>
      </c>
      <c r="G165" s="41">
        <v>0</v>
      </c>
      <c r="H165" s="41">
        <f t="shared" si="17"/>
        <v>1121.8644449999999</v>
      </c>
      <c r="I165" s="35"/>
      <c r="K165" s="106">
        <f t="shared" si="14"/>
        <v>22437288.899999999</v>
      </c>
      <c r="L165" s="247"/>
      <c r="M165" s="247"/>
      <c r="N165" s="35"/>
      <c r="T165" s="21"/>
    </row>
    <row r="166" spans="1:20" s="36" customFormat="1" x14ac:dyDescent="0.25">
      <c r="A166" s="117" t="s">
        <v>425</v>
      </c>
      <c r="B166" s="118"/>
      <c r="C166" s="118"/>
      <c r="D166" s="118"/>
      <c r="E166" s="118"/>
      <c r="F166" s="118"/>
      <c r="G166" s="118"/>
      <c r="H166" s="119"/>
      <c r="I166" s="36">
        <v>1</v>
      </c>
      <c r="J166" s="35"/>
    </row>
    <row r="167" spans="1:20" s="36" customFormat="1" ht="15.75" customHeight="1" x14ac:dyDescent="0.25">
      <c r="A167" s="115">
        <v>1</v>
      </c>
      <c r="B167" s="116"/>
      <c r="C167" s="41" t="s">
        <v>421</v>
      </c>
      <c r="D167" s="41">
        <f>(67.59)*10.764</f>
        <v>727.53876000000002</v>
      </c>
      <c r="E167" s="41">
        <f>(1.7*2.78)*10.764</f>
        <v>50.870663999999998</v>
      </c>
      <c r="F167" s="41">
        <f>D167+E167</f>
        <v>778.40942400000006</v>
      </c>
      <c r="G167" s="41">
        <v>0</v>
      </c>
      <c r="H167" s="41">
        <f>F167*(($H$123)+1)+(IF(G167&lt;101,G167,IF(G167&lt;201,G167/2,IF(G167&lt;=301,G167/3,G167/4))))</f>
        <v>1167.6141360000001</v>
      </c>
      <c r="I167" s="35"/>
      <c r="L167" s="247"/>
      <c r="M167" s="247"/>
      <c r="N167" s="35"/>
    </row>
    <row r="168" spans="1:20" s="36" customFormat="1" ht="15.75" customHeight="1" x14ac:dyDescent="0.25">
      <c r="A168" s="115">
        <f>A167+1</f>
        <v>2</v>
      </c>
      <c r="B168" s="116"/>
      <c r="C168" s="41" t="s">
        <v>422</v>
      </c>
      <c r="D168" s="41">
        <f>(91.77)*10.764</f>
        <v>987.81227999999987</v>
      </c>
      <c r="E168" s="41">
        <f>(1.7*2.98+2.3*0.9)*10.764</f>
        <v>76.811903999999984</v>
      </c>
      <c r="F168" s="41">
        <f>D168+E168</f>
        <v>1064.6241839999998</v>
      </c>
      <c r="G168" s="41">
        <v>0</v>
      </c>
      <c r="H168" s="41">
        <f>F168*(($H$123)+1)+(IF(G168&lt;101,G168,IF(G168&lt;201,G168/2,IF(G168&lt;=301,G168/3,G168/4))))</f>
        <v>1596.9362759999997</v>
      </c>
      <c r="I168" s="35"/>
      <c r="L168" s="247"/>
      <c r="M168" s="247"/>
      <c r="N168" s="35"/>
    </row>
    <row r="169" spans="1:20" s="36" customFormat="1" ht="45" customHeight="1" x14ac:dyDescent="0.25">
      <c r="A169" s="115">
        <f>A168+1</f>
        <v>3</v>
      </c>
      <c r="B169" s="116"/>
      <c r="C169" s="41" t="s">
        <v>451</v>
      </c>
      <c r="D169" s="41">
        <f>(138.71)*10.764</f>
        <v>1493.0744400000001</v>
      </c>
      <c r="E169" s="41">
        <f>((3.2*1.35)*2)*10.764</f>
        <v>93.000960000000006</v>
      </c>
      <c r="F169" s="41">
        <f>D169+E169</f>
        <v>1586.0754000000002</v>
      </c>
      <c r="G169" s="41">
        <v>0</v>
      </c>
      <c r="H169" s="41">
        <f>F169*(($H$123)+1)+(IF(G169&lt;101,G169,IF(G169&lt;201,G169/2,IF(G169&lt;=301,G169/3,G169/4))))</f>
        <v>2379.1131000000005</v>
      </c>
      <c r="I169" s="35"/>
      <c r="L169" s="247"/>
      <c r="M169" s="247"/>
      <c r="N169" s="35"/>
    </row>
    <row r="170" spans="1:20" s="36" customFormat="1" ht="48.75" customHeight="1" x14ac:dyDescent="0.25">
      <c r="A170" s="115">
        <f>A169+1</f>
        <v>4</v>
      </c>
      <c r="B170" s="116"/>
      <c r="C170" s="97" t="s">
        <v>451</v>
      </c>
      <c r="D170" s="41">
        <f>(138.71)*10.764</f>
        <v>1493.0744400000001</v>
      </c>
      <c r="E170" s="41">
        <f>((3.2*1.35)*2)*10.764</f>
        <v>93.000960000000006</v>
      </c>
      <c r="F170" s="41">
        <f>D170+E170</f>
        <v>1586.0754000000002</v>
      </c>
      <c r="G170" s="41">
        <v>0</v>
      </c>
      <c r="H170" s="41">
        <f>F170*(($H$123)+1)+(IF(G170&lt;101,G170,IF(G170&lt;201,G170/2,IF(G170&lt;=301,G170/3,G170/4))))</f>
        <v>2379.1131000000005</v>
      </c>
      <c r="I170" s="35"/>
      <c r="L170" s="247"/>
      <c r="M170" s="247"/>
      <c r="N170" s="35"/>
      <c r="T170" s="21"/>
    </row>
    <row r="171" spans="1:20" s="36" customFormat="1" ht="15.75" customHeight="1" x14ac:dyDescent="0.25">
      <c r="A171" s="115">
        <f t="shared" ref="A171:A174" si="18">A170+1</f>
        <v>5</v>
      </c>
      <c r="B171" s="116"/>
      <c r="C171" s="41" t="s">
        <v>422</v>
      </c>
      <c r="D171" s="41">
        <f>(91.77)*10.764</f>
        <v>987.81227999999987</v>
      </c>
      <c r="E171" s="41">
        <f>(1.7*2.98+2.3*0.9)*10.764</f>
        <v>76.811903999999984</v>
      </c>
      <c r="F171" s="41">
        <f t="shared" ref="F171:F174" si="19">D171+E171</f>
        <v>1064.6241839999998</v>
      </c>
      <c r="G171" s="41">
        <v>0</v>
      </c>
      <c r="H171" s="41">
        <f t="shared" ref="H171:H174" si="20">F171*(($H$123)+1)+(IF(G171&lt;101,G171,IF(G171&lt;201,G171/2,IF(G171&lt;=301,G171/3,G171/4))))</f>
        <v>1596.9362759999997</v>
      </c>
      <c r="I171" s="35"/>
      <c r="L171" s="247"/>
      <c r="M171" s="247"/>
      <c r="N171" s="35"/>
      <c r="T171" s="21"/>
    </row>
    <row r="172" spans="1:20" s="36" customFormat="1" ht="15.75" customHeight="1" x14ac:dyDescent="0.25">
      <c r="A172" s="115">
        <f t="shared" si="18"/>
        <v>6</v>
      </c>
      <c r="B172" s="116"/>
      <c r="C172" s="41" t="s">
        <v>421</v>
      </c>
      <c r="D172" s="41">
        <f>(65.7)*10.764</f>
        <v>707.19479999999999</v>
      </c>
      <c r="E172" s="41">
        <f>(1.7*2.78)*10.764</f>
        <v>50.870663999999998</v>
      </c>
      <c r="F172" s="41">
        <f t="shared" si="19"/>
        <v>758.06546400000002</v>
      </c>
      <c r="G172" s="41">
        <v>0</v>
      </c>
      <c r="H172" s="41">
        <f t="shared" si="20"/>
        <v>1137.0981959999999</v>
      </c>
      <c r="I172" s="35"/>
      <c r="L172" s="247"/>
      <c r="M172" s="247"/>
      <c r="N172" s="35"/>
      <c r="T172" s="21"/>
    </row>
    <row r="173" spans="1:20" s="36" customFormat="1" ht="15.75" customHeight="1" x14ac:dyDescent="0.25">
      <c r="A173" s="115">
        <f t="shared" si="18"/>
        <v>7</v>
      </c>
      <c r="B173" s="116"/>
      <c r="C173" s="41" t="s">
        <v>421</v>
      </c>
      <c r="D173" s="97">
        <f>(65.23)*10.764</f>
        <v>702.13571999999999</v>
      </c>
      <c r="E173" s="41">
        <f>(3.15*1.35)*10.764</f>
        <v>45.773910000000001</v>
      </c>
      <c r="F173" s="41">
        <f t="shared" si="19"/>
        <v>747.90962999999999</v>
      </c>
      <c r="G173" s="41">
        <v>0</v>
      </c>
      <c r="H173" s="41">
        <f t="shared" si="20"/>
        <v>1121.8644449999999</v>
      </c>
      <c r="I173" s="35"/>
      <c r="L173" s="247"/>
      <c r="M173" s="247"/>
      <c r="N173" s="35"/>
      <c r="T173" s="21"/>
    </row>
    <row r="174" spans="1:20" s="36" customFormat="1" ht="15.75" customHeight="1" x14ac:dyDescent="0.25">
      <c r="A174" s="115">
        <f t="shared" si="18"/>
        <v>8</v>
      </c>
      <c r="B174" s="116"/>
      <c r="C174" s="41" t="s">
        <v>421</v>
      </c>
      <c r="D174" s="97">
        <f>(65.23)*10.764</f>
        <v>702.13571999999999</v>
      </c>
      <c r="E174" s="41">
        <f>(3.15*1.35)*10.764</f>
        <v>45.773910000000001</v>
      </c>
      <c r="F174" s="41">
        <f t="shared" si="19"/>
        <v>747.90962999999999</v>
      </c>
      <c r="G174" s="41">
        <v>0</v>
      </c>
      <c r="H174" s="41">
        <f t="shared" si="20"/>
        <v>1121.8644449999999</v>
      </c>
      <c r="I174" s="35"/>
      <c r="L174" s="247"/>
      <c r="M174" s="247"/>
      <c r="N174" s="35"/>
      <c r="T174" s="21"/>
    </row>
    <row r="175" spans="1:20" s="36" customFormat="1" x14ac:dyDescent="0.25">
      <c r="A175" s="185" t="s">
        <v>426</v>
      </c>
      <c r="B175" s="185"/>
      <c r="C175" s="185"/>
      <c r="D175" s="185"/>
      <c r="E175" s="185"/>
      <c r="F175" s="185"/>
      <c r="G175" s="185"/>
      <c r="H175" s="185"/>
      <c r="I175" s="35">
        <v>1</v>
      </c>
      <c r="L175" s="247"/>
      <c r="M175" s="247"/>
    </row>
    <row r="176" spans="1:20" s="36" customFormat="1" x14ac:dyDescent="0.25">
      <c r="A176" s="151">
        <v>1</v>
      </c>
      <c r="B176" s="151"/>
      <c r="C176" s="41" t="s">
        <v>421</v>
      </c>
      <c r="D176" s="41">
        <f>(68.16)*10.764</f>
        <v>733.67423999999994</v>
      </c>
      <c r="E176" s="41">
        <f>(3.8*2.4+1.7*0.38)*10.764</f>
        <v>105.121224</v>
      </c>
      <c r="F176" s="41">
        <f>D176+E176</f>
        <v>838.79546399999992</v>
      </c>
      <c r="G176" s="41">
        <v>0</v>
      </c>
      <c r="H176" s="41">
        <f>F176*(($H$123)+1)+(IF(G176&lt;101,G176,IF(G176&lt;201,G176/2,IF(G176&lt;=301,G176/3,G176/4))))</f>
        <v>1258.1931959999999</v>
      </c>
      <c r="I176" s="35"/>
      <c r="N176" s="35"/>
    </row>
    <row r="177" spans="1:14" s="36" customFormat="1" x14ac:dyDescent="0.25">
      <c r="A177" s="151">
        <f>A176+1</f>
        <v>2</v>
      </c>
      <c r="B177" s="151"/>
      <c r="C177" s="41" t="s">
        <v>422</v>
      </c>
      <c r="D177" s="41">
        <f>(92.53)*10.764</f>
        <v>995.99291999999991</v>
      </c>
      <c r="E177" s="41">
        <f>(3.8*2.38+1.7*0.6+3.25*1.7+2.3*0.9)*10.764</f>
        <v>190.08147599999998</v>
      </c>
      <c r="F177" s="41">
        <f>D177+E177</f>
        <v>1186.074396</v>
      </c>
      <c r="G177" s="41">
        <v>0</v>
      </c>
      <c r="H177" s="41">
        <f>F177*(($H$123)+1)+(IF(G177&lt;101,G177,IF(G177&lt;201,G177/2,IF(G177&lt;=301,G177/3,G177/4))))</f>
        <v>1779.111594</v>
      </c>
      <c r="I177" s="35"/>
      <c r="N177" s="35"/>
    </row>
    <row r="178" spans="1:14" s="36" customFormat="1" x14ac:dyDescent="0.25">
      <c r="A178" s="151">
        <f>A177+1</f>
        <v>3</v>
      </c>
      <c r="B178" s="151"/>
      <c r="C178" s="115" t="s">
        <v>452</v>
      </c>
      <c r="D178" s="149"/>
      <c r="E178" s="149"/>
      <c r="F178" s="149"/>
      <c r="G178" s="149"/>
      <c r="H178" s="116"/>
      <c r="I178" s="35"/>
      <c r="N178" s="35"/>
    </row>
    <row r="179" spans="1:14" s="36" customFormat="1" ht="15.6" customHeight="1" x14ac:dyDescent="0.25">
      <c r="A179" s="151">
        <f>A178+1</f>
        <v>4</v>
      </c>
      <c r="B179" s="151"/>
      <c r="C179" s="115" t="s">
        <v>452</v>
      </c>
      <c r="D179" s="149"/>
      <c r="E179" s="149"/>
      <c r="F179" s="149"/>
      <c r="G179" s="149"/>
      <c r="H179" s="116"/>
      <c r="I179" s="35"/>
      <c r="N179" s="35"/>
    </row>
    <row r="180" spans="1:14" s="36" customFormat="1" x14ac:dyDescent="0.25">
      <c r="A180" s="151">
        <f>A179+1</f>
        <v>5</v>
      </c>
      <c r="B180" s="151"/>
      <c r="C180" s="41" t="s">
        <v>422</v>
      </c>
      <c r="D180" s="41">
        <f>(92.53)*10.764</f>
        <v>995.99291999999991</v>
      </c>
      <c r="E180" s="41">
        <f>(3.8*2.38+1.7*0.6+3.25*1.7+2.3*0.9)*10.764</f>
        <v>190.08147599999998</v>
      </c>
      <c r="F180" s="41">
        <f>D180+E180</f>
        <v>1186.074396</v>
      </c>
      <c r="G180" s="41">
        <v>0</v>
      </c>
      <c r="H180" s="41">
        <f>F180*(($H$123)+1)+(IF(G180&lt;101,G180,IF(G180&lt;201,G180/2,IF(G180&lt;=301,G180/3,G180/4))))</f>
        <v>1779.111594</v>
      </c>
      <c r="I180" s="35"/>
      <c r="N180" s="35"/>
    </row>
    <row r="181" spans="1:14" s="36" customFormat="1" x14ac:dyDescent="0.25">
      <c r="A181" s="151">
        <f t="shared" ref="A181:A183" si="21">A180+1</f>
        <v>6</v>
      </c>
      <c r="B181" s="151"/>
      <c r="C181" s="41" t="s">
        <v>421</v>
      </c>
      <c r="D181" s="41">
        <f>(66.27)*10.764</f>
        <v>713.3302799999999</v>
      </c>
      <c r="E181" s="41">
        <f>(3.8*3)*10.764</f>
        <v>122.70959999999998</v>
      </c>
      <c r="F181" s="41">
        <f t="shared" ref="F181:F183" si="22">D181+E181</f>
        <v>836.03987999999993</v>
      </c>
      <c r="G181" s="41">
        <v>0</v>
      </c>
      <c r="H181" s="41">
        <f t="shared" ref="H181:H183" si="23">F181*(($H$123)+1)+(IF(G181&lt;101,G181,IF(G181&lt;201,G181/2,IF(G181&lt;=301,G181/3,G181/4))))</f>
        <v>1254.0598199999999</v>
      </c>
      <c r="I181" s="35"/>
      <c r="N181" s="35"/>
    </row>
    <row r="182" spans="1:14" s="36" customFormat="1" x14ac:dyDescent="0.25">
      <c r="A182" s="151">
        <f t="shared" si="21"/>
        <v>7</v>
      </c>
      <c r="B182" s="151"/>
      <c r="C182" s="41" t="s">
        <v>421</v>
      </c>
      <c r="D182" s="97">
        <f>(65.23)*10.764</f>
        <v>702.13571999999999</v>
      </c>
      <c r="E182" s="41">
        <f>(3.15*1.35)*10.764</f>
        <v>45.773910000000001</v>
      </c>
      <c r="F182" s="41">
        <f t="shared" si="22"/>
        <v>747.90962999999999</v>
      </c>
      <c r="G182" s="41">
        <v>0</v>
      </c>
      <c r="H182" s="41">
        <f t="shared" si="23"/>
        <v>1121.8644449999999</v>
      </c>
      <c r="I182" s="35"/>
      <c r="N182" s="35"/>
    </row>
    <row r="183" spans="1:14" s="36" customFormat="1" x14ac:dyDescent="0.25">
      <c r="A183" s="151">
        <f t="shared" si="21"/>
        <v>8</v>
      </c>
      <c r="B183" s="151"/>
      <c r="C183" s="41" t="s">
        <v>421</v>
      </c>
      <c r="D183" s="97">
        <f>(65.23)*10.764</f>
        <v>702.13571999999999</v>
      </c>
      <c r="E183" s="41">
        <f>(3.15*1.35)*10.764</f>
        <v>45.773910000000001</v>
      </c>
      <c r="F183" s="41">
        <f t="shared" si="22"/>
        <v>747.90962999999999</v>
      </c>
      <c r="G183" s="41">
        <v>0</v>
      </c>
      <c r="H183" s="41">
        <f t="shared" si="23"/>
        <v>1121.8644449999999</v>
      </c>
      <c r="I183" s="35"/>
      <c r="N183" s="35"/>
    </row>
    <row r="184" spans="1:14" s="36" customFormat="1" x14ac:dyDescent="0.25">
      <c r="A184" s="185" t="s">
        <v>427</v>
      </c>
      <c r="B184" s="185"/>
      <c r="C184" s="185"/>
      <c r="D184" s="185"/>
      <c r="E184" s="185"/>
      <c r="F184" s="185"/>
      <c r="G184" s="185"/>
      <c r="H184" s="185"/>
      <c r="I184" s="35">
        <v>1</v>
      </c>
      <c r="L184" s="247"/>
      <c r="M184" s="247"/>
    </row>
    <row r="185" spans="1:14" s="36" customFormat="1" x14ac:dyDescent="0.25">
      <c r="A185" s="151">
        <v>1</v>
      </c>
      <c r="B185" s="151"/>
      <c r="C185" s="41" t="s">
        <v>421</v>
      </c>
      <c r="D185" s="97">
        <f>(68.16)*10.764</f>
        <v>733.67423999999994</v>
      </c>
      <c r="E185" s="97">
        <f>(3.8*2.4+1.7*0.38)*10.764</f>
        <v>105.121224</v>
      </c>
      <c r="F185" s="41">
        <f>D185+E185</f>
        <v>838.79546399999992</v>
      </c>
      <c r="G185" s="41">
        <v>0</v>
      </c>
      <c r="H185" s="41">
        <f>F185*(($H$123)+1)+(IF(G185&lt;101,G185,IF(G185&lt;201,G185/2,IF(G185&lt;=301,G185/3,G185/4))))</f>
        <v>1258.1931959999999</v>
      </c>
      <c r="I185" s="35"/>
      <c r="N185" s="35"/>
    </row>
    <row r="186" spans="1:14" s="36" customFormat="1" x14ac:dyDescent="0.25">
      <c r="A186" s="151">
        <f>A185+1</f>
        <v>2</v>
      </c>
      <c r="B186" s="151"/>
      <c r="C186" s="41" t="s">
        <v>422</v>
      </c>
      <c r="D186" s="97">
        <f>(92.53)*10.764</f>
        <v>995.99291999999991</v>
      </c>
      <c r="E186" s="97">
        <f>(3.8*2.38+1.7*0.6+3.25*1.7+2.3*0.9)*10.764</f>
        <v>190.08147599999998</v>
      </c>
      <c r="F186" s="41">
        <f>D186+E186</f>
        <v>1186.074396</v>
      </c>
      <c r="G186" s="41">
        <v>0</v>
      </c>
      <c r="H186" s="41">
        <f>F186*(($H$123)+1)+(IF(G186&lt;101,G186,IF(G186&lt;201,G186/2,IF(G186&lt;=301,G186/3,G186/4))))</f>
        <v>1779.111594</v>
      </c>
      <c r="I186" s="35"/>
      <c r="N186" s="35"/>
    </row>
    <row r="187" spans="1:14" s="36" customFormat="1" x14ac:dyDescent="0.25">
      <c r="A187" s="151">
        <f>A186+1</f>
        <v>3</v>
      </c>
      <c r="B187" s="151"/>
      <c r="C187" s="41" t="s">
        <v>421</v>
      </c>
      <c r="D187" s="41">
        <f>(69.38)*10.764</f>
        <v>746.80631999999991</v>
      </c>
      <c r="E187" s="41">
        <f>(3.2*1.35)*10.764</f>
        <v>46.500480000000003</v>
      </c>
      <c r="F187" s="41">
        <f>D187+E187</f>
        <v>793.30679999999995</v>
      </c>
      <c r="G187" s="41">
        <v>0</v>
      </c>
      <c r="H187" s="41">
        <f>F187*(($H$123)+1)+(IF(G187&lt;101,G187,IF(G187&lt;201,G187/2,IF(G187&lt;=301,G187/3,G187/4))))</f>
        <v>1189.9602</v>
      </c>
      <c r="I187" s="35"/>
      <c r="N187" s="35"/>
    </row>
    <row r="188" spans="1:14" s="36" customFormat="1" x14ac:dyDescent="0.25">
      <c r="A188" s="151">
        <f>A187+1</f>
        <v>4</v>
      </c>
      <c r="B188" s="151"/>
      <c r="C188" s="273" t="s">
        <v>428</v>
      </c>
      <c r="D188" s="274"/>
      <c r="E188" s="274"/>
      <c r="F188" s="274"/>
      <c r="G188" s="274"/>
      <c r="H188" s="275"/>
      <c r="I188" s="35"/>
      <c r="N188" s="35"/>
    </row>
    <row r="189" spans="1:14" s="36" customFormat="1" x14ac:dyDescent="0.25">
      <c r="A189" s="151">
        <f>A188+1</f>
        <v>5</v>
      </c>
      <c r="B189" s="151"/>
      <c r="C189" s="276"/>
      <c r="D189" s="277"/>
      <c r="E189" s="277"/>
      <c r="F189" s="277"/>
      <c r="G189" s="277"/>
      <c r="H189" s="278"/>
      <c r="I189" s="35"/>
      <c r="N189" s="35"/>
    </row>
    <row r="190" spans="1:14" s="36" customFormat="1" x14ac:dyDescent="0.25">
      <c r="A190" s="151">
        <f t="shared" ref="A190:A192" si="24">A189+1</f>
        <v>6</v>
      </c>
      <c r="B190" s="151"/>
      <c r="C190" s="279"/>
      <c r="D190" s="280"/>
      <c r="E190" s="280"/>
      <c r="F190" s="280"/>
      <c r="G190" s="280"/>
      <c r="H190" s="281"/>
      <c r="I190" s="35"/>
      <c r="N190" s="35"/>
    </row>
    <row r="191" spans="1:14" s="36" customFormat="1" x14ac:dyDescent="0.25">
      <c r="A191" s="151">
        <f t="shared" si="24"/>
        <v>7</v>
      </c>
      <c r="B191" s="151"/>
      <c r="C191" s="41" t="s">
        <v>421</v>
      </c>
      <c r="D191" s="97">
        <f>(65.23)*10.764</f>
        <v>702.13571999999999</v>
      </c>
      <c r="E191" s="41">
        <f>(3.15*1.35)*10.764</f>
        <v>45.773910000000001</v>
      </c>
      <c r="F191" s="41">
        <f t="shared" ref="F191:F192" si="25">D191+E191</f>
        <v>747.90962999999999</v>
      </c>
      <c r="G191" s="41">
        <v>0</v>
      </c>
      <c r="H191" s="41">
        <f>F191*(($H$123)+1)+(IF(G191&lt;101,G191,IF(G191&lt;201,G191/2,IF(G191&lt;=301,G191/3,G191/4))))</f>
        <v>1121.8644449999999</v>
      </c>
      <c r="I191" s="35"/>
      <c r="N191" s="35"/>
    </row>
    <row r="192" spans="1:14" s="36" customFormat="1" x14ac:dyDescent="0.25">
      <c r="A192" s="151">
        <f t="shared" si="24"/>
        <v>8</v>
      </c>
      <c r="B192" s="151"/>
      <c r="C192" s="41" t="s">
        <v>421</v>
      </c>
      <c r="D192" s="97">
        <f>(65.23)*10.764</f>
        <v>702.13571999999999</v>
      </c>
      <c r="E192" s="41">
        <f>(3.15*1.35)*10.764</f>
        <v>45.773910000000001</v>
      </c>
      <c r="F192" s="41">
        <f t="shared" si="25"/>
        <v>747.90962999999999</v>
      </c>
      <c r="G192" s="41">
        <v>0</v>
      </c>
      <c r="H192" s="41">
        <f>F192*(($H$123)+1)+(IF(G192&lt;101,G192,IF(G192&lt;201,G192/2,IF(G192&lt;=301,G192/3,G192/4))))</f>
        <v>1121.8644449999999</v>
      </c>
      <c r="I192" s="35"/>
      <c r="N192" s="35"/>
    </row>
    <row r="193" spans="1:9" s="36" customFormat="1" ht="15.75" hidden="1" customHeight="1" x14ac:dyDescent="0.25">
      <c r="A193" s="117" t="s">
        <v>149</v>
      </c>
      <c r="B193" s="118"/>
      <c r="C193" s="118"/>
      <c r="D193" s="118"/>
      <c r="E193" s="118"/>
      <c r="F193" s="118"/>
      <c r="G193" s="118"/>
      <c r="H193" s="119"/>
      <c r="I193" s="35"/>
    </row>
    <row r="194" spans="1:9" s="36" customFormat="1" ht="15.75" hidden="1" customHeight="1" x14ac:dyDescent="0.25">
      <c r="A194" s="115"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10^ROW(INDIRECT("1:"&amp;LEN((LEFT(A193,SUM(LEN(A193)-LEN(SUBSTITUTE(A193,{"0","1","2"},""))))))))/10))*100+1&amp;""&amp;" ,..,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",LEN(A193))),LEN(A193)))))))/10))*100+1</f>
        <v>301 ,.., 1501</v>
      </c>
      <c r="B194" s="116"/>
      <c r="C194" s="41"/>
      <c r="D194" s="41"/>
      <c r="E194" s="41">
        <v>0</v>
      </c>
      <c r="F194" s="41">
        <f>D194+E194</f>
        <v>0</v>
      </c>
      <c r="G194" s="41">
        <v>0</v>
      </c>
      <c r="H194" s="41">
        <f>F194*(($H$123)+1)+(IF(G194&lt;101,G194,IF(G194&lt;201,G194/2,IF(G194&lt;=301,G194/3,G194/4))))</f>
        <v>0</v>
      </c>
      <c r="I194" s="35"/>
    </row>
    <row r="195" spans="1:9" s="36" customFormat="1" ht="15.75" hidden="1" customHeight="1" x14ac:dyDescent="0.25">
      <c r="A195" s="115"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10^ROW(INDIRECT("1:"&amp;LEN((LEFT(A194,SUM(LEN(A194)-LEN(SUBSTITUTE(A194,{"0","1","2"},""))))))))/10))*1+1&amp;""&amp;" ,..,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",LEN(A194))),LEN(A194)))))))/10))*1+1</f>
        <v>302 ,.., 1502</v>
      </c>
      <c r="B195" s="116"/>
      <c r="C195" s="41"/>
      <c r="D195" s="41"/>
      <c r="E195" s="41">
        <v>0</v>
      </c>
      <c r="F195" s="41">
        <f>D195+E195</f>
        <v>0</v>
      </c>
      <c r="G195" s="41">
        <v>0</v>
      </c>
      <c r="H195" s="41">
        <f>F195*(($H$123)+1)+(IF(G195&lt;101,G195,IF(G195&lt;201,G195/2,IF(G195&lt;=301,G195/3,G195/4))))</f>
        <v>0</v>
      </c>
      <c r="I195" s="35"/>
    </row>
    <row r="196" spans="1:9" s="36" customFormat="1" ht="15.75" hidden="1" customHeight="1" x14ac:dyDescent="0.25">
      <c r="A196" s="115" t="str">
        <f ca="1">(SUMPRODUCT(MID(0&amp;(LEFT(A195,SUM(LEN(A195)-LEN(SUBSTITUTE(A195,{"0","1","2"},""))))), LARGE(INDEX(ISNUMBER(--MID((LEFT(A195,SUM(LEN(A195)-LEN(SUBSTITUTE(A195,{"0","1","2"},""))))), ROW(INDIRECT("1:"&amp;LEN((LEFT(A195,SUM(LEN(A195)-LEN(SUBSTITUTE(A195,{"0","1","2"},"")))))))), 1)) * ROW(INDIRECT("1:"&amp;LEN((LEFT(A195,SUM(LEN(A195)-LEN(SUBSTITUTE(A195,{"0","1","2"},"")))))))), 0), ROW(INDIRECT("1:"&amp;LEN((LEFT(A195,SUM(LEN(A195)-LEN(SUBSTITUTE(A195,{"0","1","2"},"")))))))))+1, 1) * 10^ROW(INDIRECT("1:"&amp;LEN((LEFT(A195,SUM(LEN(A195)-LEN(SUBSTITUTE(A195,{"0","1","2"},""))))))))/10))*1+1&amp;""&amp;" ,.., "&amp;""&amp;(SUMPRODUCT(MID(0&amp;(--TRIM(RIGHT(SUBSTITUTE(LEFT(A195,_xlfn.AGGREGATE(16,6,FIND({0,1,2,3,4,5,6,7,8,9},A195,ROW(INDIRECT("1:"&amp;LEN(A195)))),1))," ",REPT(" ",LEN(A195))),LEN(A195)))), LARGE(INDEX(ISNUMBER(--MID((--TRIM(RIGHT(SUBSTITUTE(LEFT(A195,_xlfn.AGGREGATE(16,6,FIND({0,1,2,3,4,5,6,7,8,9},A195,ROW(INDIRECT("1:"&amp;LEN(A195)))),1))," ",REPT(" ",LEN(A195))),LEN(A195)))), ROW(INDIRECT("1:"&amp;LEN((--TRIM(RIGHT(SUBSTITUTE(LEFT(A195,_xlfn.AGGREGATE(16,6,FIND({0,1,2,3,4,5,6,7,8,9},A195,ROW(INDIRECT("1:"&amp;LEN(A195)))),1))," ",REPT(" ",LEN(A195))),LEN(A195))))))), 1)) * ROW(INDIRECT("1:"&amp;LEN((--TRIM(RIGHT(SUBSTITUTE(LEFT(A195,_xlfn.AGGREGATE(16,6,FIND({0,1,2,3,4,5,6,7,8,9},A195,ROW(INDIRECT("1:"&amp;LEN(A195)))),1))," ",REPT(" ",LEN(A195))),LEN(A195))))))), 0), ROW(INDIRECT("1:"&amp;LEN((--TRIM(RIGHT(SUBSTITUTE(LEFT(A195,_xlfn.AGGREGATE(16,6,FIND({0,1,2,3,4,5,6,7,8,9},A195,ROW(INDIRECT("1:"&amp;LEN(A195)))),1))," ",REPT(" ",LEN(A195))),LEN(A195))))))))+1, 1) * 10^ROW(INDIRECT("1:"&amp;LEN((--TRIM(RIGHT(SUBSTITUTE(LEFT(A195,_xlfn.AGGREGATE(16,6,FIND({0,1,2,3,4,5,6,7,8,9},A195,ROW(INDIRECT("1:"&amp;LEN(A195)))),1))," ",REPT(" ",LEN(A195))),LEN(A195)))))))/10))*1+1</f>
        <v>303 ,.., 1503</v>
      </c>
      <c r="B196" s="116"/>
      <c r="C196" s="41"/>
      <c r="D196" s="41"/>
      <c r="E196" s="41">
        <v>0</v>
      </c>
      <c r="F196" s="41">
        <f>D196+E196</f>
        <v>0</v>
      </c>
      <c r="G196" s="41">
        <v>0</v>
      </c>
      <c r="H196" s="41">
        <f>F196*(($H$123)+1)+(IF(G196&lt;101,G196,IF(G196&lt;201,G196/2,IF(G196&lt;=301,G196/3,G196/4))))</f>
        <v>0</v>
      </c>
      <c r="I196" s="35"/>
    </row>
    <row r="197" spans="1:9" s="36" customFormat="1" ht="15.75" hidden="1" customHeight="1" x14ac:dyDescent="0.25">
      <c r="A197" s="115"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10^ROW(INDIRECT("1:"&amp;LEN((LEFT(A196,SUM(LEN(A196)-LEN(SUBSTITUTE(A196,{"0","1","2"},""))))))))/10))*1+1&amp;""&amp;" ,..,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",LEN(A196))),LEN(A196)))))))/10))*1+1</f>
        <v>304 ,.., 1504</v>
      </c>
      <c r="B197" s="116"/>
      <c r="C197" s="41"/>
      <c r="D197" s="41"/>
      <c r="E197" s="41">
        <v>0</v>
      </c>
      <c r="F197" s="41">
        <f>D197+E197</f>
        <v>0</v>
      </c>
      <c r="G197" s="41">
        <v>0</v>
      </c>
      <c r="H197" s="41">
        <f>F197*(($H$123)+1)+(IF(G197&lt;101,G197,IF(G197&lt;201,G197/2,IF(G197&lt;=301,G197/3,G197/4))))</f>
        <v>0</v>
      </c>
      <c r="I197" s="35"/>
    </row>
    <row r="198" spans="1:9" s="36" customFormat="1" ht="15.75" hidden="1" customHeight="1" x14ac:dyDescent="0.25">
      <c r="A198" s="115"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10^ROW(INDIRECT("1:"&amp;LEN((LEFT(A197,SUM(LEN(A197)-LEN(SUBSTITUTE(A197,{"0","1","2"},""))))))))/10))*1+1&amp;""&amp;" ,..,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",LEN(A197))),LEN(A197)))))))/10))*1+1</f>
        <v>305 ,.., 1505</v>
      </c>
      <c r="B198" s="116"/>
      <c r="C198" s="41"/>
      <c r="D198" s="41"/>
      <c r="E198" s="41">
        <v>0</v>
      </c>
      <c r="F198" s="41">
        <f>D198+E198</f>
        <v>0</v>
      </c>
      <c r="G198" s="41">
        <v>0</v>
      </c>
      <c r="H198" s="41">
        <f>F198*(($H$123)+1)+(IF(G198&lt;101,G198,IF(G198&lt;201,G198/2,IF(G198&lt;=301,G198/3,G198/4))))</f>
        <v>0</v>
      </c>
      <c r="I198" s="35"/>
    </row>
    <row r="199" spans="1:9" s="36" customFormat="1" hidden="1" x14ac:dyDescent="0.25">
      <c r="A199" s="117" t="s">
        <v>143</v>
      </c>
      <c r="B199" s="118"/>
      <c r="C199" s="118"/>
      <c r="D199" s="118"/>
      <c r="E199" s="118"/>
      <c r="F199" s="118"/>
      <c r="G199" s="118"/>
      <c r="H199" s="119"/>
      <c r="I199" s="35"/>
    </row>
    <row r="200" spans="1:9" s="36" customFormat="1" ht="15.75" hidden="1" customHeight="1" x14ac:dyDescent="0.25">
      <c r="A200" s="115"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10^ROW(INDIRECT("1:"&amp;LEN((LEFT(A199,SUM(LEN(A199)-LEN(SUBSTITUTE(A199,{"0","1","2"},""))))))))/10))*100+1&amp;""&amp;" to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",LEN(A199))),LEN(A199)))))))/10))*100+1</f>
        <v>201 to 501</v>
      </c>
      <c r="B200" s="116"/>
      <c r="C200" s="41"/>
      <c r="D200" s="41"/>
      <c r="E200" s="41">
        <v>0</v>
      </c>
      <c r="F200" s="41">
        <f>D200+E200</f>
        <v>0</v>
      </c>
      <c r="G200" s="41">
        <v>0</v>
      </c>
      <c r="H200" s="41">
        <f>F200*(($H$123)+1)+(IF(G200&lt;101,G200,IF(G200&lt;201,G200/2,IF(G200&lt;=301,G200/3,G200/4))))</f>
        <v>0</v>
      </c>
      <c r="I200" s="35"/>
    </row>
    <row r="201" spans="1:9" s="36" customFormat="1" ht="15.75" hidden="1" customHeight="1" x14ac:dyDescent="0.25">
      <c r="A201" s="115"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to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202 to 502</v>
      </c>
      <c r="B201" s="116"/>
      <c r="C201" s="41"/>
      <c r="D201" s="41"/>
      <c r="E201" s="41">
        <v>0</v>
      </c>
      <c r="F201" s="41">
        <f>D201+E201</f>
        <v>0</v>
      </c>
      <c r="G201" s="41">
        <v>0</v>
      </c>
      <c r="H201" s="41">
        <f>F201*(($H$123)+1)+(IF(G201&lt;101,G201,IF(G201&lt;201,G201/2,IF(G201&lt;=301,G201/3,G201/4))))</f>
        <v>0</v>
      </c>
      <c r="I201" s="35"/>
    </row>
    <row r="202" spans="1:9" s="36" customFormat="1" ht="15.75" hidden="1" customHeight="1" x14ac:dyDescent="0.25">
      <c r="A202" s="115"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to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203 to 503</v>
      </c>
      <c r="B202" s="116"/>
      <c r="C202" s="41"/>
      <c r="D202" s="41"/>
      <c r="E202" s="41">
        <v>0</v>
      </c>
      <c r="F202" s="41">
        <f>D202+E202</f>
        <v>0</v>
      </c>
      <c r="G202" s="41">
        <v>0</v>
      </c>
      <c r="H202" s="41">
        <f>F202*(($H$123)+1)+(IF(G202&lt;101,G202,IF(G202&lt;201,G202/2,IF(G202&lt;=301,G202/3,G202/4))))</f>
        <v>0</v>
      </c>
      <c r="I202" s="35"/>
    </row>
    <row r="203" spans="1:9" s="36" customFormat="1" ht="15.75" hidden="1" customHeight="1" x14ac:dyDescent="0.25">
      <c r="A203" s="115"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10^ROW(INDIRECT("1:"&amp;LEN((LEFT(A202,SUM(LEN(A202)-LEN(SUBSTITUTE(A202,{"0","1","2"},""))))))))/10))*1+1&amp;""&amp;" to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",LEN(A202))),LEN(A202)))))))/10))*1+1</f>
        <v>204 to 504</v>
      </c>
      <c r="B203" s="116"/>
      <c r="C203" s="41"/>
      <c r="D203" s="41"/>
      <c r="E203" s="41">
        <v>0</v>
      </c>
      <c r="F203" s="41">
        <f>D203+E203</f>
        <v>0</v>
      </c>
      <c r="G203" s="41">
        <v>0</v>
      </c>
      <c r="H203" s="41">
        <f>F203*(($H$123)+1)+(IF(G203&lt;101,G203,IF(G203&lt;201,G203/2,IF(G203&lt;=301,G203/3,G203/4))))</f>
        <v>0</v>
      </c>
      <c r="I203" s="35"/>
    </row>
    <row r="204" spans="1:9" s="36" customFormat="1" ht="15.75" hidden="1" customHeight="1" x14ac:dyDescent="0.25">
      <c r="A204" s="115"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to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205 to 505</v>
      </c>
      <c r="B204" s="116"/>
      <c r="C204" s="41"/>
      <c r="D204" s="41"/>
      <c r="E204" s="41">
        <v>0</v>
      </c>
      <c r="F204" s="41">
        <f>D204+E204</f>
        <v>0</v>
      </c>
      <c r="G204" s="41">
        <v>0</v>
      </c>
      <c r="H204" s="41">
        <f>F204*(($H$123)+1)+(IF(G204&lt;101,G204,IF(G204&lt;201,G204/2,IF(G204&lt;=301,G204/3,G204/4))))</f>
        <v>0</v>
      </c>
      <c r="I204" s="35"/>
    </row>
    <row r="205" spans="1:9" s="36" customFormat="1" hidden="1" x14ac:dyDescent="0.25">
      <c r="A205" s="117" t="s">
        <v>144</v>
      </c>
      <c r="B205" s="118"/>
      <c r="C205" s="118"/>
      <c r="D205" s="118"/>
      <c r="E205" s="118"/>
      <c r="F205" s="118"/>
      <c r="G205" s="118"/>
      <c r="H205" s="119"/>
      <c r="I205" s="35"/>
    </row>
    <row r="206" spans="1:9" s="36" customFormat="1" ht="15.75" hidden="1" customHeight="1" x14ac:dyDescent="0.25">
      <c r="A206" s="115" t="str">
        <f ca="1">(SUMPRODUCT(MID(0&amp;(LEFT(A205,SUM(LEN(A205)-LEN(SUBSTITUTE(A205,{"0","1","2"},""))))), LARGE(INDEX(ISNUMBER(--MID((LEFT(A205,SUM(LEN(A205)-LEN(SUBSTITUTE(A205,{"0","1","2"},""))))), ROW(INDIRECT("1:"&amp;LEN((LEFT(A205,SUM(LEN(A205)-LEN(SUBSTITUTE(A205,{"0","1","2"},"")))))))), 1)) * ROW(INDIRECT("1:"&amp;LEN((LEFT(A205,SUM(LEN(A205)-LEN(SUBSTITUTE(A205,{"0","1","2"},"")))))))), 0), ROW(INDIRECT("1:"&amp;LEN((LEFT(A205,SUM(LEN(A205)-LEN(SUBSTITUTE(A205,{"0","1","2"},"")))))))))+1, 1) * 10^ROW(INDIRECT("1:"&amp;LEN((LEFT(A205,SUM(LEN(A205)-LEN(SUBSTITUTE(A205,{"0","1","2"},""))))))))/10))*100+1&amp;""&amp;" &amp; "&amp;""&amp;(SUMPRODUCT(MID(0&amp;(--TRIM(RIGHT(SUBSTITUTE(LEFT(A205,_xlfn.AGGREGATE(16,6,FIND({0,1,2,3,4,5,6,7,8,9},A205,ROW(INDIRECT("1:"&amp;LEN(A205)))),1))," ",REPT(" ",LEN(A205))),LEN(A205)))), LARGE(INDEX(ISNUMBER(--MID((--TRIM(RIGHT(SUBSTITUTE(LEFT(A205,_xlfn.AGGREGATE(16,6,FIND({0,1,2,3,4,5,6,7,8,9},A205,ROW(INDIRECT("1:"&amp;LEN(A205)))),1))," ",REPT(" ",LEN(A205))),LEN(A205)))), ROW(INDIRECT("1:"&amp;LEN((--TRIM(RIGHT(SUBSTITUTE(LEFT(A205,_xlfn.AGGREGATE(16,6,FIND({0,1,2,3,4,5,6,7,8,9},A205,ROW(INDIRECT("1:"&amp;LEN(A205)))),1))," ",REPT(" ",LEN(A205))),LEN(A205))))))), 1)) * ROW(INDIRECT("1:"&amp;LEN((--TRIM(RIGHT(SUBSTITUTE(LEFT(A205,_xlfn.AGGREGATE(16,6,FIND({0,1,2,3,4,5,6,7,8,9},A205,ROW(INDIRECT("1:"&amp;LEN(A205)))),1))," ",REPT(" ",LEN(A205))),LEN(A205))))))), 0), ROW(INDIRECT("1:"&amp;LEN((--TRIM(RIGHT(SUBSTITUTE(LEFT(A205,_xlfn.AGGREGATE(16,6,FIND({0,1,2,3,4,5,6,7,8,9},A205,ROW(INDIRECT("1:"&amp;LEN(A205)))),1))," ",REPT(" ",LEN(A205))),LEN(A205))))))))+1, 1) * 10^ROW(INDIRECT("1:"&amp;LEN((--TRIM(RIGHT(SUBSTITUTE(LEFT(A205,_xlfn.AGGREGATE(16,6,FIND({0,1,2,3,4,5,6,7,8,9},A205,ROW(INDIRECT("1:"&amp;LEN(A205)))),1))," ",REPT(" ",LEN(A205))),LEN(A205)))))))/10))*100+1</f>
        <v>201 &amp; 501</v>
      </c>
      <c r="B206" s="116"/>
      <c r="C206" s="41"/>
      <c r="D206" s="41"/>
      <c r="E206" s="41">
        <v>0</v>
      </c>
      <c r="F206" s="41">
        <f>D206+E206</f>
        <v>0</v>
      </c>
      <c r="G206" s="41">
        <v>0</v>
      </c>
      <c r="H206" s="41">
        <f>F206*(($H$123)+1)+(IF(G206&lt;101,G206,IF(G206&lt;201,G206/2,IF(G206&lt;=301,G206/3,G206/4))))</f>
        <v>0</v>
      </c>
      <c r="I206" s="35"/>
    </row>
    <row r="207" spans="1:9" s="36" customFormat="1" ht="15.75" hidden="1" customHeight="1" x14ac:dyDescent="0.25">
      <c r="A207" s="115"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10^ROW(INDIRECT("1:"&amp;LEN((LEFT(A206,SUM(LEN(A206)-LEN(SUBSTITUTE(A206,{"0","1","2"},""))))))))/10))*1+1&amp;""&amp;" &amp;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",LEN(A206))),LEN(A206)))))))/10))*1+1</f>
        <v>202 &amp; 502</v>
      </c>
      <c r="B207" s="116"/>
      <c r="C207" s="41"/>
      <c r="D207" s="41"/>
      <c r="E207" s="41">
        <v>0</v>
      </c>
      <c r="F207" s="41">
        <f>D207+E207</f>
        <v>0</v>
      </c>
      <c r="G207" s="41">
        <v>0</v>
      </c>
      <c r="H207" s="41">
        <f>F207*(($H$123)+1)+(IF(G207&lt;101,G207,IF(G207&lt;201,G207/2,IF(G207&lt;=301,G207/3,G207/4))))</f>
        <v>0</v>
      </c>
      <c r="I207" s="35"/>
    </row>
    <row r="208" spans="1:9" s="36" customFormat="1" ht="15.75" hidden="1" customHeight="1" x14ac:dyDescent="0.25">
      <c r="A208" s="115" t="str">
        <f ca="1">(SUMPRODUCT(MID(0&amp;(LEFT(A207,SUM(LEN(A207)-LEN(SUBSTITUTE(A207,{"0","1","2"},""))))), LARGE(INDEX(ISNUMBER(--MID((LEFT(A207,SUM(LEN(A207)-LEN(SUBSTITUTE(A207,{"0","1","2"},""))))), ROW(INDIRECT("1:"&amp;LEN((LEFT(A207,SUM(LEN(A207)-LEN(SUBSTITUTE(A207,{"0","1","2"},"")))))))), 1)) * ROW(INDIRECT("1:"&amp;LEN((LEFT(A207,SUM(LEN(A207)-LEN(SUBSTITUTE(A207,{"0","1","2"},"")))))))), 0), ROW(INDIRECT("1:"&amp;LEN((LEFT(A207,SUM(LEN(A207)-LEN(SUBSTITUTE(A207,{"0","1","2"},"")))))))))+1, 1) * 10^ROW(INDIRECT("1:"&amp;LEN((LEFT(A207,SUM(LEN(A207)-LEN(SUBSTITUTE(A207,{"0","1","2"},""))))))))/10))*1+1&amp;""&amp;" &amp; "&amp;""&amp;(SUMPRODUCT(MID(0&amp;(--TRIM(RIGHT(SUBSTITUTE(LEFT(A207,_xlfn.AGGREGATE(16,6,FIND({0,1,2,3,4,5,6,7,8,9},A207,ROW(INDIRECT("1:"&amp;LEN(A207)))),1))," ",REPT(" ",LEN(A207))),LEN(A207)))), LARGE(INDEX(ISNUMBER(--MID((--TRIM(RIGHT(SUBSTITUTE(LEFT(A207,_xlfn.AGGREGATE(16,6,FIND({0,1,2,3,4,5,6,7,8,9},A207,ROW(INDIRECT("1:"&amp;LEN(A207)))),1))," ",REPT(" ",LEN(A207))),LEN(A207)))), ROW(INDIRECT("1:"&amp;LEN((--TRIM(RIGHT(SUBSTITUTE(LEFT(A207,_xlfn.AGGREGATE(16,6,FIND({0,1,2,3,4,5,6,7,8,9},A207,ROW(INDIRECT("1:"&amp;LEN(A207)))),1))," ",REPT(" ",LEN(A207))),LEN(A207))))))), 1)) * ROW(INDIRECT("1:"&amp;LEN((--TRIM(RIGHT(SUBSTITUTE(LEFT(A207,_xlfn.AGGREGATE(16,6,FIND({0,1,2,3,4,5,6,7,8,9},A207,ROW(INDIRECT("1:"&amp;LEN(A207)))),1))," ",REPT(" ",LEN(A207))),LEN(A207))))))), 0), ROW(INDIRECT("1:"&amp;LEN((--TRIM(RIGHT(SUBSTITUTE(LEFT(A207,_xlfn.AGGREGATE(16,6,FIND({0,1,2,3,4,5,6,7,8,9},A207,ROW(INDIRECT("1:"&amp;LEN(A207)))),1))," ",REPT(" ",LEN(A207))),LEN(A207))))))))+1, 1) * 10^ROW(INDIRECT("1:"&amp;LEN((--TRIM(RIGHT(SUBSTITUTE(LEFT(A207,_xlfn.AGGREGATE(16,6,FIND({0,1,2,3,4,5,6,7,8,9},A207,ROW(INDIRECT("1:"&amp;LEN(A207)))),1))," ",REPT(" ",LEN(A207))),LEN(A207)))))))/10))*1+1</f>
        <v>203 &amp; 503</v>
      </c>
      <c r="B208" s="116"/>
      <c r="C208" s="41"/>
      <c r="D208" s="41"/>
      <c r="E208" s="41">
        <v>0</v>
      </c>
      <c r="F208" s="41">
        <f>D208+E208</f>
        <v>0</v>
      </c>
      <c r="G208" s="41">
        <v>0</v>
      </c>
      <c r="H208" s="41">
        <f>F208*(($H$123)+1)+(IF(G208&lt;101,G208,IF(G208&lt;201,G208/2,IF(G208&lt;=301,G208/3,G208/4))))</f>
        <v>0</v>
      </c>
      <c r="I208" s="35"/>
    </row>
    <row r="209" spans="1:20" s="36" customFormat="1" ht="15.75" hidden="1" customHeight="1" x14ac:dyDescent="0.25">
      <c r="A209" s="115" t="str">
        <f ca="1">(SUMPRODUCT(MID(0&amp;(LEFT(A208,SUM(LEN(A208)-LEN(SUBSTITUTE(A208,{"0","1","2"},""))))), LARGE(INDEX(ISNUMBER(--MID((LEFT(A208,SUM(LEN(A208)-LEN(SUBSTITUTE(A208,{"0","1","2"},""))))), ROW(INDIRECT("1:"&amp;LEN((LEFT(A208,SUM(LEN(A208)-LEN(SUBSTITUTE(A208,{"0","1","2"},"")))))))), 1)) * ROW(INDIRECT("1:"&amp;LEN((LEFT(A208,SUM(LEN(A208)-LEN(SUBSTITUTE(A208,{"0","1","2"},"")))))))), 0), ROW(INDIRECT("1:"&amp;LEN((LEFT(A208,SUM(LEN(A208)-LEN(SUBSTITUTE(A208,{"0","1","2"},"")))))))))+1, 1) * 10^ROW(INDIRECT("1:"&amp;LEN((LEFT(A208,SUM(LEN(A208)-LEN(SUBSTITUTE(A208,{"0","1","2"},""))))))))/10))*1+1&amp;""&amp;" &amp; "&amp;""&amp;(SUMPRODUCT(MID(0&amp;(--TRIM(RIGHT(SUBSTITUTE(LEFT(A208,_xlfn.AGGREGATE(16,6,FIND({0,1,2,3,4,5,6,7,8,9},A208,ROW(INDIRECT("1:"&amp;LEN(A208)))),1))," ",REPT(" ",LEN(A208))),LEN(A208)))), LARGE(INDEX(ISNUMBER(--MID((--TRIM(RIGHT(SUBSTITUTE(LEFT(A208,_xlfn.AGGREGATE(16,6,FIND({0,1,2,3,4,5,6,7,8,9},A208,ROW(INDIRECT("1:"&amp;LEN(A208)))),1))," ",REPT(" ",LEN(A208))),LEN(A208)))), ROW(INDIRECT("1:"&amp;LEN((--TRIM(RIGHT(SUBSTITUTE(LEFT(A208,_xlfn.AGGREGATE(16,6,FIND({0,1,2,3,4,5,6,7,8,9},A208,ROW(INDIRECT("1:"&amp;LEN(A208)))),1))," ",REPT(" ",LEN(A208))),LEN(A208))))))), 1)) * ROW(INDIRECT("1:"&amp;LEN((--TRIM(RIGHT(SUBSTITUTE(LEFT(A208,_xlfn.AGGREGATE(16,6,FIND({0,1,2,3,4,5,6,7,8,9},A208,ROW(INDIRECT("1:"&amp;LEN(A208)))),1))," ",REPT(" ",LEN(A208))),LEN(A208))))))), 0), ROW(INDIRECT("1:"&amp;LEN((--TRIM(RIGHT(SUBSTITUTE(LEFT(A208,_xlfn.AGGREGATE(16,6,FIND({0,1,2,3,4,5,6,7,8,9},A208,ROW(INDIRECT("1:"&amp;LEN(A208)))),1))," ",REPT(" ",LEN(A208))),LEN(A208))))))))+1, 1) * 10^ROW(INDIRECT("1:"&amp;LEN((--TRIM(RIGHT(SUBSTITUTE(LEFT(A208,_xlfn.AGGREGATE(16,6,FIND({0,1,2,3,4,5,6,7,8,9},A208,ROW(INDIRECT("1:"&amp;LEN(A208)))),1))," ",REPT(" ",LEN(A208))),LEN(A208)))))))/10))*1+1</f>
        <v>204 &amp; 504</v>
      </c>
      <c r="B209" s="116"/>
      <c r="C209" s="41"/>
      <c r="D209" s="41"/>
      <c r="E209" s="41">
        <v>0</v>
      </c>
      <c r="F209" s="41">
        <f>D209+E209</f>
        <v>0</v>
      </c>
      <c r="G209" s="41">
        <v>0</v>
      </c>
      <c r="H209" s="41">
        <f>F209*(($H$123)+1)+(IF(G209&lt;101,G209,IF(G209&lt;201,G209/2,IF(G209&lt;=301,G209/3,G209/4))))</f>
        <v>0</v>
      </c>
      <c r="I209" s="35"/>
    </row>
    <row r="210" spans="1:20" s="36" customFormat="1" ht="15.75" hidden="1" customHeight="1" x14ac:dyDescent="0.25">
      <c r="A210" s="115" t="str">
        <f ca="1">(SUMPRODUCT(MID(0&amp;(LEFT(A209,SUM(LEN(A209)-LEN(SUBSTITUTE(A209,{"0","1","2"},""))))), LARGE(INDEX(ISNUMBER(--MID((LEFT(A209,SUM(LEN(A209)-LEN(SUBSTITUTE(A209,{"0","1","2"},""))))), ROW(INDIRECT("1:"&amp;LEN((LEFT(A209,SUM(LEN(A209)-LEN(SUBSTITUTE(A209,{"0","1","2"},"")))))))), 1)) * ROW(INDIRECT("1:"&amp;LEN((LEFT(A209,SUM(LEN(A209)-LEN(SUBSTITUTE(A209,{"0","1","2"},"")))))))), 0), ROW(INDIRECT("1:"&amp;LEN((LEFT(A209,SUM(LEN(A209)-LEN(SUBSTITUTE(A209,{"0","1","2"},"")))))))))+1, 1) * 10^ROW(INDIRECT("1:"&amp;LEN((LEFT(A209,SUM(LEN(A209)-LEN(SUBSTITUTE(A209,{"0","1","2"},""))))))))/10))*1+1&amp;""&amp;" &amp; "&amp;""&amp;(SUMPRODUCT(MID(0&amp;(--TRIM(RIGHT(SUBSTITUTE(LEFT(A209,_xlfn.AGGREGATE(16,6,FIND({0,1,2,3,4,5,6,7,8,9},A209,ROW(INDIRECT("1:"&amp;LEN(A209)))),1))," ",REPT(" ",LEN(A209))),LEN(A209)))), LARGE(INDEX(ISNUMBER(--MID((--TRIM(RIGHT(SUBSTITUTE(LEFT(A209,_xlfn.AGGREGATE(16,6,FIND({0,1,2,3,4,5,6,7,8,9},A209,ROW(INDIRECT("1:"&amp;LEN(A209)))),1))," ",REPT(" ",LEN(A209))),LEN(A209)))), ROW(INDIRECT("1:"&amp;LEN((--TRIM(RIGHT(SUBSTITUTE(LEFT(A209,_xlfn.AGGREGATE(16,6,FIND({0,1,2,3,4,5,6,7,8,9},A209,ROW(INDIRECT("1:"&amp;LEN(A209)))),1))," ",REPT(" ",LEN(A209))),LEN(A209))))))), 1)) * ROW(INDIRECT("1:"&amp;LEN((--TRIM(RIGHT(SUBSTITUTE(LEFT(A209,_xlfn.AGGREGATE(16,6,FIND({0,1,2,3,4,5,6,7,8,9},A209,ROW(INDIRECT("1:"&amp;LEN(A209)))),1))," ",REPT(" ",LEN(A209))),LEN(A209))))))), 0), ROW(INDIRECT("1:"&amp;LEN((--TRIM(RIGHT(SUBSTITUTE(LEFT(A209,_xlfn.AGGREGATE(16,6,FIND({0,1,2,3,4,5,6,7,8,9},A209,ROW(INDIRECT("1:"&amp;LEN(A209)))),1))," ",REPT(" ",LEN(A209))),LEN(A209))))))))+1, 1) * 10^ROW(INDIRECT("1:"&amp;LEN((--TRIM(RIGHT(SUBSTITUTE(LEFT(A209,_xlfn.AGGREGATE(16,6,FIND({0,1,2,3,4,5,6,7,8,9},A209,ROW(INDIRECT("1:"&amp;LEN(A209)))),1))," ",REPT(" ",LEN(A209))),LEN(A209)))))))/10))*1+1</f>
        <v>205 &amp; 505</v>
      </c>
      <c r="B210" s="116"/>
      <c r="C210" s="41"/>
      <c r="D210" s="41"/>
      <c r="E210" s="41">
        <v>0</v>
      </c>
      <c r="F210" s="41">
        <f>D210+E210</f>
        <v>0</v>
      </c>
      <c r="G210" s="41">
        <v>0</v>
      </c>
      <c r="H210" s="41">
        <f>F210*(($H$123)+1)+(IF(G210&lt;101,G210,IF(G210&lt;201,G210/2,IF(G210&lt;=301,G210/3,G210/4))))</f>
        <v>0</v>
      </c>
      <c r="I210" s="35"/>
    </row>
    <row r="211" spans="1:20" s="34" customFormat="1" x14ac:dyDescent="0.25">
      <c r="A211" s="114" t="s">
        <v>62</v>
      </c>
      <c r="B211" s="114"/>
      <c r="C211" s="114"/>
      <c r="D211" s="114"/>
      <c r="E211" s="114"/>
      <c r="F211" s="114"/>
      <c r="G211" s="114"/>
      <c r="H211" s="114"/>
      <c r="T211" s="36"/>
    </row>
    <row r="212" spans="1:20" s="34" customFormat="1" x14ac:dyDescent="0.25">
      <c r="A212" s="45" t="s">
        <v>153</v>
      </c>
      <c r="B212" s="157" t="s">
        <v>437</v>
      </c>
      <c r="C212" s="158"/>
      <c r="D212" s="158"/>
      <c r="E212" s="158"/>
      <c r="F212" s="158"/>
      <c r="G212" s="158"/>
      <c r="H212" s="159"/>
      <c r="T212" s="36"/>
    </row>
    <row r="213" spans="1:20" s="34" customFormat="1" x14ac:dyDescent="0.25">
      <c r="A213" s="45" t="s">
        <v>153</v>
      </c>
      <c r="B213" s="170" t="str">
        <f>(IF(H122="Saleable area Loading :","We have considered Saleable area of Flats as per our Calculation.","We considered Saleable area of Flat as per Builder area Sheet."))</f>
        <v>We have considered Saleable area of Flats as per our Calculation.</v>
      </c>
      <c r="C213" s="171"/>
      <c r="D213" s="171"/>
      <c r="E213" s="171"/>
      <c r="F213" s="171"/>
      <c r="G213" s="171"/>
      <c r="H213" s="172"/>
      <c r="T213" s="36"/>
    </row>
    <row r="214" spans="1:20" s="34" customFormat="1" hidden="1" x14ac:dyDescent="0.25">
      <c r="A214" s="45" t="s">
        <v>153</v>
      </c>
      <c r="B214" s="160" t="str">
        <f>(IF(H114="Saleable area Loading :","We have considered Saleable area of Commercial as per our Calculation.","We considered Saleable area of Commercial as per Builder area Sheet."))</f>
        <v>We have considered Saleable area of Commercial as per our Calculation.</v>
      </c>
      <c r="C214" s="161"/>
      <c r="D214" s="161"/>
      <c r="E214" s="161"/>
      <c r="F214" s="161"/>
      <c r="G214" s="161"/>
      <c r="H214" s="162"/>
      <c r="T214" s="36"/>
    </row>
    <row r="215" spans="1:20" s="34" customFormat="1" x14ac:dyDescent="0.25">
      <c r="A215" s="45" t="s">
        <v>153</v>
      </c>
      <c r="B215" s="173" t="s">
        <v>120</v>
      </c>
      <c r="C215" s="174"/>
      <c r="D215" s="174"/>
      <c r="E215" s="174"/>
      <c r="F215" s="174"/>
      <c r="G215" s="174"/>
      <c r="H215" s="175"/>
      <c r="T215" s="36"/>
    </row>
    <row r="216" spans="1:20" s="34" customFormat="1" x14ac:dyDescent="0.25">
      <c r="A216" s="45" t="s">
        <v>153</v>
      </c>
      <c r="B216" s="157" t="s">
        <v>454</v>
      </c>
      <c r="C216" s="158"/>
      <c r="D216" s="158"/>
      <c r="E216" s="158"/>
      <c r="F216" s="158"/>
      <c r="G216" s="158"/>
      <c r="H216" s="159"/>
      <c r="T216" s="36"/>
    </row>
    <row r="217" spans="1:20" s="34" customFormat="1" x14ac:dyDescent="0.25">
      <c r="A217" s="45" t="s">
        <v>153</v>
      </c>
      <c r="B217" s="157" t="s">
        <v>152</v>
      </c>
      <c r="C217" s="158"/>
      <c r="D217" s="158"/>
      <c r="E217" s="158"/>
      <c r="F217" s="158"/>
      <c r="G217" s="158"/>
      <c r="H217" s="159"/>
    </row>
    <row r="218" spans="1:20" s="34" customFormat="1" x14ac:dyDescent="0.25">
      <c r="A218" s="45" t="s">
        <v>153</v>
      </c>
      <c r="B218" s="173" t="s">
        <v>121</v>
      </c>
      <c r="C218" s="174"/>
      <c r="D218" s="174"/>
      <c r="E218" s="174"/>
      <c r="F218" s="174"/>
      <c r="G218" s="174"/>
      <c r="H218" s="175"/>
    </row>
    <row r="219" spans="1:20" s="34" customFormat="1" ht="34.5" customHeight="1" x14ac:dyDescent="0.25">
      <c r="A219" s="45" t="s">
        <v>153</v>
      </c>
      <c r="B219" s="157" t="s">
        <v>154</v>
      </c>
      <c r="C219" s="158"/>
      <c r="D219" s="158"/>
      <c r="E219" s="158"/>
      <c r="F219" s="158"/>
      <c r="G219" s="158"/>
      <c r="H219" s="159"/>
    </row>
    <row r="220" spans="1:20" s="34" customFormat="1" x14ac:dyDescent="0.25">
      <c r="A220" s="45" t="s">
        <v>153</v>
      </c>
      <c r="B220" s="173" t="s">
        <v>122</v>
      </c>
      <c r="C220" s="174"/>
      <c r="D220" s="174"/>
      <c r="E220" s="174"/>
      <c r="F220" s="174"/>
      <c r="G220" s="174"/>
      <c r="H220" s="175"/>
    </row>
    <row r="221" spans="1:20" s="34" customFormat="1" x14ac:dyDescent="0.25">
      <c r="A221" s="45" t="s">
        <v>153</v>
      </c>
      <c r="B221" s="173" t="s">
        <v>453</v>
      </c>
      <c r="C221" s="174"/>
      <c r="D221" s="174"/>
      <c r="E221" s="174"/>
      <c r="F221" s="174"/>
      <c r="G221" s="174"/>
      <c r="H221" s="175"/>
    </row>
    <row r="222" spans="1:20" s="34" customFormat="1" ht="32.25" hidden="1" customHeight="1" x14ac:dyDescent="0.25">
      <c r="A222" s="45" t="s">
        <v>153</v>
      </c>
      <c r="B222" s="160" t="s">
        <v>177</v>
      </c>
      <c r="C222" s="161"/>
      <c r="D222" s="161"/>
      <c r="E222" s="161"/>
      <c r="F222" s="161"/>
      <c r="G222" s="161"/>
      <c r="H222" s="162"/>
    </row>
    <row r="223" spans="1:20" s="34" customFormat="1" ht="38.25" hidden="1" customHeight="1" x14ac:dyDescent="0.25">
      <c r="A223" s="45" t="s">
        <v>153</v>
      </c>
      <c r="B223" s="160" t="s">
        <v>348</v>
      </c>
      <c r="C223" s="161"/>
      <c r="D223" s="161"/>
      <c r="E223" s="161"/>
      <c r="F223" s="161"/>
      <c r="G223" s="161"/>
      <c r="H223" s="162"/>
    </row>
    <row r="224" spans="1:20" s="34" customFormat="1" hidden="1" x14ac:dyDescent="0.25">
      <c r="A224" s="45" t="s">
        <v>153</v>
      </c>
      <c r="B224" s="160" t="s">
        <v>350</v>
      </c>
      <c r="C224" s="161"/>
      <c r="D224" s="161"/>
      <c r="E224" s="161"/>
      <c r="F224" s="161"/>
      <c r="G224" s="161"/>
      <c r="H224" s="162"/>
    </row>
    <row r="225" spans="1:20" s="34" customFormat="1" hidden="1" x14ac:dyDescent="0.25">
      <c r="A225" s="45" t="s">
        <v>153</v>
      </c>
      <c r="B225" s="160" t="str">
        <f ca="1">IF(G53&gt;EDATE(E3,-48),"NO REMARK FOR CC","REMARK FOR CC")</f>
        <v>NO REMARK FOR CC</v>
      </c>
      <c r="C225" s="161"/>
      <c r="D225" s="161"/>
      <c r="E225" s="161"/>
      <c r="F225" s="161"/>
      <c r="G225" s="161"/>
      <c r="H225" s="162"/>
    </row>
    <row r="226" spans="1:20" s="34" customFormat="1" ht="81.75" hidden="1" customHeight="1" x14ac:dyDescent="0.25">
      <c r="A226" s="45" t="s">
        <v>153</v>
      </c>
      <c r="B226" s="160" t="s">
        <v>351</v>
      </c>
      <c r="C226" s="161"/>
      <c r="D226" s="161"/>
      <c r="E226" s="161"/>
      <c r="F226" s="161"/>
      <c r="G226" s="161"/>
      <c r="H226" s="162"/>
    </row>
    <row r="227" spans="1:20" x14ac:dyDescent="0.25">
      <c r="A227" s="186" t="s">
        <v>55</v>
      </c>
      <c r="B227" s="186"/>
      <c r="C227" s="186"/>
      <c r="D227" s="186"/>
      <c r="E227" s="186"/>
      <c r="F227" s="186"/>
      <c r="G227" s="186"/>
      <c r="H227" s="186"/>
      <c r="T227" s="34"/>
    </row>
    <row r="228" spans="1:20" x14ac:dyDescent="0.25">
      <c r="A228" s="131" t="s">
        <v>56</v>
      </c>
      <c r="B228" s="131"/>
      <c r="C228" s="131"/>
      <c r="D228" s="131"/>
      <c r="E228" s="131"/>
      <c r="F228" s="131"/>
      <c r="G228" s="131"/>
      <c r="H228" s="131"/>
      <c r="T228" s="34"/>
    </row>
    <row r="229" spans="1:20" ht="15.75" customHeight="1" x14ac:dyDescent="0.25">
      <c r="A229" s="150" t="s">
        <v>57</v>
      </c>
      <c r="B229" s="150"/>
      <c r="C229" s="150"/>
      <c r="D229" s="150"/>
      <c r="E229" s="150"/>
      <c r="F229" s="150"/>
      <c r="G229" s="150"/>
      <c r="H229" s="150"/>
      <c r="T229" s="34"/>
    </row>
    <row r="230" spans="1:20" x14ac:dyDescent="0.25">
      <c r="A230" s="131" t="s">
        <v>58</v>
      </c>
      <c r="B230" s="131"/>
      <c r="C230" s="131"/>
      <c r="D230" s="131"/>
      <c r="E230" s="131"/>
      <c r="F230" s="131"/>
      <c r="G230" s="131"/>
      <c r="H230" s="131"/>
      <c r="T230" s="34"/>
    </row>
    <row r="231" spans="1:20" x14ac:dyDescent="0.25">
      <c r="A231" s="131" t="s">
        <v>59</v>
      </c>
      <c r="B231" s="131"/>
      <c r="C231" s="131"/>
      <c r="D231" s="131"/>
      <c r="E231" s="131"/>
      <c r="F231" s="131"/>
      <c r="G231" s="131"/>
      <c r="H231" s="131"/>
      <c r="T231" s="34"/>
    </row>
    <row r="232" spans="1:20" x14ac:dyDescent="0.25">
      <c r="A232" s="131" t="s">
        <v>123</v>
      </c>
      <c r="B232" s="131"/>
      <c r="C232" s="131"/>
      <c r="D232" s="131"/>
      <c r="E232" s="131"/>
      <c r="F232" s="131"/>
      <c r="G232" s="131"/>
      <c r="H232" s="131"/>
      <c r="T232" s="34"/>
    </row>
    <row r="233" spans="1:20" ht="33.950000000000003" customHeight="1" x14ac:dyDescent="0.25">
      <c r="A233" s="120" t="s">
        <v>124</v>
      </c>
      <c r="B233" s="120"/>
      <c r="C233" s="120"/>
      <c r="D233" s="120"/>
      <c r="E233" s="120"/>
      <c r="F233" s="120"/>
      <c r="G233" s="120"/>
      <c r="H233" s="120"/>
    </row>
    <row r="234" spans="1:20" x14ac:dyDescent="0.25">
      <c r="A234" s="181" t="s">
        <v>71</v>
      </c>
      <c r="B234" s="181"/>
      <c r="C234" s="181" t="s">
        <v>459</v>
      </c>
      <c r="D234" s="181"/>
      <c r="E234" s="181" t="s">
        <v>101</v>
      </c>
      <c r="F234" s="181"/>
      <c r="G234" s="182" t="s">
        <v>432</v>
      </c>
      <c r="H234" s="182"/>
    </row>
    <row r="235" spans="1:20" x14ac:dyDescent="0.25">
      <c r="A235" s="180" t="s">
        <v>73</v>
      </c>
      <c r="B235" s="180"/>
      <c r="C235" s="180"/>
      <c r="D235" s="180"/>
      <c r="E235" s="180"/>
      <c r="F235" s="180"/>
      <c r="G235" s="180"/>
      <c r="H235" s="180"/>
    </row>
    <row r="236" spans="1:20" x14ac:dyDescent="0.25">
      <c r="A236" s="180"/>
      <c r="B236" s="180"/>
      <c r="C236" s="180"/>
      <c r="D236" s="180"/>
      <c r="E236" s="180"/>
      <c r="F236" s="180"/>
      <c r="G236" s="180"/>
      <c r="H236" s="180"/>
    </row>
    <row r="237" spans="1:20" x14ac:dyDescent="0.25">
      <c r="A237" s="180"/>
      <c r="B237" s="180"/>
      <c r="C237" s="180"/>
      <c r="D237" s="180"/>
      <c r="E237" s="180"/>
      <c r="F237" s="180"/>
      <c r="G237" s="180"/>
      <c r="H237" s="180"/>
    </row>
    <row r="238" spans="1:20" x14ac:dyDescent="0.25">
      <c r="A238" s="180"/>
      <c r="B238" s="180"/>
      <c r="C238" s="180"/>
      <c r="D238" s="180"/>
      <c r="E238" s="180"/>
      <c r="F238" s="180"/>
      <c r="G238" s="180"/>
      <c r="H238" s="180"/>
    </row>
    <row r="239" spans="1:20" x14ac:dyDescent="0.25">
      <c r="A239" s="37" t="s">
        <v>60</v>
      </c>
      <c r="B239" s="38"/>
      <c r="C239" s="38"/>
      <c r="D239" s="37" t="str">
        <f>E9</f>
        <v>Sumit KMR Param</v>
      </c>
      <c r="F239" s="38"/>
      <c r="G239" s="38"/>
      <c r="H239" s="38"/>
    </row>
    <row r="240" spans="1:20" x14ac:dyDescent="0.25">
      <c r="A240" s="38"/>
      <c r="B240" s="38"/>
      <c r="C240" s="38"/>
      <c r="D240" s="38"/>
      <c r="E240" s="38"/>
      <c r="F240" s="38"/>
      <c r="G240" s="38"/>
      <c r="H240" s="38"/>
    </row>
    <row r="241" spans="1:8" x14ac:dyDescent="0.25">
      <c r="A241" s="38"/>
      <c r="B241" s="38"/>
      <c r="C241" s="38"/>
      <c r="D241" s="38"/>
      <c r="E241" s="38"/>
      <c r="F241" s="38"/>
      <c r="G241" s="38"/>
      <c r="H241" s="38"/>
    </row>
    <row r="242" spans="1:8" ht="15" customHeight="1" x14ac:dyDescent="0.25"/>
    <row r="281" spans="1:1" hidden="1" x14ac:dyDescent="0.25"/>
    <row r="282" spans="1:1" hidden="1" x14ac:dyDescent="0.25"/>
    <row r="283" spans="1:1" x14ac:dyDescent="0.25">
      <c r="A283" s="40" t="s">
        <v>164</v>
      </c>
    </row>
    <row r="325" spans="1:1" hidden="1" x14ac:dyDescent="0.25"/>
    <row r="326" spans="1:1" hidden="1" x14ac:dyDescent="0.25"/>
    <row r="327" spans="1:1" x14ac:dyDescent="0.25">
      <c r="A327" s="40" t="s">
        <v>61</v>
      </c>
    </row>
    <row r="369" hidden="1" x14ac:dyDescent="0.25"/>
    <row r="370" hidden="1" x14ac:dyDescent="0.25"/>
  </sheetData>
  <mergeCells count="426">
    <mergeCell ref="B220:H220"/>
    <mergeCell ref="A191:B191"/>
    <mergeCell ref="A192:B192"/>
    <mergeCell ref="A175:H175"/>
    <mergeCell ref="L175:M175"/>
    <mergeCell ref="A176:B176"/>
    <mergeCell ref="A177:B177"/>
    <mergeCell ref="A178:B178"/>
    <mergeCell ref="A179:B179"/>
    <mergeCell ref="A180:B180"/>
    <mergeCell ref="A181:B181"/>
    <mergeCell ref="A182:B182"/>
    <mergeCell ref="A183:B183"/>
    <mergeCell ref="C178:H178"/>
    <mergeCell ref="C179:H179"/>
    <mergeCell ref="C188:H190"/>
    <mergeCell ref="A164:B164"/>
    <mergeCell ref="L164:M164"/>
    <mergeCell ref="A165:B165"/>
    <mergeCell ref="L165:M165"/>
    <mergeCell ref="C159:H159"/>
    <mergeCell ref="C162:H162"/>
    <mergeCell ref="A190:B190"/>
    <mergeCell ref="A174:B174"/>
    <mergeCell ref="L174:M174"/>
    <mergeCell ref="L184:M184"/>
    <mergeCell ref="L170:M170"/>
    <mergeCell ref="L167:M167"/>
    <mergeCell ref="L168:M168"/>
    <mergeCell ref="L169:M169"/>
    <mergeCell ref="A159:B159"/>
    <mergeCell ref="L159:M159"/>
    <mergeCell ref="A160:B160"/>
    <mergeCell ref="L160:M160"/>
    <mergeCell ref="A161:B161"/>
    <mergeCell ref="L161:M161"/>
    <mergeCell ref="A162:B162"/>
    <mergeCell ref="L162:M162"/>
    <mergeCell ref="A163:B163"/>
    <mergeCell ref="L163:M163"/>
    <mergeCell ref="L154:M154"/>
    <mergeCell ref="A155:B155"/>
    <mergeCell ref="L155:M155"/>
    <mergeCell ref="A156:B156"/>
    <mergeCell ref="L156:M156"/>
    <mergeCell ref="C150:H150"/>
    <mergeCell ref="C153:H153"/>
    <mergeCell ref="A157:H157"/>
    <mergeCell ref="A158:B158"/>
    <mergeCell ref="L158:M158"/>
    <mergeCell ref="L149:M149"/>
    <mergeCell ref="A150:B150"/>
    <mergeCell ref="L150:M150"/>
    <mergeCell ref="A151:B151"/>
    <mergeCell ref="L151:M151"/>
    <mergeCell ref="A152:B152"/>
    <mergeCell ref="L152:M152"/>
    <mergeCell ref="A153:B153"/>
    <mergeCell ref="L153:M153"/>
    <mergeCell ref="L136:M136"/>
    <mergeCell ref="A137:B137"/>
    <mergeCell ref="L137:M137"/>
    <mergeCell ref="A138:B138"/>
    <mergeCell ref="L138:M138"/>
    <mergeCell ref="C132:H132"/>
    <mergeCell ref="C135:H135"/>
    <mergeCell ref="A130:H130"/>
    <mergeCell ref="A131:B131"/>
    <mergeCell ref="L131:M131"/>
    <mergeCell ref="A132:B132"/>
    <mergeCell ref="L132:M132"/>
    <mergeCell ref="A133:B133"/>
    <mergeCell ref="L133:M133"/>
    <mergeCell ref="A134:B134"/>
    <mergeCell ref="L134:M134"/>
    <mergeCell ref="L140:M140"/>
    <mergeCell ref="A129:H129"/>
    <mergeCell ref="A171:B171"/>
    <mergeCell ref="L171:M171"/>
    <mergeCell ref="A172:B172"/>
    <mergeCell ref="L172:M172"/>
    <mergeCell ref="A173:B173"/>
    <mergeCell ref="L173:M173"/>
    <mergeCell ref="A141:B141"/>
    <mergeCell ref="L141:M141"/>
    <mergeCell ref="A142:B142"/>
    <mergeCell ref="L142:M142"/>
    <mergeCell ref="A143:B143"/>
    <mergeCell ref="L143:M143"/>
    <mergeCell ref="A144:B144"/>
    <mergeCell ref="L144:M144"/>
    <mergeCell ref="A145:B145"/>
    <mergeCell ref="L145:M145"/>
    <mergeCell ref="A146:B146"/>
    <mergeCell ref="L146:M146"/>
    <mergeCell ref="A147:B147"/>
    <mergeCell ref="L147:M147"/>
    <mergeCell ref="A135:B135"/>
    <mergeCell ref="L135:M135"/>
    <mergeCell ref="B226:H226"/>
    <mergeCell ref="C114:C115"/>
    <mergeCell ref="B122:B123"/>
    <mergeCell ref="B214:H214"/>
    <mergeCell ref="A148:H148"/>
    <mergeCell ref="A9:D9"/>
    <mergeCell ref="E9:H9"/>
    <mergeCell ref="A126:H126"/>
    <mergeCell ref="A125:H125"/>
    <mergeCell ref="A127:H127"/>
    <mergeCell ref="A128:H128"/>
    <mergeCell ref="A194:B194"/>
    <mergeCell ref="A81:B81"/>
    <mergeCell ref="E79:F88"/>
    <mergeCell ref="G79:H88"/>
    <mergeCell ref="A41:B41"/>
    <mergeCell ref="C41:H41"/>
    <mergeCell ref="A114:A115"/>
    <mergeCell ref="C122:C123"/>
    <mergeCell ref="G122:G123"/>
    <mergeCell ref="A168:B168"/>
    <mergeCell ref="G111:H111"/>
    <mergeCell ref="A169:B169"/>
    <mergeCell ref="A139:H139"/>
    <mergeCell ref="B223:H223"/>
    <mergeCell ref="A94:E94"/>
    <mergeCell ref="A110:B110"/>
    <mergeCell ref="E110:F110"/>
    <mergeCell ref="A99:E99"/>
    <mergeCell ref="G110:H110"/>
    <mergeCell ref="C105:D105"/>
    <mergeCell ref="E105:F105"/>
    <mergeCell ref="G105:H105"/>
    <mergeCell ref="A106:B106"/>
    <mergeCell ref="C106:D106"/>
    <mergeCell ref="E106:F106"/>
    <mergeCell ref="G106:H106"/>
    <mergeCell ref="B221:H221"/>
    <mergeCell ref="B218:H218"/>
    <mergeCell ref="A117:B117"/>
    <mergeCell ref="A189:B189"/>
    <mergeCell ref="A186:B186"/>
    <mergeCell ref="A187:B187"/>
    <mergeCell ref="A200:B200"/>
    <mergeCell ref="F114:F115"/>
    <mergeCell ref="C104:D104"/>
    <mergeCell ref="E104:F104"/>
    <mergeCell ref="B114:B115"/>
    <mergeCell ref="L120:M120"/>
    <mergeCell ref="L119:M119"/>
    <mergeCell ref="L118:M118"/>
    <mergeCell ref="L117:M117"/>
    <mergeCell ref="A86:B86"/>
    <mergeCell ref="C109:D109"/>
    <mergeCell ref="E109:F109"/>
    <mergeCell ref="G109:H109"/>
    <mergeCell ref="A90:E90"/>
    <mergeCell ref="A116:H116"/>
    <mergeCell ref="E114:E115"/>
    <mergeCell ref="F91:H91"/>
    <mergeCell ref="A91:E91"/>
    <mergeCell ref="E111:F111"/>
    <mergeCell ref="A65:C65"/>
    <mergeCell ref="A69:C69"/>
    <mergeCell ref="F38:H38"/>
    <mergeCell ref="C52:E52"/>
    <mergeCell ref="C51:E51"/>
    <mergeCell ref="G51:H51"/>
    <mergeCell ref="A52:B52"/>
    <mergeCell ref="G58:H58"/>
    <mergeCell ref="G60:H60"/>
    <mergeCell ref="G52:H52"/>
    <mergeCell ref="A40:B40"/>
    <mergeCell ref="C40:H40"/>
    <mergeCell ref="C57:H57"/>
    <mergeCell ref="A53:B55"/>
    <mergeCell ref="C56:E56"/>
    <mergeCell ref="C53:E54"/>
    <mergeCell ref="A66:C66"/>
    <mergeCell ref="C58:E58"/>
    <mergeCell ref="G56:H56"/>
    <mergeCell ref="A58:B59"/>
    <mergeCell ref="G61:H61"/>
    <mergeCell ref="A39:H39"/>
    <mergeCell ref="E43:H43"/>
    <mergeCell ref="A42:H42"/>
    <mergeCell ref="A78:B78"/>
    <mergeCell ref="A47:D47"/>
    <mergeCell ref="A48:D48"/>
    <mergeCell ref="D69:H69"/>
    <mergeCell ref="A45:D45"/>
    <mergeCell ref="E45:H45"/>
    <mergeCell ref="E46:H46"/>
    <mergeCell ref="E47:H47"/>
    <mergeCell ref="E48:H48"/>
    <mergeCell ref="C59:H59"/>
    <mergeCell ref="A49:H49"/>
    <mergeCell ref="D67:H67"/>
    <mergeCell ref="A67:C67"/>
    <mergeCell ref="A46:D46"/>
    <mergeCell ref="A50:B50"/>
    <mergeCell ref="C50:H50"/>
    <mergeCell ref="A68:C68"/>
    <mergeCell ref="D68:H68"/>
    <mergeCell ref="G54:H54"/>
    <mergeCell ref="G53:H53"/>
    <mergeCell ref="A64:H64"/>
    <mergeCell ref="C55:H55"/>
    <mergeCell ref="A77:B77"/>
    <mergeCell ref="A75:B75"/>
    <mergeCell ref="C75:H75"/>
    <mergeCell ref="A70:C70"/>
    <mergeCell ref="D70:H70"/>
    <mergeCell ref="C77:H77"/>
    <mergeCell ref="A71:C71"/>
    <mergeCell ref="D71:H71"/>
    <mergeCell ref="A74:C74"/>
    <mergeCell ref="D74:H74"/>
    <mergeCell ref="A73:C73"/>
    <mergeCell ref="A60:B62"/>
    <mergeCell ref="C62:H62"/>
    <mergeCell ref="C60:E61"/>
    <mergeCell ref="E44:H44"/>
    <mergeCell ref="A44:D44"/>
    <mergeCell ref="A37:B37"/>
    <mergeCell ref="C37:E37"/>
    <mergeCell ref="A32:D32"/>
    <mergeCell ref="E32:H32"/>
    <mergeCell ref="A33:D33"/>
    <mergeCell ref="E33:H33"/>
    <mergeCell ref="C34:E34"/>
    <mergeCell ref="F37:H37"/>
    <mergeCell ref="F34:H34"/>
    <mergeCell ref="A35:B35"/>
    <mergeCell ref="A34:B34"/>
    <mergeCell ref="C35:E35"/>
    <mergeCell ref="A36:B36"/>
    <mergeCell ref="C36:E36"/>
    <mergeCell ref="F35:H35"/>
    <mergeCell ref="F36:H36"/>
    <mergeCell ref="A38:B38"/>
    <mergeCell ref="C38:E38"/>
    <mergeCell ref="A43:D43"/>
    <mergeCell ref="A26:D26"/>
    <mergeCell ref="E26:H26"/>
    <mergeCell ref="A31:D31"/>
    <mergeCell ref="E31:H31"/>
    <mergeCell ref="A28:D28"/>
    <mergeCell ref="E21:F21"/>
    <mergeCell ref="G21:H21"/>
    <mergeCell ref="A22:B22"/>
    <mergeCell ref="C22:D22"/>
    <mergeCell ref="E22:F22"/>
    <mergeCell ref="G22:H22"/>
    <mergeCell ref="A23:B23"/>
    <mergeCell ref="C23:D23"/>
    <mergeCell ref="E23:F23"/>
    <mergeCell ref="G23:H23"/>
    <mergeCell ref="E24:H25"/>
    <mergeCell ref="E28:H28"/>
    <mergeCell ref="A30:D30"/>
    <mergeCell ref="E30:H30"/>
    <mergeCell ref="A27:D27"/>
    <mergeCell ref="E27:H27"/>
    <mergeCell ref="A29:D29"/>
    <mergeCell ref="E29:H29"/>
    <mergeCell ref="E15:H15"/>
    <mergeCell ref="A16:D16"/>
    <mergeCell ref="A12:D12"/>
    <mergeCell ref="E12:H12"/>
    <mergeCell ref="A24:D25"/>
    <mergeCell ref="A13:D13"/>
    <mergeCell ref="E13:H13"/>
    <mergeCell ref="A18:B18"/>
    <mergeCell ref="A15:D15"/>
    <mergeCell ref="A20:B20"/>
    <mergeCell ref="C20:D20"/>
    <mergeCell ref="E20:F20"/>
    <mergeCell ref="G20:H20"/>
    <mergeCell ref="A21:B21"/>
    <mergeCell ref="C21:D21"/>
    <mergeCell ref="E16:H16"/>
    <mergeCell ref="A17:B17"/>
    <mergeCell ref="C17:H17"/>
    <mergeCell ref="C18:H18"/>
    <mergeCell ref="A19:B19"/>
    <mergeCell ref="C19:H19"/>
    <mergeCell ref="A14:D14"/>
    <mergeCell ref="E14:H14"/>
    <mergeCell ref="A1:H1"/>
    <mergeCell ref="A2:H2"/>
    <mergeCell ref="A3:D3"/>
    <mergeCell ref="E3:H3"/>
    <mergeCell ref="A5:D5"/>
    <mergeCell ref="A10:D10"/>
    <mergeCell ref="E10:H10"/>
    <mergeCell ref="A11:D11"/>
    <mergeCell ref="E11:H11"/>
    <mergeCell ref="E5:H5"/>
    <mergeCell ref="A6:D6"/>
    <mergeCell ref="E6:H6"/>
    <mergeCell ref="A7:D7"/>
    <mergeCell ref="E7:H7"/>
    <mergeCell ref="A8:D8"/>
    <mergeCell ref="E8:H8"/>
    <mergeCell ref="A4:D4"/>
    <mergeCell ref="E4:H4"/>
    <mergeCell ref="A235:H238"/>
    <mergeCell ref="A234:B234"/>
    <mergeCell ref="E234:F234"/>
    <mergeCell ref="C234:D234"/>
    <mergeCell ref="G234:H234"/>
    <mergeCell ref="A102:H102"/>
    <mergeCell ref="A100:E100"/>
    <mergeCell ref="F100:H100"/>
    <mergeCell ref="A101:E101"/>
    <mergeCell ref="F101:H101"/>
    <mergeCell ref="A184:H184"/>
    <mergeCell ref="A109:B109"/>
    <mergeCell ref="A196:B196"/>
    <mergeCell ref="A104:B104"/>
    <mergeCell ref="A230:H230"/>
    <mergeCell ref="A107:H107"/>
    <mergeCell ref="A233:H233"/>
    <mergeCell ref="A231:H231"/>
    <mergeCell ref="A227:H227"/>
    <mergeCell ref="G108:H108"/>
    <mergeCell ref="B217:H217"/>
    <mergeCell ref="A202:B202"/>
    <mergeCell ref="A188:B188"/>
    <mergeCell ref="C111:D111"/>
    <mergeCell ref="A89:E89"/>
    <mergeCell ref="F93:H93"/>
    <mergeCell ref="A198:B198"/>
    <mergeCell ref="A93:E93"/>
    <mergeCell ref="A170:B170"/>
    <mergeCell ref="B219:H219"/>
    <mergeCell ref="G114:G115"/>
    <mergeCell ref="A201:B201"/>
    <mergeCell ref="A209:B209"/>
    <mergeCell ref="B212:H212"/>
    <mergeCell ref="B213:H213"/>
    <mergeCell ref="B215:H215"/>
    <mergeCell ref="F89:H89"/>
    <mergeCell ref="F94:H94"/>
    <mergeCell ref="A167:B167"/>
    <mergeCell ref="A120:B120"/>
    <mergeCell ref="A119:B119"/>
    <mergeCell ref="F95:H95"/>
    <mergeCell ref="A124:H124"/>
    <mergeCell ref="A97:E97"/>
    <mergeCell ref="A140:B140"/>
    <mergeCell ref="A136:B136"/>
    <mergeCell ref="A149:B149"/>
    <mergeCell ref="A154:B154"/>
    <mergeCell ref="A232:H232"/>
    <mergeCell ref="A229:H229"/>
    <mergeCell ref="A185:B185"/>
    <mergeCell ref="A108:B108"/>
    <mergeCell ref="D122:D123"/>
    <mergeCell ref="E122:E123"/>
    <mergeCell ref="F90:H90"/>
    <mergeCell ref="G104:H104"/>
    <mergeCell ref="F96:H96"/>
    <mergeCell ref="C103:D103"/>
    <mergeCell ref="C110:D110"/>
    <mergeCell ref="A166:H166"/>
    <mergeCell ref="A197:B197"/>
    <mergeCell ref="B216:H216"/>
    <mergeCell ref="A206:B206"/>
    <mergeCell ref="A207:B207"/>
    <mergeCell ref="A210:B210"/>
    <mergeCell ref="B225:H225"/>
    <mergeCell ref="B224:H224"/>
    <mergeCell ref="F92:H92"/>
    <mergeCell ref="A96:E96"/>
    <mergeCell ref="D114:D115"/>
    <mergeCell ref="B222:H222"/>
    <mergeCell ref="A111:B111"/>
    <mergeCell ref="A228:H228"/>
    <mergeCell ref="A95:E95"/>
    <mergeCell ref="A85:B85"/>
    <mergeCell ref="I16:P16"/>
    <mergeCell ref="F99:H99"/>
    <mergeCell ref="F97:H97"/>
    <mergeCell ref="A195:B195"/>
    <mergeCell ref="A113:H113"/>
    <mergeCell ref="G103:H103"/>
    <mergeCell ref="A98:E98"/>
    <mergeCell ref="A118:B118"/>
    <mergeCell ref="A63:B63"/>
    <mergeCell ref="C63:E63"/>
    <mergeCell ref="D65:H65"/>
    <mergeCell ref="F98:H98"/>
    <mergeCell ref="E103:F103"/>
    <mergeCell ref="A103:B103"/>
    <mergeCell ref="A105:B105"/>
    <mergeCell ref="C108:D108"/>
    <mergeCell ref="D72:H72"/>
    <mergeCell ref="D66:H66"/>
    <mergeCell ref="G63:H63"/>
    <mergeCell ref="A56:B57"/>
    <mergeCell ref="A121:H121"/>
    <mergeCell ref="A84:B84"/>
    <mergeCell ref="A51:B51"/>
    <mergeCell ref="A211:H211"/>
    <mergeCell ref="A203:B203"/>
    <mergeCell ref="A204:B204"/>
    <mergeCell ref="A199:H199"/>
    <mergeCell ref="A193:H193"/>
    <mergeCell ref="A208:B208"/>
    <mergeCell ref="A205:H205"/>
    <mergeCell ref="A72:C72"/>
    <mergeCell ref="D73:H73"/>
    <mergeCell ref="A79:B79"/>
    <mergeCell ref="G78:H78"/>
    <mergeCell ref="A87:B87"/>
    <mergeCell ref="A88:B88"/>
    <mergeCell ref="A83:B83"/>
    <mergeCell ref="A82:B82"/>
    <mergeCell ref="E78:F78"/>
    <mergeCell ref="A80:B80"/>
    <mergeCell ref="E108:F108"/>
    <mergeCell ref="A112:H112"/>
    <mergeCell ref="A122:A123"/>
    <mergeCell ref="F122:F123"/>
    <mergeCell ref="A92:E92"/>
  </mergeCells>
  <dataValidations count="18">
    <dataValidation type="list" allowBlank="1" showInputMessage="1" showErrorMessage="1" sqref="E5:H5">
      <formula1>OFFSET($L$3,1,MATCH($E4,$L$3:$P$3,0)-1,10,1)</formula1>
    </dataValidation>
    <dataValidation type="list" allowBlank="1" showInputMessage="1" showErrorMessage="1" sqref="A18:B18">
      <formula1>"CTS No,Survey No,Plot No,Gut No,FP No,"</formula1>
    </dataValidation>
    <dataValidation type="list" allowBlank="1" showInputMessage="1" showErrorMessage="1" sqref="G21:H21">
      <formula1>$S$14:$W$14</formula1>
    </dataValidation>
    <dataValidation type="list" allowBlank="1" showInputMessage="1" showErrorMessage="1" sqref="E114:E115">
      <formula1>"Attached Loft area,Attached Otla area,Attached Mezzanine area"</formula1>
    </dataValidation>
    <dataValidation type="list" allowBlank="1" showInputMessage="1" showErrorMessage="1" sqref="G234:H234">
      <formula1>"Kunal Kadam,Pranita Mhatre,Shruti Fule,Pooja Kawale,Gaurav Panchal,Shruti Tathare, Dipti Gothawade,Saurav Panse, Sachin Sawant"</formula1>
    </dataValidation>
    <dataValidation type="list" allowBlank="1" showInputMessage="1" showErrorMessage="1" sqref="F89:H89">
      <formula1>"On Saleable Area,On Builtup Area,On Carpet Area,On Plot Area"</formula1>
    </dataValidation>
    <dataValidation type="list" allowBlank="1" showInputMessage="1" showErrorMessage="1" sqref="F100:H100">
      <formula1>OFFSET($S$89,1,MATCH($G21,$S$89:$W$89,0)-1,15,1)</formula1>
    </dataValidation>
    <dataValidation type="list" allowBlank="1" showInputMessage="1" showErrorMessage="1" sqref="B114:B115">
      <formula1>"Shop No. (Sale Plan),Sale / Rehab,Sale / Mhada"</formula1>
    </dataValidation>
    <dataValidation type="list" allowBlank="1" showInputMessage="1" showErrorMessage="1" sqref="B122:B123">
      <formula1>"Flat No. (Sale Plan),Sale / Rehab,Sale / Mhada"</formula1>
    </dataValidation>
    <dataValidation type="list" allowBlank="1" showInputMessage="1" showErrorMessage="1" sqref="C22:D22">
      <formula1>OFFSET($S$14,1,MATCH($G21,$S$14:$W$14,0)-1,15,1)</formula1>
    </dataValidation>
    <dataValidation type="list" allowBlank="1" showInputMessage="1" showErrorMessage="1" sqref="Y14">
      <formula1>$D$5:$H$5</formula1>
    </dataValidation>
    <dataValidation type="list" allowBlank="1" showInputMessage="1" showErrorMessage="1" sqref="E122:E123">
      <formula1>"Fungible area,Balcony + Dry Balcony Area"</formula1>
    </dataValidation>
    <dataValidation type="list" allowBlank="1" showInputMessage="1" showErrorMessage="1" sqref="H115 H123">
      <formula1>".45,.50,.55,.60"</formula1>
    </dataValidation>
    <dataValidation type="list" allowBlank="1" showInputMessage="1" showErrorMessage="1" sqref="E4:H4">
      <formula1>$L$3:$P$3</formula1>
    </dataValidation>
    <dataValidation type="list" allowBlank="1" showInputMessage="1" showErrorMessage="1" sqref="C50:H50">
      <formula1>OFFSET($S$50,1,MATCH($G21,$S$50:$W$50,0)-1,15,1)</formula1>
    </dataValidation>
    <dataValidation type="list" allowBlank="1" showInputMessage="1" showErrorMessage="1" sqref="H114 H122">
      <formula1>"Saleable area Loading :,Builder Saleable Area"</formula1>
    </dataValidation>
    <dataValidation type="list" allowBlank="1" showInputMessage="1" showErrorMessage="1" sqref="D114:D115">
      <formula1>"Carpet area,RERA Carpet area"</formula1>
    </dataValidation>
    <dataValidation type="list" allowBlank="1" showInputMessage="1" showErrorMessage="1" sqref="D122:D123">
      <formula1>"Carpet Area,Carpet + Encl Balcony Area,RERA Carpet area"</formula1>
    </dataValidation>
  </dataValidations>
  <hyperlinks>
    <hyperlink ref="C41" r:id="rId1"/>
    <hyperlink ref="I71" r:id="rId2" location="showModal" display="https://www.99acres.com/sumit-kmr-param-borivali-west-mumbai-andheri-dahisar-npxid-r430049?nn_source=Performance&amp;nn_account=Google_99acres-NPGoogle-Account&amp;nn_campaign=22819151926_181475938943_766405001925&amp;nn_medium=22819151926_181475938943_766405001925&amp;nn_adtype=g_&amp;nn_keyword=&amp;nn_placement=&amp;gad_source=1&amp;gad_campaignid=22819151926&amp;gbraid=0AAAAADLswZWg2VBWczw6FZ0lnTy9wvFtx&amp;gclid=Cj0KCQjwovPGBhDxARIsAFhgkwT3cicQmSJ99DWwcfpoCBaXnP4TrP3k44F33qUV9PA4ZhqS3fnQ-LgaAsujEALw_wcB#showModal"/>
    <hyperlink ref="K89" r:id="rId3"/>
    <hyperlink ref="K101" r:id="rId4"/>
  </hyperlinks>
  <printOptions horizontalCentered="1"/>
  <pageMargins left="0.39370078740157483" right="0.39370078740157483" top="0.82677165354330717" bottom="0.78740157480314965" header="0.15748031496062992" footer="0.19685039370078741"/>
  <pageSetup paperSize="2" fitToHeight="0" orientation="portrait" r:id="rId5"/>
  <headerFooter>
    <oddHeader>&amp;C&amp;G</oddHeader>
    <oddFooter>&amp;L&amp;"Times New Roman,Bold"&amp;12Ref No: &amp;F&amp;C&amp;G&amp;R&amp;"Times New Roman,Bold"&amp;12&amp;P</oddFooter>
  </headerFooter>
  <rowBreaks count="7" manualBreakCount="7">
    <brk id="63" max="16383" man="1"/>
    <brk id="101" max="7" man="1"/>
    <brk id="156" max="7" man="1"/>
    <brk id="192" max="7" man="1"/>
    <brk id="238" max="16383" man="1"/>
    <brk id="282" max="16383" man="1"/>
    <brk id="326" max="16383" man="1"/>
  </rowBreaks>
  <drawing r:id="rId6"/>
  <legacy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82" t="s">
        <v>102</v>
      </c>
      <c r="C3" s="282"/>
      <c r="D3" s="282"/>
      <c r="E3" s="282"/>
      <c r="F3" s="282"/>
      <c r="G3" s="282"/>
      <c r="H3" s="282"/>
    </row>
    <row r="4" spans="1:9" x14ac:dyDescent="0.25">
      <c r="A4" s="2"/>
      <c r="B4" s="3" t="s">
        <v>103</v>
      </c>
      <c r="C4" s="3" t="s">
        <v>104</v>
      </c>
      <c r="D4" s="3" t="s">
        <v>63</v>
      </c>
      <c r="E4" s="3" t="s">
        <v>105</v>
      </c>
      <c r="F4" s="3" t="s">
        <v>111</v>
      </c>
      <c r="G4" s="3" t="s">
        <v>112</v>
      </c>
      <c r="H4" s="3" t="s">
        <v>106</v>
      </c>
    </row>
    <row r="5" spans="1:9" ht="15" customHeight="1" x14ac:dyDescent="0.25">
      <c r="A5" s="2"/>
      <c r="B5" s="5" t="s">
        <v>107</v>
      </c>
      <c r="C5" s="6"/>
      <c r="D5" s="5"/>
      <c r="E5" s="5"/>
      <c r="F5" s="7">
        <f>E5*1.6</f>
        <v>0</v>
      </c>
      <c r="G5" s="7" t="e">
        <f>H5/F5</f>
        <v>#DIV/0!</v>
      </c>
      <c r="H5" s="8"/>
    </row>
    <row r="6" spans="1:9" x14ac:dyDescent="0.25">
      <c r="A6" s="2"/>
      <c r="B6" s="5" t="s">
        <v>107</v>
      </c>
      <c r="C6" s="9"/>
      <c r="D6" s="5"/>
      <c r="E6" s="5"/>
      <c r="F6" s="7">
        <f t="shared" ref="F6:F11" si="0">E6*1.6</f>
        <v>0</v>
      </c>
      <c r="G6" s="7" t="e">
        <f t="shared" ref="G6:G11" si="1">H6/F6</f>
        <v>#DIV/0!</v>
      </c>
      <c r="H6" s="8"/>
    </row>
    <row r="7" spans="1:9" ht="15" customHeight="1" x14ac:dyDescent="0.25">
      <c r="A7" s="2"/>
      <c r="B7" s="5" t="s">
        <v>107</v>
      </c>
      <c r="C7" s="6"/>
      <c r="D7" s="5"/>
      <c r="E7" s="5"/>
      <c r="F7" s="7">
        <f t="shared" si="0"/>
        <v>0</v>
      </c>
      <c r="G7" s="7" t="e">
        <f t="shared" si="1"/>
        <v>#DIV/0!</v>
      </c>
      <c r="H7" s="8"/>
    </row>
    <row r="8" spans="1:9" x14ac:dyDescent="0.25">
      <c r="A8" s="2"/>
      <c r="B8" s="5" t="s">
        <v>107</v>
      </c>
      <c r="C8" s="9"/>
      <c r="D8" s="5"/>
      <c r="E8" s="5"/>
      <c r="F8" s="7">
        <f t="shared" si="0"/>
        <v>0</v>
      </c>
      <c r="G8" s="7" t="e">
        <f t="shared" si="1"/>
        <v>#DIV/0!</v>
      </c>
      <c r="H8" s="8"/>
    </row>
    <row r="9" spans="1:9" ht="15" customHeight="1" x14ac:dyDescent="0.25">
      <c r="A9" s="2"/>
      <c r="B9" s="5" t="s">
        <v>107</v>
      </c>
      <c r="C9" s="9"/>
      <c r="D9" s="5"/>
      <c r="E9" s="5"/>
      <c r="F9" s="7">
        <f t="shared" si="0"/>
        <v>0</v>
      </c>
      <c r="G9" s="7" t="e">
        <f t="shared" si="1"/>
        <v>#DIV/0!</v>
      </c>
      <c r="H9" s="8"/>
    </row>
    <row r="10" spans="1:9" ht="15" customHeight="1" x14ac:dyDescent="0.25">
      <c r="A10" s="2"/>
      <c r="B10" s="5" t="s">
        <v>108</v>
      </c>
      <c r="C10" s="6"/>
      <c r="D10" s="5"/>
      <c r="E10" s="5"/>
      <c r="F10" s="7">
        <f t="shared" si="0"/>
        <v>0</v>
      </c>
      <c r="G10" s="7" t="e">
        <f t="shared" si="1"/>
        <v>#DIV/0!</v>
      </c>
      <c r="H10" s="8"/>
    </row>
    <row r="11" spans="1:9" ht="15" customHeight="1" x14ac:dyDescent="0.25">
      <c r="A11" s="2"/>
      <c r="B11" s="5" t="s">
        <v>108</v>
      </c>
      <c r="C11" s="6"/>
      <c r="D11" s="5"/>
      <c r="E11" s="5"/>
      <c r="F11" s="7">
        <f t="shared" si="0"/>
        <v>0</v>
      </c>
      <c r="G11" s="7" t="e">
        <f t="shared" si="1"/>
        <v>#DIV/0!</v>
      </c>
      <c r="H11" s="8"/>
    </row>
    <row r="12" spans="1:9" ht="15" customHeight="1" x14ac:dyDescent="0.25">
      <c r="A12" s="2"/>
      <c r="B12" s="10" t="s">
        <v>109</v>
      </c>
      <c r="C12" s="5"/>
      <c r="D12" s="5"/>
      <c r="E12" s="5"/>
      <c r="F12" s="5"/>
      <c r="G12" s="11" t="e">
        <f>AVERAGE(G5:G11)</f>
        <v>#DIV/0!</v>
      </c>
      <c r="H12" s="5"/>
    </row>
    <row r="13" spans="1:9" ht="15" customHeight="1" x14ac:dyDescent="0.25">
      <c r="B13" s="10" t="s">
        <v>110</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2"/>
      <c r="C4" s="52" t="s">
        <v>10</v>
      </c>
      <c r="D4" s="53" t="s">
        <v>178</v>
      </c>
      <c r="E4" s="53" t="s">
        <v>188</v>
      </c>
      <c r="F4" s="53" t="s">
        <v>172</v>
      </c>
      <c r="G4" s="53" t="s">
        <v>193</v>
      </c>
      <c r="H4" s="53" t="s">
        <v>211</v>
      </c>
      <c r="J4" t="s">
        <v>193</v>
      </c>
      <c r="K4" t="s">
        <v>209</v>
      </c>
    </row>
    <row r="5" spans="2:11" x14ac:dyDescent="0.25">
      <c r="B5" s="52"/>
      <c r="C5" s="52"/>
      <c r="D5" s="53" t="s">
        <v>179</v>
      </c>
      <c r="E5" s="53" t="s">
        <v>186</v>
      </c>
      <c r="F5" s="53" t="s">
        <v>208</v>
      </c>
      <c r="G5" s="53" t="s">
        <v>194</v>
      </c>
      <c r="H5" s="53" t="s">
        <v>212</v>
      </c>
    </row>
    <row r="6" spans="2:11" x14ac:dyDescent="0.25">
      <c r="B6" s="52"/>
      <c r="C6" s="52"/>
      <c r="D6" s="53" t="s">
        <v>180</v>
      </c>
      <c r="E6" s="53" t="s">
        <v>187</v>
      </c>
      <c r="F6" s="53" t="s">
        <v>209</v>
      </c>
      <c r="G6" s="53" t="s">
        <v>195</v>
      </c>
      <c r="H6" s="53" t="s">
        <v>225</v>
      </c>
    </row>
    <row r="7" spans="2:11" x14ac:dyDescent="0.25">
      <c r="B7" s="52"/>
      <c r="C7" s="52"/>
      <c r="D7" s="53" t="s">
        <v>181</v>
      </c>
      <c r="E7" s="53" t="s">
        <v>189</v>
      </c>
      <c r="F7" s="53" t="s">
        <v>210</v>
      </c>
      <c r="G7" s="53" t="s">
        <v>196</v>
      </c>
      <c r="H7" s="53" t="s">
        <v>213</v>
      </c>
    </row>
    <row r="8" spans="2:11" x14ac:dyDescent="0.25">
      <c r="B8" s="52"/>
      <c r="C8" s="52"/>
      <c r="D8" s="53" t="s">
        <v>182</v>
      </c>
      <c r="E8" s="53" t="s">
        <v>190</v>
      </c>
      <c r="F8" s="53"/>
      <c r="G8" s="53" t="s">
        <v>197</v>
      </c>
      <c r="H8" s="53" t="s">
        <v>214</v>
      </c>
    </row>
    <row r="9" spans="2:11" x14ac:dyDescent="0.25">
      <c r="B9" s="52"/>
      <c r="C9" s="52"/>
      <c r="D9" s="53" t="s">
        <v>183</v>
      </c>
      <c r="E9" s="53" t="s">
        <v>188</v>
      </c>
      <c r="F9" s="53"/>
      <c r="G9" s="53" t="s">
        <v>198</v>
      </c>
      <c r="H9" s="53" t="s">
        <v>215</v>
      </c>
    </row>
    <row r="10" spans="2:11" x14ac:dyDescent="0.25">
      <c r="B10" s="52"/>
      <c r="C10" s="52"/>
      <c r="D10" s="53" t="s">
        <v>184</v>
      </c>
      <c r="E10" s="53" t="s">
        <v>191</v>
      </c>
      <c r="F10" s="53"/>
      <c r="G10" s="53" t="s">
        <v>199</v>
      </c>
      <c r="H10" s="53" t="s">
        <v>216</v>
      </c>
    </row>
    <row r="11" spans="2:11" x14ac:dyDescent="0.25">
      <c r="B11" s="52"/>
      <c r="C11" s="52"/>
      <c r="D11" s="53" t="s">
        <v>185</v>
      </c>
      <c r="E11" s="53" t="s">
        <v>192</v>
      </c>
      <c r="F11" s="53"/>
      <c r="G11" s="53" t="s">
        <v>200</v>
      </c>
      <c r="H11" s="53" t="s">
        <v>217</v>
      </c>
    </row>
    <row r="12" spans="2:11" x14ac:dyDescent="0.25">
      <c r="B12" s="52"/>
      <c r="C12" s="52"/>
      <c r="D12" s="53"/>
      <c r="E12" s="53"/>
      <c r="F12" s="53"/>
      <c r="G12" s="53" t="s">
        <v>201</v>
      </c>
      <c r="H12" s="53" t="s">
        <v>218</v>
      </c>
    </row>
    <row r="13" spans="2:11" x14ac:dyDescent="0.25">
      <c r="B13" s="52"/>
      <c r="C13" s="52"/>
      <c r="D13" s="53"/>
      <c r="E13" s="53"/>
      <c r="F13" s="53"/>
      <c r="G13" s="53" t="s">
        <v>202</v>
      </c>
      <c r="H13" s="53" t="s">
        <v>219</v>
      </c>
    </row>
    <row r="14" spans="2:11" x14ac:dyDescent="0.25">
      <c r="B14" s="52"/>
      <c r="C14" s="52"/>
      <c r="D14" s="53"/>
      <c r="E14" s="53"/>
      <c r="F14" s="53"/>
      <c r="G14" s="53" t="s">
        <v>203</v>
      </c>
      <c r="H14" s="53" t="s">
        <v>220</v>
      </c>
    </row>
    <row r="15" spans="2:11" x14ac:dyDescent="0.25">
      <c r="B15" s="52"/>
      <c r="C15" s="52"/>
      <c r="D15" s="53"/>
      <c r="E15" s="53"/>
      <c r="F15" s="53"/>
      <c r="G15" s="53" t="s">
        <v>204</v>
      </c>
      <c r="H15" s="53" t="s">
        <v>221</v>
      </c>
    </row>
    <row r="16" spans="2:11" x14ac:dyDescent="0.25">
      <c r="B16" s="52"/>
      <c r="C16" s="52"/>
      <c r="D16" s="53"/>
      <c r="E16" s="53"/>
      <c r="F16" s="53"/>
      <c r="G16" s="53" t="s">
        <v>205</v>
      </c>
      <c r="H16" s="53" t="s">
        <v>222</v>
      </c>
    </row>
    <row r="17" spans="2:8" x14ac:dyDescent="0.25">
      <c r="B17" s="52"/>
      <c r="C17" s="52"/>
      <c r="D17" s="53"/>
      <c r="E17" s="53"/>
      <c r="F17" s="53"/>
      <c r="G17" s="53" t="s">
        <v>206</v>
      </c>
      <c r="H17" s="53" t="s">
        <v>223</v>
      </c>
    </row>
    <row r="18" spans="2:8" x14ac:dyDescent="0.25">
      <c r="B18" s="52"/>
      <c r="C18" s="52"/>
      <c r="D18" s="53"/>
      <c r="E18" s="53"/>
      <c r="F18" s="53"/>
      <c r="G18" s="53" t="s">
        <v>207</v>
      </c>
      <c r="H18" s="53" t="s">
        <v>224</v>
      </c>
    </row>
    <row r="24" spans="2:8" x14ac:dyDescent="0.25">
      <c r="C24" t="s">
        <v>169</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169</v>
      </c>
    </row>
    <row r="33" spans="3:11" x14ac:dyDescent="0.25">
      <c r="J33">
        <v>1</v>
      </c>
      <c r="K33">
        <v>2</v>
      </c>
    </row>
    <row r="34" spans="3:11" x14ac:dyDescent="0.25">
      <c r="C34" s="55" t="s">
        <v>235</v>
      </c>
      <c r="D34" s="53" t="s">
        <v>233</v>
      </c>
      <c r="E34" s="53" t="s">
        <v>238</v>
      </c>
      <c r="F34" s="53" t="s">
        <v>236</v>
      </c>
      <c r="G34" s="53" t="s">
        <v>237</v>
      </c>
      <c r="H34" s="53" t="s">
        <v>239</v>
      </c>
      <c r="J34" t="s">
        <v>193</v>
      </c>
      <c r="K34" t="s">
        <v>209</v>
      </c>
    </row>
    <row r="35" spans="3:11" x14ac:dyDescent="0.25">
      <c r="C35" s="52" t="s">
        <v>234</v>
      </c>
      <c r="D35" s="53" t="s">
        <v>170</v>
      </c>
      <c r="E35" s="53" t="s">
        <v>243</v>
      </c>
      <c r="F35" s="53" t="s">
        <v>245</v>
      </c>
      <c r="G35" s="53" t="s">
        <v>247</v>
      </c>
      <c r="H35" s="53"/>
    </row>
    <row r="36" spans="3:11" x14ac:dyDescent="0.25">
      <c r="C36" s="52"/>
      <c r="D36" s="53" t="s">
        <v>240</v>
      </c>
      <c r="E36" s="53" t="s">
        <v>244</v>
      </c>
      <c r="F36" s="53" t="s">
        <v>246</v>
      </c>
      <c r="G36" s="53" t="s">
        <v>248</v>
      </c>
      <c r="H36" s="53"/>
    </row>
    <row r="37" spans="3:11" x14ac:dyDescent="0.25">
      <c r="C37" s="52"/>
      <c r="D37" s="53" t="s">
        <v>241</v>
      </c>
      <c r="E37" s="53"/>
      <c r="F37" s="53"/>
      <c r="G37" s="53" t="s">
        <v>249</v>
      </c>
      <c r="H37" s="53"/>
    </row>
    <row r="38" spans="3:11" x14ac:dyDescent="0.25">
      <c r="C38" s="52"/>
      <c r="D38" s="53" t="s">
        <v>242</v>
      </c>
      <c r="E38" s="53"/>
      <c r="F38" s="53"/>
      <c r="G38" s="53" t="s">
        <v>249</v>
      </c>
      <c r="H38" s="53"/>
    </row>
    <row r="39" spans="3:11" x14ac:dyDescent="0.25">
      <c r="C39" s="52"/>
      <c r="D39" s="53"/>
      <c r="E39" s="53"/>
      <c r="F39" s="53"/>
      <c r="G39" s="53" t="s">
        <v>250</v>
      </c>
      <c r="H39" s="53"/>
    </row>
    <row r="40" spans="3:11" x14ac:dyDescent="0.25">
      <c r="C40" s="52"/>
      <c r="D40" s="53"/>
      <c r="E40" s="53"/>
      <c r="F40" s="53"/>
      <c r="G40" s="53" t="s">
        <v>251</v>
      </c>
      <c r="H40" s="53"/>
    </row>
    <row r="41" spans="3:11" x14ac:dyDescent="0.25">
      <c r="C41" s="52"/>
      <c r="D41" s="53"/>
      <c r="E41" s="53"/>
      <c r="F41" s="53"/>
      <c r="G41" s="53"/>
      <c r="H41" s="53"/>
    </row>
    <row r="43" spans="3:11" x14ac:dyDescent="0.25">
      <c r="C43" t="s">
        <v>252</v>
      </c>
    </row>
    <row r="44" spans="3:11" x14ac:dyDescent="0.25">
      <c r="C44" t="s">
        <v>172</v>
      </c>
      <c r="D44" t="s">
        <v>253</v>
      </c>
    </row>
    <row r="45" spans="3:11" x14ac:dyDescent="0.25">
      <c r="D45" t="s">
        <v>254</v>
      </c>
    </row>
    <row r="46" spans="3:11" x14ac:dyDescent="0.25">
      <c r="D46" t="s">
        <v>255</v>
      </c>
    </row>
    <row r="47" spans="3:11" x14ac:dyDescent="0.25">
      <c r="D47" t="s">
        <v>256</v>
      </c>
    </row>
    <row r="48" spans="3:11" x14ac:dyDescent="0.25">
      <c r="D48" t="s">
        <v>257</v>
      </c>
    </row>
    <row r="49" spans="3:4" x14ac:dyDescent="0.25">
      <c r="C49" t="s">
        <v>178</v>
      </c>
      <c r="D49" t="s">
        <v>258</v>
      </c>
    </row>
    <row r="50" spans="3:4" x14ac:dyDescent="0.25">
      <c r="D50" t="s">
        <v>259</v>
      </c>
    </row>
    <row r="51" spans="3:4" x14ac:dyDescent="0.25">
      <c r="D51" t="s">
        <v>260</v>
      </c>
    </row>
    <row r="52" spans="3:4" x14ac:dyDescent="0.25">
      <c r="D52" t="s">
        <v>263</v>
      </c>
    </row>
    <row r="53" spans="3:4" x14ac:dyDescent="0.25">
      <c r="D53" t="s">
        <v>261</v>
      </c>
    </row>
    <row r="54" spans="3:4" x14ac:dyDescent="0.25">
      <c r="D54" t="s">
        <v>262</v>
      </c>
    </row>
    <row r="55" spans="3:4" x14ac:dyDescent="0.25">
      <c r="D55" t="s">
        <v>264</v>
      </c>
    </row>
    <row r="56" spans="3:4" x14ac:dyDescent="0.25">
      <c r="D56" t="s">
        <v>265</v>
      </c>
    </row>
    <row r="57" spans="3:4" x14ac:dyDescent="0.25">
      <c r="D57" t="s">
        <v>266</v>
      </c>
    </row>
    <row r="58" spans="3:4" x14ac:dyDescent="0.25">
      <c r="D58" t="s">
        <v>268</v>
      </c>
    </row>
    <row r="59" spans="3:4" x14ac:dyDescent="0.25">
      <c r="D59" t="s">
        <v>277</v>
      </c>
    </row>
    <row r="60" spans="3:4" x14ac:dyDescent="0.25">
      <c r="C60" t="s">
        <v>193</v>
      </c>
      <c r="D60" t="s">
        <v>269</v>
      </c>
    </row>
    <row r="61" spans="3:4" x14ac:dyDescent="0.25">
      <c r="D61" t="s">
        <v>267</v>
      </c>
    </row>
    <row r="62" spans="3:4" x14ac:dyDescent="0.25">
      <c r="D62" t="s">
        <v>257</v>
      </c>
    </row>
    <row r="63" spans="3:4" x14ac:dyDescent="0.25">
      <c r="D63" t="s">
        <v>270</v>
      </c>
    </row>
    <row r="64" spans="3:4" x14ac:dyDescent="0.25">
      <c r="D64" t="s">
        <v>271</v>
      </c>
    </row>
    <row r="65" spans="3:4" x14ac:dyDescent="0.25">
      <c r="D65" t="s">
        <v>272</v>
      </c>
    </row>
    <row r="66" spans="3:4" x14ac:dyDescent="0.25">
      <c r="D66" t="s">
        <v>273</v>
      </c>
    </row>
    <row r="67" spans="3:4" x14ac:dyDescent="0.25">
      <c r="C67" t="s">
        <v>188</v>
      </c>
      <c r="D67" t="s">
        <v>274</v>
      </c>
    </row>
    <row r="68" spans="3:4" x14ac:dyDescent="0.25">
      <c r="D68" t="s">
        <v>275</v>
      </c>
    </row>
    <row r="69" spans="3:4" x14ac:dyDescent="0.25">
      <c r="D69" t="s">
        <v>276</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F55"/>
  <sheetViews>
    <sheetView topLeftCell="A43" zoomScale="115" zoomScaleNormal="115" workbookViewId="0">
      <selection activeCell="C48" sqref="C48"/>
    </sheetView>
  </sheetViews>
  <sheetFormatPr defaultRowHeight="15" x14ac:dyDescent="0.25"/>
  <cols>
    <col min="2" max="2" width="3" bestFit="1" customWidth="1"/>
    <col min="3" max="3" width="155.28515625" customWidth="1"/>
  </cols>
  <sheetData>
    <row r="2" spans="2:3" ht="15" customHeight="1" x14ac:dyDescent="0.25">
      <c r="B2" s="56">
        <v>1</v>
      </c>
      <c r="C2" s="58" t="s">
        <v>282</v>
      </c>
    </row>
    <row r="3" spans="2:3" x14ac:dyDescent="0.25">
      <c r="B3" s="56">
        <v>2</v>
      </c>
      <c r="C3" s="57" t="s">
        <v>283</v>
      </c>
    </row>
    <row r="4" spans="2:3" x14ac:dyDescent="0.25">
      <c r="B4" s="56">
        <v>3</v>
      </c>
      <c r="C4" s="56" t="s">
        <v>284</v>
      </c>
    </row>
    <row r="5" spans="2:3" x14ac:dyDescent="0.25">
      <c r="B5" s="56">
        <v>4</v>
      </c>
      <c r="C5" s="57" t="s">
        <v>285</v>
      </c>
    </row>
    <row r="6" spans="2:3" x14ac:dyDescent="0.25">
      <c r="B6" s="56">
        <v>5</v>
      </c>
      <c r="C6" s="56" t="s">
        <v>286</v>
      </c>
    </row>
    <row r="7" spans="2:3" ht="30" x14ac:dyDescent="0.25">
      <c r="B7" s="56">
        <v>6</v>
      </c>
      <c r="C7" s="57" t="s">
        <v>287</v>
      </c>
    </row>
    <row r="8" spans="2:3" ht="75" x14ac:dyDescent="0.25">
      <c r="B8" s="56">
        <v>7</v>
      </c>
      <c r="C8" s="57" t="s">
        <v>288</v>
      </c>
    </row>
    <row r="9" spans="2:3" x14ac:dyDescent="0.25">
      <c r="B9" s="56">
        <v>8</v>
      </c>
      <c r="C9" s="56" t="s">
        <v>289</v>
      </c>
    </row>
    <row r="10" spans="2:3" x14ac:dyDescent="0.25">
      <c r="B10" s="56">
        <v>9</v>
      </c>
      <c r="C10" s="56" t="s">
        <v>290</v>
      </c>
    </row>
    <row r="11" spans="2:3" x14ac:dyDescent="0.25">
      <c r="B11" s="56">
        <v>10</v>
      </c>
      <c r="C11" s="56" t="s">
        <v>291</v>
      </c>
    </row>
    <row r="12" spans="2:3" x14ac:dyDescent="0.25">
      <c r="B12" s="56">
        <v>11</v>
      </c>
      <c r="C12" s="56" t="s">
        <v>292</v>
      </c>
    </row>
    <row r="13" spans="2:3" x14ac:dyDescent="0.25">
      <c r="B13" s="56">
        <v>12</v>
      </c>
      <c r="C13" s="56" t="s">
        <v>293</v>
      </c>
    </row>
    <row r="14" spans="2:3" x14ac:dyDescent="0.25">
      <c r="B14" s="56">
        <v>13</v>
      </c>
      <c r="C14" s="56" t="s">
        <v>294</v>
      </c>
    </row>
    <row r="15" spans="2:3" x14ac:dyDescent="0.25">
      <c r="B15" s="56">
        <v>14</v>
      </c>
      <c r="C15" s="56" t="s">
        <v>284</v>
      </c>
    </row>
    <row r="16" spans="2:3" x14ac:dyDescent="0.25">
      <c r="B16" s="56">
        <v>15</v>
      </c>
      <c r="C16" s="56" t="s">
        <v>296</v>
      </c>
    </row>
    <row r="17" spans="2:3" x14ac:dyDescent="0.25">
      <c r="B17" s="77">
        <v>16</v>
      </c>
      <c r="C17" s="62" t="s">
        <v>297</v>
      </c>
    </row>
    <row r="18" spans="2:3" x14ac:dyDescent="0.25">
      <c r="B18" s="61">
        <v>17</v>
      </c>
      <c r="C18" s="62" t="s">
        <v>298</v>
      </c>
    </row>
    <row r="19" spans="2:3" x14ac:dyDescent="0.25">
      <c r="B19" s="60">
        <v>18</v>
      </c>
      <c r="C19" s="56" t="s">
        <v>299</v>
      </c>
    </row>
    <row r="20" spans="2:3" x14ac:dyDescent="0.25">
      <c r="B20" s="61">
        <v>19</v>
      </c>
      <c r="C20" s="56" t="s">
        <v>335</v>
      </c>
    </row>
    <row r="21" spans="2:3" x14ac:dyDescent="0.25">
      <c r="B21" s="56">
        <v>20</v>
      </c>
      <c r="C21" s="56" t="s">
        <v>300</v>
      </c>
    </row>
    <row r="22" spans="2:3" x14ac:dyDescent="0.25">
      <c r="B22" s="61">
        <v>21</v>
      </c>
      <c r="C22" s="56" t="s">
        <v>299</v>
      </c>
    </row>
    <row r="23" spans="2:3" s="72" customFormat="1" ht="29.25" customHeight="1" x14ac:dyDescent="0.25">
      <c r="B23" s="71">
        <v>22</v>
      </c>
      <c r="C23" s="58" t="s">
        <v>327</v>
      </c>
    </row>
    <row r="24" spans="2:3" s="72" customFormat="1" ht="30.75" customHeight="1" x14ac:dyDescent="0.25">
      <c r="B24" s="73">
        <v>23</v>
      </c>
      <c r="C24" s="58" t="s">
        <v>328</v>
      </c>
    </row>
    <row r="25" spans="2:3" x14ac:dyDescent="0.25">
      <c r="B25" s="56">
        <v>24</v>
      </c>
      <c r="C25" s="56" t="s">
        <v>331</v>
      </c>
    </row>
    <row r="26" spans="2:3" x14ac:dyDescent="0.25">
      <c r="B26" s="61">
        <v>25</v>
      </c>
      <c r="C26" s="56" t="s">
        <v>329</v>
      </c>
    </row>
    <row r="27" spans="2:3" x14ac:dyDescent="0.25">
      <c r="B27" s="73">
        <v>26</v>
      </c>
      <c r="C27" s="56" t="s">
        <v>330</v>
      </c>
    </row>
    <row r="28" spans="2:3" x14ac:dyDescent="0.25">
      <c r="B28" s="61">
        <v>27</v>
      </c>
      <c r="C28" s="56" t="s">
        <v>332</v>
      </c>
    </row>
    <row r="29" spans="2:3" ht="60" x14ac:dyDescent="0.25">
      <c r="B29" s="76">
        <v>28</v>
      </c>
      <c r="C29" s="57" t="s">
        <v>333</v>
      </c>
    </row>
    <row r="30" spans="2:3" x14ac:dyDescent="0.25">
      <c r="B30" s="73">
        <v>29</v>
      </c>
      <c r="C30" s="56" t="s">
        <v>334</v>
      </c>
    </row>
    <row r="31" spans="2:3" ht="30" x14ac:dyDescent="0.25">
      <c r="B31" s="73">
        <v>30</v>
      </c>
      <c r="C31" s="57" t="s">
        <v>336</v>
      </c>
    </row>
    <row r="32" spans="2:3" x14ac:dyDescent="0.25">
      <c r="B32" s="73">
        <v>31</v>
      </c>
      <c r="C32" s="56" t="s">
        <v>337</v>
      </c>
    </row>
    <row r="33" spans="2:4" x14ac:dyDescent="0.25">
      <c r="B33" s="73">
        <v>32</v>
      </c>
      <c r="C33" s="56" t="s">
        <v>338</v>
      </c>
    </row>
    <row r="34" spans="2:4" ht="36.75" customHeight="1" x14ac:dyDescent="0.25">
      <c r="B34" s="73">
        <v>33</v>
      </c>
      <c r="C34" s="62" t="s">
        <v>339</v>
      </c>
    </row>
    <row r="35" spans="2:4" x14ac:dyDescent="0.25">
      <c r="B35" s="71">
        <v>34</v>
      </c>
      <c r="C35" s="56" t="s">
        <v>347</v>
      </c>
    </row>
    <row r="36" spans="2:4" ht="60" x14ac:dyDescent="0.25">
      <c r="B36" s="71">
        <v>35</v>
      </c>
      <c r="C36" s="57" t="s">
        <v>351</v>
      </c>
    </row>
    <row r="37" spans="2:4" x14ac:dyDescent="0.25">
      <c r="B37" s="56">
        <v>36</v>
      </c>
      <c r="C37" s="57" t="s">
        <v>362</v>
      </c>
    </row>
    <row r="38" spans="2:4" x14ac:dyDescent="0.25">
      <c r="B38" s="56">
        <f t="shared" ref="B38:B44" si="0">B37+1</f>
        <v>37</v>
      </c>
      <c r="C38" s="56" t="s">
        <v>358</v>
      </c>
    </row>
    <row r="39" spans="2:4" x14ac:dyDescent="0.25">
      <c r="B39" s="56">
        <f t="shared" si="0"/>
        <v>38</v>
      </c>
      <c r="C39" s="56" t="s">
        <v>359</v>
      </c>
    </row>
    <row r="40" spans="2:4" x14ac:dyDescent="0.25">
      <c r="B40" s="56">
        <f t="shared" si="0"/>
        <v>39</v>
      </c>
      <c r="C40" s="56" t="s">
        <v>360</v>
      </c>
    </row>
    <row r="41" spans="2:4" x14ac:dyDescent="0.25">
      <c r="B41" s="56">
        <f t="shared" si="0"/>
        <v>40</v>
      </c>
      <c r="C41" s="56" t="s">
        <v>361</v>
      </c>
    </row>
    <row r="42" spans="2:4" ht="30.75" thickBot="1" x14ac:dyDescent="0.3">
      <c r="B42" s="80">
        <f t="shared" si="0"/>
        <v>41</v>
      </c>
      <c r="C42" s="81" t="s">
        <v>363</v>
      </c>
    </row>
    <row r="43" spans="2:4" ht="30" x14ac:dyDescent="0.25">
      <c r="B43" s="84">
        <f t="shared" si="0"/>
        <v>42</v>
      </c>
      <c r="C43" s="89" t="s">
        <v>368</v>
      </c>
      <c r="D43" t="s">
        <v>369</v>
      </c>
    </row>
    <row r="44" spans="2:4" ht="15.75" thickBot="1" x14ac:dyDescent="0.3">
      <c r="B44" s="86">
        <f t="shared" si="0"/>
        <v>43</v>
      </c>
      <c r="C44" s="88" t="s">
        <v>364</v>
      </c>
    </row>
    <row r="45" spans="2:4" ht="15.75" thickBot="1" x14ac:dyDescent="0.3">
      <c r="B45" s="82">
        <f t="shared" ref="B45:B54" si="1">B44+1</f>
        <v>44</v>
      </c>
      <c r="C45" s="83" t="s">
        <v>365</v>
      </c>
    </row>
    <row r="46" spans="2:4" ht="30" x14ac:dyDescent="0.25">
      <c r="B46" s="84">
        <f t="shared" si="1"/>
        <v>45</v>
      </c>
      <c r="C46" s="85" t="s">
        <v>366</v>
      </c>
    </row>
    <row r="47" spans="2:4" ht="15.75" thickBot="1" x14ac:dyDescent="0.3">
      <c r="B47" s="86">
        <f t="shared" si="1"/>
        <v>46</v>
      </c>
      <c r="C47" s="87" t="s">
        <v>367</v>
      </c>
    </row>
    <row r="48" spans="2:4" x14ac:dyDescent="0.25">
      <c r="B48" s="90">
        <f t="shared" si="1"/>
        <v>47</v>
      </c>
      <c r="C48" s="91" t="s">
        <v>370</v>
      </c>
    </row>
    <row r="49" spans="2:6" x14ac:dyDescent="0.25">
      <c r="B49" s="90">
        <f t="shared" si="1"/>
        <v>48</v>
      </c>
      <c r="C49" s="91" t="s">
        <v>371</v>
      </c>
    </row>
    <row r="50" spans="2:6" x14ac:dyDescent="0.25">
      <c r="B50" s="90">
        <f t="shared" si="1"/>
        <v>49</v>
      </c>
      <c r="C50" s="91" t="s">
        <v>373</v>
      </c>
      <c r="D50" t="s">
        <v>372</v>
      </c>
    </row>
    <row r="51" spans="2:6" ht="30" x14ac:dyDescent="0.25">
      <c r="B51" s="92">
        <f t="shared" si="1"/>
        <v>50</v>
      </c>
      <c r="C51" s="93" t="s">
        <v>374</v>
      </c>
    </row>
    <row r="52" spans="2:6" x14ac:dyDescent="0.25">
      <c r="B52" s="92">
        <f t="shared" si="1"/>
        <v>51</v>
      </c>
      <c r="C52" s="94" t="s">
        <v>376</v>
      </c>
      <c r="D52" t="s">
        <v>377</v>
      </c>
    </row>
    <row r="53" spans="2:6" x14ac:dyDescent="0.25">
      <c r="B53" s="92">
        <f t="shared" si="1"/>
        <v>52</v>
      </c>
      <c r="C53" s="94" t="s">
        <v>379</v>
      </c>
      <c r="D53" t="s">
        <v>380</v>
      </c>
    </row>
    <row r="54" spans="2:6" ht="45" x14ac:dyDescent="0.25">
      <c r="B54" s="92">
        <f t="shared" si="1"/>
        <v>53</v>
      </c>
      <c r="C54" s="62" t="s">
        <v>383</v>
      </c>
      <c r="D54" t="s">
        <v>382</v>
      </c>
    </row>
    <row r="55" spans="2:6" ht="30" x14ac:dyDescent="0.25">
      <c r="B55">
        <v>54</v>
      </c>
      <c r="C55" s="96" t="s">
        <v>384</v>
      </c>
      <c r="D55" s="283" t="s">
        <v>385</v>
      </c>
      <c r="E55" s="284"/>
      <c r="F55" s="284"/>
    </row>
  </sheetData>
  <mergeCells count="1">
    <mergeCell ref="D55:F55"/>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2"/>
    <col min="2" max="2" width="12.28515625" style="52" customWidth="1"/>
    <col min="3" max="16384" width="9.140625" style="52"/>
  </cols>
  <sheetData>
    <row r="2" spans="1:12" x14ac:dyDescent="0.25">
      <c r="B2" s="65" t="s">
        <v>301</v>
      </c>
      <c r="C2" s="285"/>
      <c r="D2" s="285"/>
    </row>
    <row r="3" spans="1:12" x14ac:dyDescent="0.25">
      <c r="D3" s="66"/>
      <c r="E3" s="66"/>
      <c r="F3" s="66"/>
      <c r="G3" s="66"/>
      <c r="H3" s="66"/>
      <c r="I3" s="66"/>
    </row>
    <row r="4" spans="1:12" x14ac:dyDescent="0.25">
      <c r="A4" s="65" t="s">
        <v>63</v>
      </c>
      <c r="B4" s="67" t="s">
        <v>302</v>
      </c>
      <c r="C4" s="286" t="s">
        <v>303</v>
      </c>
      <c r="D4" s="286"/>
      <c r="E4" s="286"/>
      <c r="F4" s="67"/>
      <c r="G4" s="287" t="s">
        <v>304</v>
      </c>
      <c r="H4" s="287"/>
      <c r="I4" s="287"/>
      <c r="J4" s="288" t="s">
        <v>305</v>
      </c>
      <c r="K4" s="288"/>
      <c r="L4" s="288"/>
    </row>
    <row r="5" spans="1:12" x14ac:dyDescent="0.25">
      <c r="A5" s="65"/>
      <c r="B5" s="67"/>
      <c r="C5" s="67" t="s">
        <v>306</v>
      </c>
      <c r="D5" s="67" t="s">
        <v>307</v>
      </c>
      <c r="E5" s="67" t="s">
        <v>308</v>
      </c>
      <c r="F5" s="67"/>
      <c r="G5" s="67" t="s">
        <v>306</v>
      </c>
      <c r="H5" s="67" t="s">
        <v>307</v>
      </c>
      <c r="I5" s="67" t="s">
        <v>308</v>
      </c>
      <c r="J5" s="67" t="s">
        <v>306</v>
      </c>
      <c r="K5" s="67" t="s">
        <v>307</v>
      </c>
      <c r="L5" s="67" t="s">
        <v>308</v>
      </c>
    </row>
    <row r="6" spans="1:12" x14ac:dyDescent="0.25">
      <c r="B6" s="53" t="s">
        <v>309</v>
      </c>
      <c r="C6" s="53"/>
      <c r="D6" s="53"/>
      <c r="E6" s="53">
        <f>C6*D6</f>
        <v>0</v>
      </c>
      <c r="F6" s="53" t="s">
        <v>326</v>
      </c>
      <c r="G6" s="53"/>
      <c r="H6" s="53"/>
      <c r="I6" s="53">
        <f>G6*H6</f>
        <v>0</v>
      </c>
      <c r="J6" s="53"/>
      <c r="K6" s="53"/>
      <c r="L6" s="53">
        <f>J6*K6</f>
        <v>0</v>
      </c>
    </row>
    <row r="7" spans="1:12" x14ac:dyDescent="0.25">
      <c r="B7" s="53"/>
      <c r="C7" s="53"/>
      <c r="D7" s="53"/>
      <c r="E7" s="53">
        <f t="shared" ref="E7:E41" si="0">C7*D7</f>
        <v>0</v>
      </c>
      <c r="F7" s="53" t="s">
        <v>326</v>
      </c>
      <c r="G7" s="53"/>
      <c r="H7" s="53"/>
      <c r="I7" s="53">
        <f t="shared" ref="I7:I35" si="1">G7*H7</f>
        <v>0</v>
      </c>
      <c r="J7" s="53"/>
      <c r="K7" s="53"/>
      <c r="L7" s="53">
        <f t="shared" ref="L7:L35" si="2">J7*K7</f>
        <v>0</v>
      </c>
    </row>
    <row r="8" spans="1:12" x14ac:dyDescent="0.25">
      <c r="B8" s="53"/>
      <c r="C8" s="53"/>
      <c r="D8" s="53"/>
      <c r="E8" s="53">
        <f t="shared" si="0"/>
        <v>0</v>
      </c>
      <c r="F8" s="53"/>
      <c r="G8" s="53"/>
      <c r="H8" s="53"/>
      <c r="I8" s="53">
        <f t="shared" si="1"/>
        <v>0</v>
      </c>
      <c r="J8" s="53"/>
      <c r="K8" s="53"/>
      <c r="L8" s="53">
        <f t="shared" si="2"/>
        <v>0</v>
      </c>
    </row>
    <row r="9" spans="1:12" x14ac:dyDescent="0.25">
      <c r="B9" s="53"/>
      <c r="C9" s="53"/>
      <c r="D9" s="53"/>
      <c r="E9" s="53">
        <f t="shared" si="0"/>
        <v>0</v>
      </c>
      <c r="F9" s="53" t="s">
        <v>310</v>
      </c>
      <c r="G9" s="53"/>
      <c r="H9" s="53"/>
      <c r="I9" s="53">
        <f t="shared" si="1"/>
        <v>0</v>
      </c>
      <c r="J9" s="53"/>
      <c r="K9" s="53"/>
      <c r="L9" s="53">
        <f t="shared" si="2"/>
        <v>0</v>
      </c>
    </row>
    <row r="10" spans="1:12" x14ac:dyDescent="0.25">
      <c r="B10" s="53" t="s">
        <v>311</v>
      </c>
      <c r="C10" s="53"/>
      <c r="D10" s="53"/>
      <c r="E10" s="53">
        <f t="shared" si="0"/>
        <v>0</v>
      </c>
      <c r="F10" s="53" t="s">
        <v>310</v>
      </c>
      <c r="G10" s="53"/>
      <c r="H10" s="53"/>
      <c r="I10" s="53">
        <f t="shared" si="1"/>
        <v>0</v>
      </c>
      <c r="J10" s="53"/>
      <c r="K10" s="53"/>
      <c r="L10" s="53">
        <f t="shared" si="2"/>
        <v>0</v>
      </c>
    </row>
    <row r="11" spans="1:12" x14ac:dyDescent="0.25">
      <c r="B11" s="53"/>
      <c r="C11" s="53"/>
      <c r="D11" s="53"/>
      <c r="E11" s="53">
        <f t="shared" si="0"/>
        <v>0</v>
      </c>
      <c r="F11" s="53" t="s">
        <v>312</v>
      </c>
      <c r="G11" s="53"/>
      <c r="H11" s="53"/>
      <c r="I11" s="53">
        <f t="shared" si="1"/>
        <v>0</v>
      </c>
      <c r="J11" s="53"/>
      <c r="K11" s="53"/>
      <c r="L11" s="53">
        <f t="shared" si="2"/>
        <v>0</v>
      </c>
    </row>
    <row r="12" spans="1:12" x14ac:dyDescent="0.25">
      <c r="B12" s="53"/>
      <c r="C12" s="53"/>
      <c r="D12" s="53"/>
      <c r="E12" s="53">
        <f t="shared" si="0"/>
        <v>0</v>
      </c>
      <c r="F12" s="53"/>
      <c r="G12" s="53"/>
      <c r="H12" s="53"/>
      <c r="I12" s="53">
        <f t="shared" si="1"/>
        <v>0</v>
      </c>
      <c r="J12" s="53"/>
      <c r="K12" s="53"/>
      <c r="L12" s="53">
        <f t="shared" si="2"/>
        <v>0</v>
      </c>
    </row>
    <row r="13" spans="1:12" x14ac:dyDescent="0.25">
      <c r="B13" s="53"/>
      <c r="C13" s="53"/>
      <c r="D13" s="53"/>
      <c r="E13" s="53">
        <f t="shared" si="0"/>
        <v>0</v>
      </c>
      <c r="F13" s="53"/>
      <c r="G13" s="53"/>
      <c r="H13" s="53"/>
      <c r="I13" s="53">
        <f t="shared" si="1"/>
        <v>0</v>
      </c>
      <c r="J13" s="53"/>
      <c r="K13" s="53"/>
      <c r="L13" s="53">
        <f t="shared" si="2"/>
        <v>0</v>
      </c>
    </row>
    <row r="14" spans="1:12" x14ac:dyDescent="0.25">
      <c r="B14" s="53" t="s">
        <v>313</v>
      </c>
      <c r="C14" s="53"/>
      <c r="D14" s="53"/>
      <c r="E14" s="53">
        <f t="shared" si="0"/>
        <v>0</v>
      </c>
      <c r="F14" s="53" t="s">
        <v>310</v>
      </c>
      <c r="G14" s="53"/>
      <c r="H14" s="53"/>
      <c r="I14" s="53">
        <f t="shared" si="1"/>
        <v>0</v>
      </c>
      <c r="J14" s="53"/>
      <c r="K14" s="53"/>
      <c r="L14" s="53">
        <f t="shared" si="2"/>
        <v>0</v>
      </c>
    </row>
    <row r="15" spans="1:12" x14ac:dyDescent="0.25">
      <c r="B15" s="53"/>
      <c r="C15" s="53"/>
      <c r="D15" s="53"/>
      <c r="E15" s="53">
        <f t="shared" si="0"/>
        <v>0</v>
      </c>
      <c r="F15" s="53" t="s">
        <v>312</v>
      </c>
      <c r="G15" s="53"/>
      <c r="H15" s="53"/>
      <c r="I15" s="53">
        <f t="shared" si="1"/>
        <v>0</v>
      </c>
      <c r="J15" s="53"/>
      <c r="K15" s="53"/>
      <c r="L15" s="53">
        <f t="shared" si="2"/>
        <v>0</v>
      </c>
    </row>
    <row r="16" spans="1:12" x14ac:dyDescent="0.25">
      <c r="B16" s="53"/>
      <c r="C16" s="53"/>
      <c r="D16" s="53"/>
      <c r="E16" s="53">
        <f t="shared" si="0"/>
        <v>0</v>
      </c>
      <c r="F16" s="53"/>
      <c r="G16" s="53"/>
      <c r="H16" s="53"/>
      <c r="I16" s="53">
        <f t="shared" si="1"/>
        <v>0</v>
      </c>
      <c r="J16" s="53"/>
      <c r="K16" s="53"/>
      <c r="L16" s="53">
        <f t="shared" si="2"/>
        <v>0</v>
      </c>
    </row>
    <row r="17" spans="2:12" x14ac:dyDescent="0.25">
      <c r="B17" s="53"/>
      <c r="C17" s="53"/>
      <c r="D17" s="53"/>
      <c r="E17" s="53">
        <f t="shared" si="0"/>
        <v>0</v>
      </c>
      <c r="F17" s="53"/>
      <c r="G17" s="53"/>
      <c r="H17" s="53"/>
      <c r="I17" s="53">
        <f t="shared" si="1"/>
        <v>0</v>
      </c>
      <c r="J17" s="53"/>
      <c r="K17" s="53"/>
      <c r="L17" s="53">
        <f t="shared" si="2"/>
        <v>0</v>
      </c>
    </row>
    <row r="18" spans="2:12" x14ac:dyDescent="0.25">
      <c r="B18" s="53" t="s">
        <v>314</v>
      </c>
      <c r="C18" s="53"/>
      <c r="D18" s="53"/>
      <c r="E18" s="53">
        <f t="shared" si="0"/>
        <v>0</v>
      </c>
      <c r="F18" s="53" t="s">
        <v>310</v>
      </c>
      <c r="G18" s="53"/>
      <c r="H18" s="53"/>
      <c r="I18" s="53">
        <f t="shared" si="1"/>
        <v>0</v>
      </c>
      <c r="J18" s="53"/>
      <c r="K18" s="53"/>
      <c r="L18" s="53">
        <f t="shared" si="2"/>
        <v>0</v>
      </c>
    </row>
    <row r="19" spans="2:12" x14ac:dyDescent="0.25">
      <c r="B19" s="53"/>
      <c r="C19" s="53"/>
      <c r="D19" s="53"/>
      <c r="E19" s="53">
        <f t="shared" si="0"/>
        <v>0</v>
      </c>
      <c r="F19" s="53" t="s">
        <v>312</v>
      </c>
      <c r="G19" s="53"/>
      <c r="H19" s="53"/>
      <c r="I19" s="53">
        <f t="shared" si="1"/>
        <v>0</v>
      </c>
      <c r="J19" s="53"/>
      <c r="K19" s="53"/>
      <c r="L19" s="53">
        <f t="shared" si="2"/>
        <v>0</v>
      </c>
    </row>
    <row r="20" spans="2:12" x14ac:dyDescent="0.25">
      <c r="B20" s="53"/>
      <c r="C20" s="53"/>
      <c r="D20" s="53"/>
      <c r="E20" s="53">
        <f t="shared" si="0"/>
        <v>0</v>
      </c>
      <c r="F20" s="53"/>
      <c r="G20" s="53"/>
      <c r="H20" s="53"/>
      <c r="I20" s="53">
        <f t="shared" si="1"/>
        <v>0</v>
      </c>
      <c r="J20" s="53"/>
      <c r="K20" s="53"/>
      <c r="L20" s="53">
        <f t="shared" si="2"/>
        <v>0</v>
      </c>
    </row>
    <row r="21" spans="2:12" x14ac:dyDescent="0.25">
      <c r="B21" s="53" t="s">
        <v>315</v>
      </c>
      <c r="C21" s="53"/>
      <c r="D21" s="53"/>
      <c r="E21" s="53">
        <f t="shared" si="0"/>
        <v>0</v>
      </c>
      <c r="F21" s="53" t="s">
        <v>310</v>
      </c>
      <c r="G21" s="53"/>
      <c r="H21" s="53"/>
      <c r="I21" s="53">
        <f t="shared" si="1"/>
        <v>0</v>
      </c>
      <c r="J21" s="53"/>
      <c r="K21" s="53"/>
      <c r="L21" s="53">
        <f t="shared" si="2"/>
        <v>0</v>
      </c>
    </row>
    <row r="22" spans="2:12" x14ac:dyDescent="0.25">
      <c r="B22" s="53"/>
      <c r="C22" s="53"/>
      <c r="D22" s="53"/>
      <c r="E22" s="53">
        <f t="shared" si="0"/>
        <v>0</v>
      </c>
      <c r="F22" s="53" t="s">
        <v>312</v>
      </c>
      <c r="G22" s="53"/>
      <c r="H22" s="53"/>
      <c r="I22" s="53">
        <f t="shared" si="1"/>
        <v>0</v>
      </c>
      <c r="J22" s="53"/>
      <c r="K22" s="53"/>
      <c r="L22" s="53">
        <f t="shared" si="2"/>
        <v>0</v>
      </c>
    </row>
    <row r="23" spans="2:12" x14ac:dyDescent="0.25">
      <c r="B23" s="53"/>
      <c r="C23" s="53"/>
      <c r="D23" s="53"/>
      <c r="E23" s="53">
        <f t="shared" si="0"/>
        <v>0</v>
      </c>
      <c r="F23" s="53"/>
      <c r="G23" s="53"/>
      <c r="H23" s="53"/>
      <c r="I23" s="53">
        <f t="shared" si="1"/>
        <v>0</v>
      </c>
      <c r="J23" s="53"/>
      <c r="K23" s="53"/>
      <c r="L23" s="53">
        <f t="shared" si="2"/>
        <v>0</v>
      </c>
    </row>
    <row r="24" spans="2:12" x14ac:dyDescent="0.25">
      <c r="B24" s="53" t="s">
        <v>316</v>
      </c>
      <c r="C24" s="53"/>
      <c r="D24" s="53"/>
      <c r="E24" s="53">
        <f t="shared" si="0"/>
        <v>0</v>
      </c>
      <c r="F24" s="53" t="s">
        <v>317</v>
      </c>
      <c r="G24" s="53"/>
      <c r="H24" s="53"/>
      <c r="I24" s="53">
        <f t="shared" si="1"/>
        <v>0</v>
      </c>
      <c r="J24" s="53"/>
      <c r="K24" s="53"/>
      <c r="L24" s="53">
        <f t="shared" si="2"/>
        <v>0</v>
      </c>
    </row>
    <row r="25" spans="2:12" x14ac:dyDescent="0.25">
      <c r="B25" s="53"/>
      <c r="C25" s="53"/>
      <c r="D25" s="53"/>
      <c r="E25" s="53">
        <f>C25*D25</f>
        <v>0</v>
      </c>
      <c r="F25" s="53" t="s">
        <v>317</v>
      </c>
      <c r="G25" s="53"/>
      <c r="H25" s="53"/>
      <c r="I25" s="53">
        <f>G25*H25</f>
        <v>0</v>
      </c>
      <c r="J25" s="53"/>
      <c r="K25" s="53"/>
      <c r="L25" s="53">
        <f>J25*K25</f>
        <v>0</v>
      </c>
    </row>
    <row r="26" spans="2:12" x14ac:dyDescent="0.25">
      <c r="B26" s="53"/>
      <c r="C26" s="53"/>
      <c r="D26" s="53"/>
      <c r="E26" s="53">
        <f>C26*D26</f>
        <v>0</v>
      </c>
      <c r="F26" s="53" t="s">
        <v>317</v>
      </c>
      <c r="G26" s="53"/>
      <c r="H26" s="53"/>
      <c r="I26" s="53">
        <f>G26*H26</f>
        <v>0</v>
      </c>
      <c r="J26" s="53"/>
      <c r="K26" s="53"/>
      <c r="L26" s="53">
        <f>J26*K26</f>
        <v>0</v>
      </c>
    </row>
    <row r="27" spans="2:12" x14ac:dyDescent="0.25">
      <c r="B27" s="53"/>
      <c r="C27" s="53"/>
      <c r="D27" s="53"/>
      <c r="E27" s="53">
        <f>C27*D27</f>
        <v>0</v>
      </c>
      <c r="F27" s="53" t="s">
        <v>317</v>
      </c>
      <c r="G27" s="53"/>
      <c r="H27" s="53"/>
      <c r="I27" s="53">
        <f>G27*H27</f>
        <v>0</v>
      </c>
      <c r="J27" s="53"/>
      <c r="K27" s="53"/>
      <c r="L27" s="53">
        <f>J27*K27</f>
        <v>0</v>
      </c>
    </row>
    <row r="28" spans="2:12" x14ac:dyDescent="0.25">
      <c r="B28" s="53" t="s">
        <v>318</v>
      </c>
      <c r="C28" s="53"/>
      <c r="D28" s="53"/>
      <c r="E28" s="53">
        <f t="shared" si="0"/>
        <v>0</v>
      </c>
      <c r="F28" s="53" t="s">
        <v>317</v>
      </c>
      <c r="G28" s="53"/>
      <c r="H28" s="53"/>
      <c r="I28" s="53">
        <f t="shared" si="1"/>
        <v>0</v>
      </c>
      <c r="J28" s="53"/>
      <c r="K28" s="53"/>
      <c r="L28" s="53">
        <f t="shared" si="2"/>
        <v>0</v>
      </c>
    </row>
    <row r="29" spans="2:12" x14ac:dyDescent="0.25">
      <c r="B29" s="53" t="s">
        <v>319</v>
      </c>
      <c r="C29" s="53"/>
      <c r="D29" s="53"/>
      <c r="E29" s="53">
        <f t="shared" si="0"/>
        <v>0</v>
      </c>
      <c r="F29" s="53" t="s">
        <v>317</v>
      </c>
      <c r="G29" s="53"/>
      <c r="H29" s="53"/>
      <c r="I29" s="53">
        <f t="shared" si="1"/>
        <v>0</v>
      </c>
      <c r="J29" s="53"/>
      <c r="K29" s="53"/>
      <c r="L29" s="53">
        <f t="shared" si="2"/>
        <v>0</v>
      </c>
    </row>
    <row r="30" spans="2:12" x14ac:dyDescent="0.25">
      <c r="B30" s="53" t="s">
        <v>323</v>
      </c>
      <c r="C30" s="53"/>
      <c r="D30" s="53"/>
      <c r="E30" s="53">
        <f t="shared" si="0"/>
        <v>0</v>
      </c>
      <c r="F30" s="53"/>
      <c r="G30" s="53"/>
      <c r="H30" s="53"/>
      <c r="I30" s="53">
        <f t="shared" si="1"/>
        <v>0</v>
      </c>
      <c r="J30" s="53"/>
      <c r="K30" s="53"/>
      <c r="L30" s="53">
        <f t="shared" si="2"/>
        <v>0</v>
      </c>
    </row>
    <row r="31" spans="2:12" x14ac:dyDescent="0.25">
      <c r="B31" s="53"/>
      <c r="C31" s="53"/>
      <c r="D31" s="53"/>
      <c r="E31" s="53">
        <f>C31*D31</f>
        <v>0</v>
      </c>
      <c r="F31" s="53"/>
      <c r="G31" s="53"/>
      <c r="H31" s="53"/>
      <c r="I31" s="53">
        <f>G31*H31</f>
        <v>0</v>
      </c>
      <c r="J31" s="53"/>
      <c r="K31" s="53"/>
      <c r="L31" s="53">
        <f>J31*K31</f>
        <v>0</v>
      </c>
    </row>
    <row r="32" spans="2:12" x14ac:dyDescent="0.25">
      <c r="B32" s="53"/>
      <c r="C32" s="53"/>
      <c r="D32" s="53"/>
      <c r="E32" s="53">
        <f>C32*D32</f>
        <v>0</v>
      </c>
      <c r="F32" s="53"/>
      <c r="G32" s="53"/>
      <c r="H32" s="53"/>
      <c r="I32" s="53">
        <f>G32*H32</f>
        <v>0</v>
      </c>
      <c r="J32" s="53"/>
      <c r="K32" s="53"/>
      <c r="L32" s="53">
        <f>J32*K32</f>
        <v>0</v>
      </c>
    </row>
    <row r="33" spans="2:12" x14ac:dyDescent="0.25">
      <c r="B33" s="53" t="s">
        <v>320</v>
      </c>
      <c r="C33" s="53"/>
      <c r="D33" s="53"/>
      <c r="E33" s="53">
        <f t="shared" si="0"/>
        <v>0</v>
      </c>
      <c r="F33" s="53"/>
      <c r="G33" s="53"/>
      <c r="H33" s="53"/>
      <c r="I33" s="53">
        <f t="shared" si="1"/>
        <v>0</v>
      </c>
      <c r="J33" s="53"/>
      <c r="K33" s="53"/>
      <c r="L33" s="53">
        <f t="shared" si="2"/>
        <v>0</v>
      </c>
    </row>
    <row r="34" spans="2:12" x14ac:dyDescent="0.25">
      <c r="B34" s="53" t="s">
        <v>324</v>
      </c>
      <c r="C34" s="53"/>
      <c r="D34" s="53"/>
      <c r="E34" s="53">
        <f t="shared" si="0"/>
        <v>0</v>
      </c>
      <c r="F34" s="53"/>
      <c r="G34" s="53"/>
      <c r="H34" s="53"/>
      <c r="I34" s="53">
        <f t="shared" si="1"/>
        <v>0</v>
      </c>
      <c r="J34" s="53"/>
      <c r="K34" s="53"/>
      <c r="L34" s="53">
        <f t="shared" si="2"/>
        <v>0</v>
      </c>
    </row>
    <row r="35" spans="2:12" x14ac:dyDescent="0.25">
      <c r="B35" s="53" t="s">
        <v>321</v>
      </c>
      <c r="C35" s="53"/>
      <c r="D35" s="53"/>
      <c r="E35" s="53">
        <f t="shared" si="0"/>
        <v>0</v>
      </c>
      <c r="F35" s="53"/>
      <c r="G35" s="53"/>
      <c r="H35" s="53"/>
      <c r="I35" s="53">
        <f t="shared" si="1"/>
        <v>0</v>
      </c>
      <c r="J35" s="53"/>
      <c r="K35" s="53"/>
      <c r="L35" s="53">
        <f t="shared" si="2"/>
        <v>0</v>
      </c>
    </row>
    <row r="36" spans="2:12" x14ac:dyDescent="0.25">
      <c r="B36" s="53" t="s">
        <v>322</v>
      </c>
      <c r="C36" s="53"/>
      <c r="D36" s="53"/>
      <c r="E36" s="53">
        <f t="shared" si="0"/>
        <v>0</v>
      </c>
      <c r="F36" s="53"/>
      <c r="G36" s="53"/>
      <c r="H36" s="53"/>
      <c r="I36" s="53">
        <f t="shared" ref="I36:I41" si="3">G36*H36</f>
        <v>0</v>
      </c>
      <c r="J36" s="53"/>
      <c r="K36" s="53"/>
      <c r="L36" s="53">
        <f t="shared" ref="L36:L41" si="4">J36*K36</f>
        <v>0</v>
      </c>
    </row>
    <row r="37" spans="2:12" x14ac:dyDescent="0.25">
      <c r="B37" s="53"/>
      <c r="C37" s="53"/>
      <c r="D37" s="53"/>
      <c r="E37" s="53">
        <f>C37*D37</f>
        <v>0</v>
      </c>
      <c r="F37" s="53"/>
      <c r="G37" s="53"/>
      <c r="H37" s="53"/>
      <c r="I37" s="53">
        <f t="shared" si="3"/>
        <v>0</v>
      </c>
      <c r="J37" s="53"/>
      <c r="K37" s="53"/>
      <c r="L37" s="53">
        <f t="shared" si="4"/>
        <v>0</v>
      </c>
    </row>
    <row r="38" spans="2:12" x14ac:dyDescent="0.25">
      <c r="B38" s="53" t="s">
        <v>325</v>
      </c>
      <c r="C38" s="53"/>
      <c r="D38" s="53"/>
      <c r="E38" s="53">
        <f>C38*D38</f>
        <v>0</v>
      </c>
      <c r="F38" s="53"/>
      <c r="G38" s="53"/>
      <c r="H38" s="53"/>
      <c r="I38" s="53">
        <f t="shared" si="3"/>
        <v>0</v>
      </c>
      <c r="J38" s="53"/>
      <c r="K38" s="53"/>
      <c r="L38" s="53">
        <f t="shared" si="4"/>
        <v>0</v>
      </c>
    </row>
    <row r="39" spans="2:12" x14ac:dyDescent="0.25">
      <c r="B39" s="53"/>
      <c r="C39" s="53"/>
      <c r="D39" s="53"/>
      <c r="E39" s="53">
        <f t="shared" si="0"/>
        <v>0</v>
      </c>
      <c r="F39" s="53"/>
      <c r="G39" s="53"/>
      <c r="H39" s="53"/>
      <c r="I39" s="53">
        <f t="shared" si="3"/>
        <v>0</v>
      </c>
      <c r="J39" s="53"/>
      <c r="K39" s="53"/>
      <c r="L39" s="53">
        <f t="shared" si="4"/>
        <v>0</v>
      </c>
    </row>
    <row r="40" spans="2:12" x14ac:dyDescent="0.25">
      <c r="B40" s="53"/>
      <c r="C40" s="53"/>
      <c r="D40" s="53"/>
      <c r="E40" s="53">
        <f t="shared" si="0"/>
        <v>0</v>
      </c>
      <c r="F40" s="53"/>
      <c r="G40" s="53"/>
      <c r="H40" s="53"/>
      <c r="I40" s="53">
        <f t="shared" si="3"/>
        <v>0</v>
      </c>
      <c r="J40" s="53"/>
      <c r="K40" s="53"/>
      <c r="L40" s="53">
        <f t="shared" si="4"/>
        <v>0</v>
      </c>
    </row>
    <row r="41" spans="2:12" x14ac:dyDescent="0.25">
      <c r="B41" s="53"/>
      <c r="C41" s="53"/>
      <c r="D41" s="53"/>
      <c r="E41" s="53">
        <f t="shared" si="0"/>
        <v>0</v>
      </c>
      <c r="F41" s="53"/>
      <c r="G41" s="53"/>
      <c r="H41" s="53"/>
      <c r="I41" s="53">
        <f t="shared" si="3"/>
        <v>0</v>
      </c>
      <c r="J41" s="53"/>
      <c r="K41" s="53"/>
      <c r="L41" s="53">
        <f t="shared" si="4"/>
        <v>0</v>
      </c>
    </row>
    <row r="42" spans="2:12" x14ac:dyDescent="0.25">
      <c r="B42" s="53" t="s">
        <v>150</v>
      </c>
      <c r="C42" s="53"/>
      <c r="D42" s="53">
        <f>E42*10.764</f>
        <v>0</v>
      </c>
      <c r="E42" s="70">
        <f>SUM(E6:E41)</f>
        <v>0</v>
      </c>
      <c r="F42" s="53"/>
      <c r="G42" s="53"/>
      <c r="H42" s="53">
        <f>I42*10.764</f>
        <v>0</v>
      </c>
      <c r="I42" s="69">
        <f>SUM(I6:I41)</f>
        <v>0</v>
      </c>
      <c r="J42" s="53"/>
      <c r="K42" s="53">
        <f>L42*10.764</f>
        <v>0</v>
      </c>
      <c r="L42" s="68">
        <f>SUM(L6:L41)</f>
        <v>0</v>
      </c>
    </row>
    <row r="44" spans="2:12" x14ac:dyDescent="0.25">
      <c r="D44" s="52">
        <f>D42+H42</f>
        <v>0</v>
      </c>
      <c r="E44" s="52">
        <f>E42+I42</f>
        <v>0</v>
      </c>
    </row>
  </sheetData>
  <mergeCells count="4">
    <mergeCell ref="C2:D2"/>
    <mergeCell ref="C4:E4"/>
    <mergeCell ref="G4:I4"/>
    <mergeCell ref="J4:L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6"/>
  <sheetViews>
    <sheetView workbookViewId="0">
      <selection activeCell="A3" sqref="A3:XFD16"/>
    </sheetView>
  </sheetViews>
  <sheetFormatPr defaultRowHeight="15" x14ac:dyDescent="0.25"/>
  <cols>
    <col min="1" max="8" width="11.5703125" customWidth="1"/>
    <col min="9" max="10" width="21.28515625" customWidth="1"/>
  </cols>
  <sheetData>
    <row r="2" spans="1:10" ht="15.75" thickBot="1" x14ac:dyDescent="0.3">
      <c r="A2" s="289" t="s">
        <v>388</v>
      </c>
      <c r="B2" s="289"/>
      <c r="C2" s="289"/>
      <c r="D2" s="289"/>
      <c r="E2" s="289"/>
      <c r="F2" s="289"/>
      <c r="G2" s="289"/>
      <c r="H2" s="289"/>
    </row>
    <row r="3" spans="1:10" ht="15.75" x14ac:dyDescent="0.25">
      <c r="A3" s="214" t="s">
        <v>137</v>
      </c>
      <c r="B3" s="215"/>
      <c r="C3" s="216" t="s">
        <v>387</v>
      </c>
      <c r="D3" s="217"/>
      <c r="E3" s="217"/>
      <c r="F3" s="217"/>
      <c r="G3" s="217"/>
      <c r="H3" s="218"/>
      <c r="I3" s="48" t="str">
        <f ca="1">IF(D16=100%,"All work Completed. Possession granted to the Building.",IF(D15=100%,"All work Completed, Waiting for OC",I4&amp;""&amp;I5&amp;""&amp;J4&amp;""&amp;J3&amp;" "&amp;J5))</f>
        <v xml:space="preserve">Excavation, Plinth, RCC Slab, Brickwork Completed </v>
      </c>
      <c r="J3" s="49" t="str">
        <f ca="1">(IF(C9=(D4+F4+H4),"",IF(C9&gt;0,", RCC upto "&amp;C9&amp;" Slab","")))&amp;(IF(C10=H4,"",IF(C10&gt;0,", Brickwork upto "&amp;C10&amp;" Floor","")))&amp;(IF(C11=H4,"",IF(C11&gt;0,", Internal Plaster upto "&amp;C11&amp;" Floor","")))&amp;(IF(C12=H4,"",IF(C12&gt;0,", External Plaster upto "&amp;C12&amp;" Floor","")))&amp;(IF(C13=H4,"",IF(C13&gt;0,", Flooring upto "&amp;C13&amp;" Floor","")))&amp;(IF(C14=H4,"",IF(C14&gt;0,", Painting upto "&amp;C14&amp;" Floor","")))&amp;(IF(C15=H4,"",IF(C15&gt;0,", Finishing upto "&amp;C15&amp;" Floor","")))&amp;(IF(C16=H4,"",IF(C16&gt;0,", Possession upto "&amp;C16&amp;" Floor","")))</f>
        <v/>
      </c>
    </row>
    <row r="4" spans="1:10" ht="15.75" x14ac:dyDescent="0.25">
      <c r="A4" s="16" t="s">
        <v>139</v>
      </c>
      <c r="B4" s="46">
        <f>IF(AND(ISNUMBER(SEARCH("1B",C3))),1,IF(AND(ISNUMBER(SEARCH("2B",C3))),2,IF(AND(ISNUMBER(SEARCH("3B",C3))),3,IF(AND(ISNUMBER(SEARCH("4B",C3))),4,IF(ISNUMBER(SEARCH("5B",C3)),5,0)))))</f>
        <v>0</v>
      </c>
      <c r="C4" s="46" t="s">
        <v>66</v>
      </c>
      <c r="D4" s="46">
        <v>1</v>
      </c>
      <c r="E4" s="46" t="s">
        <v>65</v>
      </c>
      <c r="F4" s="14">
        <v>0</v>
      </c>
      <c r="G4" s="47" t="s">
        <v>74</v>
      </c>
      <c r="H4" s="17">
        <f ca="1">--TRIM(RIGHT(SUBSTITUTE(LEFT(C3,_xlfn.AGGREGATE(16,6,FIND({0,1,2,3,4,5,6,7,8,9},C3,ROW(INDIRECT("1:"&amp;LEN(C3)))),1))," ",REPT(" ",LEN(C3))),LEN(C3)))</f>
        <v>20</v>
      </c>
      <c r="I4" s="50" t="str">
        <f ca="1">IF(D7=100%,"Excavation","")&amp;IF(D8=100%,", Plinth","")&amp;IF(D9=100%,", RCC Slab","")&amp;IF(D10=100%,", Brickwork","")&amp;IF(D11=100%,", Internal Plaster","")&amp;IF(D12=100%,", External Plaster","")&amp;IF(D13=100%,", Flooring","")&amp;IF(D14=100%,", Painting","")&amp;IF(D15=100%,", Building common Amenities","")</f>
        <v>Excavation, Plinth, RCC Slab, Brickwork</v>
      </c>
      <c r="J4" s="51" t="str">
        <f ca="1">(IF(C7=0,"Work not yet Started.",IF(D7=25%,"Piling work in process",IF(D7=50%,"Excavation work in process",IF(D7=100%,"","0")))))&amp;(IF(C8=0%,"",IF(C8=J9,", Footing work is process",IF(C8=J10,", Footing work Completed",IF(C8=J11,", 1st Basement Completed",IF(C8=J12,", 1st &amp; 2nd Basement Completed",IF(C8=J13,", 1st to 3rd Basement Completed",IF(C8=J14,", 1st to 4th Basement Completed",IF(C8=J15,", Plinth work is process",IF(C8=J16,"","0"))))))))))</f>
        <v/>
      </c>
    </row>
    <row r="5" spans="1:10" ht="15.75" x14ac:dyDescent="0.25">
      <c r="A5" s="213" t="s">
        <v>84</v>
      </c>
      <c r="B5" s="189"/>
      <c r="C5" s="219" t="str">
        <f ca="1">I3</f>
        <v xml:space="preserve">Excavation, Plinth, RCC Slab, Brickwork Completed </v>
      </c>
      <c r="D5" s="219"/>
      <c r="E5" s="219"/>
      <c r="F5" s="219"/>
      <c r="G5" s="219"/>
      <c r="H5" s="220"/>
      <c r="I5" s="50" t="str">
        <f ca="1">IF(I4&lt;&gt;""," Completed","")</f>
        <v xml:space="preserve"> Completed</v>
      </c>
      <c r="J5" s="51" t="str">
        <f ca="1">IF(J3&lt;&gt;"","Completed","")</f>
        <v/>
      </c>
    </row>
    <row r="6" spans="1:10" ht="31.5" x14ac:dyDescent="0.25">
      <c r="A6" s="110" t="s">
        <v>45</v>
      </c>
      <c r="B6" s="111"/>
      <c r="C6" s="42" t="s">
        <v>136</v>
      </c>
      <c r="D6" s="42" t="s">
        <v>77</v>
      </c>
      <c r="E6" s="111" t="s">
        <v>79</v>
      </c>
      <c r="F6" s="111"/>
      <c r="G6" s="111" t="s">
        <v>78</v>
      </c>
      <c r="H6" s="122"/>
      <c r="I6" s="13" t="s">
        <v>138</v>
      </c>
      <c r="J6" s="27">
        <f ca="1">H4*25%</f>
        <v>5</v>
      </c>
    </row>
    <row r="7" spans="1:10" ht="15.75" x14ac:dyDescent="0.25">
      <c r="A7" s="110" t="s">
        <v>125</v>
      </c>
      <c r="B7" s="111"/>
      <c r="C7" s="59">
        <f ca="1">J8</f>
        <v>20</v>
      </c>
      <c r="D7" s="19">
        <f ca="1">((100/H4)*C7)/100</f>
        <v>1</v>
      </c>
      <c r="E7" s="255">
        <f ca="1">(((C8/H4*20)+(30/(D4+F4+H4)*C9)+(15/(H4)*C10)+(5/(H4)*C11)+(5/H4*C12)+(10/H4*C13)+(5/H4*C14)+(5/H4*C15)+(5/H4*C16))/100)</f>
        <v>0.65</v>
      </c>
      <c r="F7" s="256"/>
      <c r="G7" s="255">
        <f ca="1">((((C7/H4)*10)+((C8/H4)*30)+(25/(H4+F4+D4)*C9)+(15/H4*C10)+(5/H4*C11)+(5/H4*C12)+(5/H4*C13)+(0/H4*C14)+(0/H4*C15)+(5/H4*C16))/100)</f>
        <v>0.8</v>
      </c>
      <c r="H7" s="261"/>
      <c r="I7" s="13" t="s">
        <v>95</v>
      </c>
      <c r="J7" s="28">
        <f ca="1">H4*50%</f>
        <v>10</v>
      </c>
    </row>
    <row r="8" spans="1:10" ht="15.75" x14ac:dyDescent="0.25">
      <c r="A8" s="110" t="s">
        <v>46</v>
      </c>
      <c r="B8" s="111"/>
      <c r="C8" s="42">
        <v>20</v>
      </c>
      <c r="D8" s="19">
        <f ca="1">((100/H4)*C8)/100</f>
        <v>1</v>
      </c>
      <c r="E8" s="257"/>
      <c r="F8" s="258"/>
      <c r="G8" s="257"/>
      <c r="H8" s="262"/>
      <c r="I8" s="13" t="s">
        <v>96</v>
      </c>
      <c r="J8" s="28">
        <f ca="1">H4</f>
        <v>20</v>
      </c>
    </row>
    <row r="9" spans="1:10" ht="15.75" x14ac:dyDescent="0.25">
      <c r="A9" s="110" t="s">
        <v>126</v>
      </c>
      <c r="B9" s="111"/>
      <c r="C9" s="42">
        <v>21</v>
      </c>
      <c r="D9" s="19">
        <f ca="1">((100/(D4+F4+H4))*C9)/100</f>
        <v>1</v>
      </c>
      <c r="E9" s="257"/>
      <c r="F9" s="258"/>
      <c r="G9" s="257"/>
      <c r="H9" s="262"/>
      <c r="I9" s="13" t="s">
        <v>97</v>
      </c>
      <c r="J9" s="29">
        <f ca="1">(IF(B4&gt;1,(H4/(B4+2)),H4/4))</f>
        <v>5</v>
      </c>
    </row>
    <row r="10" spans="1:10" ht="15.75" x14ac:dyDescent="0.25">
      <c r="A10" s="110" t="s">
        <v>133</v>
      </c>
      <c r="B10" s="111" t="s">
        <v>127</v>
      </c>
      <c r="C10" s="42">
        <v>20</v>
      </c>
      <c r="D10" s="19">
        <f ca="1">((100/H4)*C10)/100</f>
        <v>1</v>
      </c>
      <c r="E10" s="257"/>
      <c r="F10" s="258"/>
      <c r="G10" s="257"/>
      <c r="H10" s="262"/>
      <c r="I10" s="13" t="s">
        <v>98</v>
      </c>
      <c r="J10" s="29">
        <f ca="1">(IF(B4&gt;1,(H4/(B4+2)+J9),H4/4+J9))</f>
        <v>10</v>
      </c>
    </row>
    <row r="11" spans="1:10" ht="15.75" x14ac:dyDescent="0.25">
      <c r="A11" s="110" t="s">
        <v>134</v>
      </c>
      <c r="B11" s="111" t="s">
        <v>127</v>
      </c>
      <c r="C11" s="42">
        <v>0</v>
      </c>
      <c r="D11" s="19">
        <f ca="1">((100/H4)*C11)/100</f>
        <v>0</v>
      </c>
      <c r="E11" s="257"/>
      <c r="F11" s="258"/>
      <c r="G11" s="257"/>
      <c r="H11" s="262"/>
      <c r="I11" s="13" t="s">
        <v>145</v>
      </c>
      <c r="J11" s="29">
        <f>(IF(B4&gt;1,(H4/(B4+2)+J10),0))</f>
        <v>0</v>
      </c>
    </row>
    <row r="12" spans="1:10" ht="15.75" x14ac:dyDescent="0.25">
      <c r="A12" s="110" t="s">
        <v>132</v>
      </c>
      <c r="B12" s="111" t="s">
        <v>129</v>
      </c>
      <c r="C12" s="42">
        <v>0</v>
      </c>
      <c r="D12" s="19">
        <f ca="1">((100/(H4))*C12)/100</f>
        <v>0</v>
      </c>
      <c r="E12" s="257"/>
      <c r="F12" s="258"/>
      <c r="G12" s="257"/>
      <c r="H12" s="262"/>
      <c r="I12" s="13" t="s">
        <v>140</v>
      </c>
      <c r="J12" s="29">
        <f>(IF(B4&gt;2,(H4/(B4+2)+J11),0))</f>
        <v>0</v>
      </c>
    </row>
    <row r="13" spans="1:10" ht="15.75" x14ac:dyDescent="0.25">
      <c r="A13" s="110" t="s">
        <v>128</v>
      </c>
      <c r="B13" s="111" t="s">
        <v>128</v>
      </c>
      <c r="C13" s="42">
        <v>0</v>
      </c>
      <c r="D13" s="19">
        <f ca="1">((100/H4)*C13)/100</f>
        <v>0</v>
      </c>
      <c r="E13" s="257"/>
      <c r="F13" s="258"/>
      <c r="G13" s="257"/>
      <c r="H13" s="262"/>
      <c r="I13" s="13" t="s">
        <v>141</v>
      </c>
      <c r="J13" s="30">
        <f>(IF(B4&gt;3,(H4/(B4+2)+J12),0))</f>
        <v>0</v>
      </c>
    </row>
    <row r="14" spans="1:10" ht="15.75" x14ac:dyDescent="0.25">
      <c r="A14" s="110" t="s">
        <v>135</v>
      </c>
      <c r="B14" s="111"/>
      <c r="C14" s="42">
        <v>0</v>
      </c>
      <c r="D14" s="19">
        <f ca="1">((100/H4)*C14)/100</f>
        <v>0</v>
      </c>
      <c r="E14" s="257"/>
      <c r="F14" s="258"/>
      <c r="G14" s="257"/>
      <c r="H14" s="262"/>
      <c r="I14" s="13" t="s">
        <v>142</v>
      </c>
      <c r="J14" s="29">
        <f>(IF(B4&gt;4,(H4/(B4+2)+J13),0))</f>
        <v>0</v>
      </c>
    </row>
    <row r="15" spans="1:10" ht="15.75" x14ac:dyDescent="0.25">
      <c r="A15" s="110" t="s">
        <v>130</v>
      </c>
      <c r="B15" s="111" t="s">
        <v>130</v>
      </c>
      <c r="C15" s="42">
        <v>0</v>
      </c>
      <c r="D15" s="19">
        <f ca="1">((100/(H4))*C15)/100</f>
        <v>0</v>
      </c>
      <c r="E15" s="257"/>
      <c r="F15" s="258"/>
      <c r="G15" s="257"/>
      <c r="H15" s="262"/>
      <c r="I15" s="13" t="s">
        <v>146</v>
      </c>
      <c r="J15" s="29">
        <f ca="1">(IF(B4=1,(H4/(B4+3)+J10),IF(B4=0,(H4/4+J10),IF(B4&gt;1,0))))</f>
        <v>15</v>
      </c>
    </row>
    <row r="16" spans="1:10" ht="16.5" thickBot="1" x14ac:dyDescent="0.3">
      <c r="A16" s="123" t="s">
        <v>131</v>
      </c>
      <c r="B16" s="124"/>
      <c r="C16" s="43">
        <v>0</v>
      </c>
      <c r="D16" s="20">
        <f ca="1">((100/(H4))*C16)/100</f>
        <v>0</v>
      </c>
      <c r="E16" s="259"/>
      <c r="F16" s="260"/>
      <c r="G16" s="259"/>
      <c r="H16" s="263"/>
      <c r="I16" s="15" t="s">
        <v>99</v>
      </c>
      <c r="J16" s="31">
        <f ca="1">(IF(B4&gt;1.5,(H4/(B4+2)+J10+MAX(0,J11-J10)+MAX(0,J12-J11)+MAX(0,J13-J12)+MAX(0,J14-J13)+MAX(0,J15-J14)),IF(B4=1,(H4/(B4+3)+J15),IF(B4=0,H4/4+J15))))</f>
        <v>20</v>
      </c>
    </row>
  </sheetData>
  <mergeCells count="20">
    <mergeCell ref="E6:F6"/>
    <mergeCell ref="G6:H6"/>
    <mergeCell ref="A15:B15"/>
    <mergeCell ref="A16:B16"/>
    <mergeCell ref="A2:H2"/>
    <mergeCell ref="A7:B7"/>
    <mergeCell ref="E7:F16"/>
    <mergeCell ref="G7:H16"/>
    <mergeCell ref="A8:B8"/>
    <mergeCell ref="A9:B9"/>
    <mergeCell ref="A10:B10"/>
    <mergeCell ref="A11:B11"/>
    <mergeCell ref="A12:B12"/>
    <mergeCell ref="A13:B13"/>
    <mergeCell ref="A14:B14"/>
    <mergeCell ref="A3:B3"/>
    <mergeCell ref="C3:H3"/>
    <mergeCell ref="A5:B5"/>
    <mergeCell ref="C5:H5"/>
    <mergeCell ref="A6: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valuation</vt:lpstr>
      <vt:lpstr>Research</vt:lpstr>
      <vt:lpstr>Remarks</vt:lpstr>
      <vt:lpstr>Area Calculation</vt:lpstr>
      <vt:lpstr>Construction Table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2025-10-03T11:37:36Z</cp:lastPrinted>
  <dcterms:created xsi:type="dcterms:W3CDTF">2019-07-16T09:29:46Z</dcterms:created>
  <dcterms:modified xsi:type="dcterms:W3CDTF">2025-10-03T11:39:15Z</dcterms:modified>
</cp:coreProperties>
</file>