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APF\25-26\Oct 25\Axis\Suraj Eterna\"/>
    </mc:Choice>
  </mc:AlternateContent>
  <bookViews>
    <workbookView xWindow="0" yWindow="0" windowWidth="20490" windowHeight="732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3" i="1" l="1"/>
  <c r="E103" i="1"/>
  <c r="G103" i="1"/>
  <c r="E106" i="1" l="1"/>
  <c r="K151" i="1" l="1"/>
  <c r="K152" i="1"/>
  <c r="K153" i="1"/>
  <c r="K150" i="1"/>
  <c r="J151" i="1"/>
  <c r="J152" i="1"/>
  <c r="J153" i="1"/>
  <c r="J150" i="1"/>
  <c r="I148" i="1"/>
  <c r="I158" i="1"/>
  <c r="I95" i="1"/>
  <c r="C16" i="1" l="1"/>
  <c r="D192" i="1"/>
  <c r="I61" i="1"/>
  <c r="K132" i="1" l="1"/>
  <c r="D163" i="1"/>
  <c r="F163" i="1" s="1"/>
  <c r="D162" i="1"/>
  <c r="F162" i="1" s="1"/>
  <c r="D161" i="1"/>
  <c r="F161" i="1" s="1"/>
  <c r="A161" i="1"/>
  <c r="A162" i="1" s="1"/>
  <c r="A163" i="1" s="1"/>
  <c r="G160" i="1"/>
  <c r="D160" i="1"/>
  <c r="F160" i="1" s="1"/>
  <c r="D165" i="1"/>
  <c r="I156" i="1"/>
  <c r="D143" i="1"/>
  <c r="F143" i="1" s="1"/>
  <c r="D141" i="1"/>
  <c r="F141" i="1" s="1"/>
  <c r="A141" i="1"/>
  <c r="G140" i="1"/>
  <c r="D140" i="1"/>
  <c r="F140" i="1" s="1"/>
  <c r="I151" i="1"/>
  <c r="D158" i="1"/>
  <c r="D153" i="1"/>
  <c r="F153" i="1" s="1"/>
  <c r="D152" i="1"/>
  <c r="F152" i="1" s="1"/>
  <c r="D151" i="1"/>
  <c r="F151" i="1" s="1"/>
  <c r="A151" i="1"/>
  <c r="A152" i="1" s="1"/>
  <c r="A153" i="1" s="1"/>
  <c r="G150" i="1"/>
  <c r="D150" i="1"/>
  <c r="F150" i="1" s="1"/>
  <c r="D148" i="1"/>
  <c r="F148" i="1" s="1"/>
  <c r="D147" i="1"/>
  <c r="F147" i="1" s="1"/>
  <c r="D146" i="1"/>
  <c r="F146" i="1" s="1"/>
  <c r="A146" i="1"/>
  <c r="A147" i="1" s="1"/>
  <c r="A148" i="1" s="1"/>
  <c r="G145" i="1"/>
  <c r="D145" i="1"/>
  <c r="F145" i="1" s="1"/>
  <c r="E131" i="1" l="1"/>
  <c r="J144" i="1" l="1"/>
  <c r="G165" i="1"/>
  <c r="D118" i="1"/>
  <c r="F158" i="1"/>
  <c r="D156" i="1"/>
  <c r="F156" i="1" s="1"/>
  <c r="D155" i="1"/>
  <c r="F155" i="1" s="1"/>
  <c r="I137" i="1" s="1"/>
  <c r="D138" i="1"/>
  <c r="F138" i="1" s="1"/>
  <c r="I135" i="1" s="1"/>
  <c r="D137" i="1"/>
  <c r="D136" i="1"/>
  <c r="F136" i="1" s="1"/>
  <c r="D135" i="1"/>
  <c r="D133" i="1"/>
  <c r="F133" i="1" s="1"/>
  <c r="D132" i="1"/>
  <c r="F132" i="1" s="1"/>
  <c r="I129" i="1" s="1"/>
  <c r="D131" i="1"/>
  <c r="D130" i="1"/>
  <c r="D120" i="1"/>
  <c r="F120" i="1" s="1"/>
  <c r="J114" i="1"/>
  <c r="J139" i="1"/>
  <c r="A156" i="1"/>
  <c r="G155" i="1"/>
  <c r="A136" i="1"/>
  <c r="A137" i="1" s="1"/>
  <c r="A138" i="1" s="1"/>
  <c r="G135" i="1"/>
  <c r="J129" i="1"/>
  <c r="A131" i="1"/>
  <c r="A132" i="1" s="1"/>
  <c r="A133" i="1" s="1"/>
  <c r="G130" i="1"/>
  <c r="G120" i="1"/>
  <c r="G118" i="1"/>
  <c r="F137" i="1" l="1"/>
  <c r="C106" i="1"/>
  <c r="F130" i="1"/>
  <c r="G107" i="1" s="1"/>
  <c r="C107" i="1"/>
  <c r="E107" i="1"/>
  <c r="C108" i="1"/>
  <c r="E108" i="1"/>
  <c r="E109" i="1"/>
  <c r="C109" i="1"/>
  <c r="F118" i="1"/>
  <c r="E102" i="1"/>
  <c r="J133" i="1"/>
  <c r="I133" i="1"/>
  <c r="F135" i="1"/>
  <c r="G108" i="1" s="1"/>
  <c r="F165" i="1"/>
  <c r="K142" i="1"/>
  <c r="C102" i="1"/>
  <c r="F131" i="1"/>
  <c r="G109" i="1" s="1"/>
  <c r="I127" i="1" l="1"/>
  <c r="E110" i="1"/>
  <c r="E111" i="1"/>
  <c r="C111" i="1"/>
  <c r="G102" i="1"/>
  <c r="C110" i="1"/>
  <c r="G106" i="1"/>
  <c r="G110" i="1" s="1"/>
  <c r="J142" i="1"/>
  <c r="I142" i="1"/>
  <c r="I132" i="1"/>
  <c r="L142" i="1"/>
  <c r="E31" i="1"/>
  <c r="G111" i="1" l="1"/>
  <c r="F99" i="1"/>
  <c r="F123" i="1" l="1"/>
  <c r="F124" i="1"/>
  <c r="F125" i="1"/>
  <c r="F122" i="1"/>
  <c r="B169" i="1" l="1"/>
  <c r="B170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A123" i="1"/>
  <c r="A124" i="1" s="1"/>
  <c r="A125" i="1" s="1"/>
  <c r="G122" i="1"/>
  <c r="G123" i="1" s="1"/>
  <c r="G124" i="1" s="1"/>
  <c r="G125" i="1" s="1"/>
  <c r="J82" i="1"/>
  <c r="J81" i="1"/>
  <c r="J80" i="1"/>
  <c r="J79" i="1"/>
  <c r="C73" i="1"/>
  <c r="D62" i="1"/>
  <c r="E44" i="1"/>
  <c r="E45" i="1" s="1"/>
  <c r="E28" i="1"/>
  <c r="E26" i="1"/>
  <c r="E7" i="1"/>
  <c r="E3" i="1"/>
  <c r="H74" i="1"/>
  <c r="D67" i="1" l="1"/>
  <c r="D86" i="1"/>
  <c r="D84" i="1"/>
  <c r="D83" i="1"/>
  <c r="D82" i="1"/>
  <c r="D80" i="1"/>
  <c r="J71" i="1"/>
  <c r="D85" i="1"/>
  <c r="D81" i="1"/>
  <c r="J75" i="1"/>
  <c r="J76" i="1"/>
  <c r="C77" i="1" s="1"/>
  <c r="J74" i="1"/>
  <c r="J77" i="1"/>
  <c r="J78" i="1" l="1"/>
  <c r="J83" i="1" s="1"/>
  <c r="J84" i="1" s="1"/>
  <c r="C78" i="1" s="1"/>
  <c r="E77" i="1" s="1"/>
  <c r="D79" i="1"/>
  <c r="J73" i="1"/>
  <c r="D77" i="1"/>
  <c r="G77" i="1" l="1"/>
  <c r="D71" i="1" s="1"/>
  <c r="D72" i="1" s="1"/>
  <c r="D78" i="1"/>
  <c r="I72" i="1" s="1"/>
  <c r="J72" i="1"/>
  <c r="F72" i="1" l="1"/>
  <c r="I73" i="1"/>
  <c r="I71" i="1" s="1"/>
  <c r="C75" i="1" s="1"/>
</calcChain>
</file>

<file path=xl/sharedStrings.xml><?xml version="1.0" encoding="utf-8"?>
<sst xmlns="http://schemas.openxmlformats.org/spreadsheetml/2006/main" count="370" uniqueCount="262">
  <si>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</si>
  <si>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</si>
  <si>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</si>
  <si>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</si>
  <si>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</si>
  <si>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</si>
  <si>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</si>
  <si>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</si>
  <si>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</si>
  <si>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</si>
  <si>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</si>
  <si>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</si>
  <si>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</si>
  <si>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</si>
  <si>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</si>
  <si>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</si>
  <si>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</si>
  <si>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</si>
  <si>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</si>
  <si>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</si>
  <si>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</si>
  <si>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</si>
  <si>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</si>
  <si>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</si>
  <si>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</si>
  <si>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</si>
  <si>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</si>
  <si>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</si>
  <si>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</si>
  <si>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</si>
  <si>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</si>
  <si>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</si>
  <si>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</si>
  <si>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</si>
  <si>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</si>
  <si>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</si>
  <si>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</si>
  <si>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</si>
  <si>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</si>
  <si>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</si>
  <si>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</si>
  <si>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</si>
  <si>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</si>
  <si>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</si>
  <si>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</si>
  <si>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</si>
  <si>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</si>
  <si>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</si>
  <si>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</si>
  <si>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</si>
  <si>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</si>
  <si>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</si>
  <si>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</si>
  <si>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</si>
  <si>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</si>
  <si>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</si>
  <si>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</si>
  <si>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</si>
  <si>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</si>
  <si>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</si>
  <si>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</si>
  <si>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</si>
  <si>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</si>
  <si>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</si>
  <si>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</si>
  <si>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</si>
  <si>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</si>
  <si>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</si>
  <si>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</si>
  <si>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</si>
  <si>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</si>
  <si>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</si>
  <si>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</si>
  <si>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</si>
  <si>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</si>
  <si>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</si>
  <si>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</si>
  <si>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</si>
  <si>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</si>
  <si>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</si>
  <si>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</si>
  <si>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</si>
  <si>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</si>
  <si>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</si>
  <si>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</si>
  <si>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</si>
  <si>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</si>
  <si>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</si>
  <si>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</si>
  <si>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</si>
  <si>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</si>
  <si>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</si>
  <si>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</si>
  <si>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</si>
  <si>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</si>
  <si>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</si>
  <si>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</si>
  <si>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</si>
  <si>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</si>
  <si>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</si>
  <si>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</si>
  <si>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</si>
  <si>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</si>
  <si>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</si>
  <si>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</si>
  <si>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</si>
  <si>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</si>
  <si>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</si>
  <si>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</si>
  <si>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</si>
  <si>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</si>
  <si>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</si>
  <si>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</si>
  <si>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</si>
  <si>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</si>
  <si>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</si>
  <si>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</si>
  <si>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</si>
  <si>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</si>
  <si>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</si>
  <si>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</si>
  <si>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</si>
  <si>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</si>
  <si>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</si>
  <si>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</si>
  <si>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</si>
  <si>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</si>
  <si>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</si>
  <si>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</si>
  <si>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</si>
  <si>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</si>
  <si>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</si>
  <si>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</si>
  <si>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</si>
  <si>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</si>
  <si>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</si>
  <si>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</si>
  <si>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</si>
  <si>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</si>
  <si>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</si>
  <si>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</si>
  <si>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</si>
  <si>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</si>
  <si>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</si>
  <si>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</si>
  <si>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</si>
  <si>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</si>
  <si>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</si>
  <si>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</si>
  <si>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</si>
  <si>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</si>
  <si>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</si>
  <si>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</si>
  <si>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</si>
  <si>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</si>
  <si>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</si>
  <si>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</si>
  <si>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</si>
  <si>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</si>
  <si>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</si>
  <si>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</si>
  <si>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</si>
  <si>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</si>
  <si>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Axis Goregaon</t>
  </si>
  <si>
    <t>Eterna</t>
  </si>
  <si>
    <t>F.P No</t>
  </si>
  <si>
    <t>https://goo.gl/maps/j2LpBN5Poa5ao5Tc7</t>
  </si>
  <si>
    <t>IG-NES Building</t>
  </si>
  <si>
    <t>Iviana</t>
  </si>
  <si>
    <t>Lourdes Villa</t>
  </si>
  <si>
    <t>Mahim</t>
  </si>
  <si>
    <t>Mahim West</t>
  </si>
  <si>
    <t>Mumbai</t>
  </si>
  <si>
    <t>0.750KM from Mahim Railway Station</t>
  </si>
  <si>
    <t>2nd Floor For Residential</t>
  </si>
  <si>
    <t>1BHK</t>
  </si>
  <si>
    <t>2BHK</t>
  </si>
  <si>
    <t>7th Floor (Part Refuge Area)</t>
  </si>
  <si>
    <t>Refuge Area</t>
  </si>
  <si>
    <t>Rehab</t>
  </si>
  <si>
    <t>Sale</t>
  </si>
  <si>
    <t>Mhada</t>
  </si>
  <si>
    <t>P51900032173</t>
  </si>
  <si>
    <t>Suraj Eterna</t>
  </si>
  <si>
    <t>Approved Plans, CC, Cost Sheet</t>
  </si>
  <si>
    <t>B + Gr + 1st to 20th Floor</t>
  </si>
  <si>
    <t>As per RERA - 31/12/2026</t>
  </si>
  <si>
    <t>REDEVELOPMENT</t>
  </si>
  <si>
    <t>Water, Electricity, Sub station Connection</t>
  </si>
  <si>
    <t>L J Cross Road</t>
  </si>
  <si>
    <t>Municipal Corporation Greater Mumbai (MCGM)</t>
  </si>
  <si>
    <t>P-7848/2021/(607 And Other)/G/North/FP
/CC/1/New</t>
  </si>
  <si>
    <t>Debris Management</t>
  </si>
  <si>
    <t>Other charges</t>
  </si>
  <si>
    <t>Layout Plan :</t>
  </si>
  <si>
    <t>Sale / Rehab / Mhada</t>
  </si>
  <si>
    <t>Basement Floor For Pump Room &amp; Water Tanks</t>
  </si>
  <si>
    <t>Ground Floor For Commercial &amp; Parking</t>
  </si>
  <si>
    <t>-</t>
  </si>
  <si>
    <t>rate sheet</t>
  </si>
  <si>
    <t>visitor</t>
  </si>
  <si>
    <t>OS</t>
  </si>
  <si>
    <t>market</t>
  </si>
  <si>
    <t>This CC is issued up to Plinth Level as per IOD/plans dated 08/10/2021.</t>
  </si>
  <si>
    <t xml:space="preserve">Office No. 1031, Wing J, Akshar Business Park, Plot No. 03 Sector 25, Near APMC Market, Vashi, Navi Mumbai, Maharashtra 400703 TEL: 022-46090378/79/80
Email : vsjcapf@gmail.com. Web site : www.vsjadon.com
</t>
  </si>
  <si>
    <t>P-7848/2021/(607 And
Other)/G/North/FP/FCC/1/New</t>
  </si>
  <si>
    <t>This C.C. is endorsed and further extended up to top of 12th floor as per approved amended plans dated
23.12.2021.</t>
  </si>
  <si>
    <t>Karan Misal</t>
  </si>
  <si>
    <t>Mr. Priti kadam 8657960936</t>
  </si>
  <si>
    <t>P-7848/2021/(607 And
Other)/G/North/FP/FCC/1/Amend</t>
  </si>
  <si>
    <t>This C.C. is endorsed and further extended up to top of 20th (part) floor + LMR &amp; OHT i.e. full C.C. as per amended approved plans dated 08.11.2024.</t>
  </si>
  <si>
    <t>We have updated revised approved CC from MCGM site on 29/06/2024 &amp; 09/07/2025.</t>
  </si>
  <si>
    <t>Name / No of the Existing Building</t>
  </si>
  <si>
    <t>01 Building</t>
  </si>
  <si>
    <t>As per Layout</t>
  </si>
  <si>
    <t>Latitude, Longitude</t>
  </si>
  <si>
    <t>19.040583,72.842083</t>
  </si>
  <si>
    <t>12.20 Mt. Wide 2nd L.J Cross Road</t>
  </si>
  <si>
    <t>Other Plot</t>
  </si>
  <si>
    <t>Building Details Floor Wise</t>
  </si>
  <si>
    <t xml:space="preserve">Details of Residential &amp; Commercial in Building   </t>
  </si>
  <si>
    <t>Total</t>
  </si>
  <si>
    <t>Grand Total</t>
  </si>
  <si>
    <t>PAP</t>
  </si>
  <si>
    <t>Sale / Rehab / Mhada / PAP</t>
  </si>
  <si>
    <t>NR</t>
  </si>
  <si>
    <t>1st Floor For Commercial</t>
  </si>
  <si>
    <t>8th Floor</t>
  </si>
  <si>
    <t>11th to 13th &amp; 15th to 18th Floor</t>
  </si>
  <si>
    <t>14th Floor (Part Refuge Area)</t>
  </si>
  <si>
    <t>20th Floor For Terrace Area, Society Office &amp; Fitness Center Area</t>
  </si>
  <si>
    <t>Terrace Area, Society Office &amp; Fitness Center Area</t>
  </si>
  <si>
    <t>19th Floor</t>
  </si>
  <si>
    <t>Construction work is in process at the time of Visit. (Internal visit was not allowed.)</t>
  </si>
  <si>
    <t>Rehab Flat</t>
  </si>
  <si>
    <t>Mhada Flat</t>
  </si>
  <si>
    <t>Sale Flat</t>
  </si>
  <si>
    <t>PAP Flat</t>
  </si>
  <si>
    <t>Rehab NR</t>
  </si>
  <si>
    <t>We considered Gross carpet area = Net carpet Area.</t>
  </si>
  <si>
    <t>Pranita Mhatre</t>
  </si>
  <si>
    <t>We have given valuation for Sale unit only.</t>
  </si>
  <si>
    <t>Sale Flat - 44
Rehab Flat - 3
PAP Flat - 17</t>
  </si>
  <si>
    <t>Mhada Flat - 7
Rehab NR - 2</t>
  </si>
  <si>
    <t>P-7848/2021/(607 And Other)/G/North/FP/337/3/Amend</t>
  </si>
  <si>
    <t>P-7848/2021/607/AND OTHERS/G/N/
 FP/3</t>
  </si>
  <si>
    <t xml:space="preserve">Fire Noc No
Valid Up to: </t>
  </si>
  <si>
    <t xml:space="preserve">P-7848/2021/(607 And Other)/G/North/FP-CFO/1/New 
</t>
  </si>
  <si>
    <t>B + Gr + 1st to 20th Floor (Height = 69.95 mtrs)</t>
  </si>
  <si>
    <t>Name of the Project (As per Builder)</t>
  </si>
  <si>
    <t>Name of the Project (As per RERA)</t>
  </si>
  <si>
    <t>Kids Play Area, Grand entrance lobby, Mechanized tower car parking, Gymnasium, 24-hour security, Firefighting equipment, Power back-up facility</t>
  </si>
  <si>
    <t>https://surajestate.com/project/eterna/</t>
  </si>
  <si>
    <t>Lobo Villa</t>
  </si>
  <si>
    <t>606 &amp; 607, T.P.S. III of Mahim Division, Redevelopment of " Lobo Villa "</t>
  </si>
  <si>
    <t>Site Person - Contact Details (Name &amp; Contact No.)</t>
  </si>
  <si>
    <t>Provided Contact Details (Name &amp; Contact No.)</t>
  </si>
  <si>
    <t>old structure name not mentioend in the title but builder name is verified in the title (as per dicuss with ma'am)</t>
  </si>
  <si>
    <t>As per Site Meet Person on visit 01/10/2025</t>
  </si>
  <si>
    <t>We have updated revised approved plans &amp; fire Noc from MCGM site on 03/10/2025.</t>
  </si>
  <si>
    <t>Suraj Estate Developers Pvt Ltd.</t>
  </si>
  <si>
    <t>3rd to 6th, 9th &amp; 10th Floor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</si>
</sst>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5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2" fontId="7" fillId="0" borderId="0" xfId="1" applyNumberFormat="1" applyFont="1"/>
    <xf numFmtId="14" fontId="12" fillId="0" borderId="0" xfId="1" applyNumberFormat="1" applyFont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>
      <alignment horizontal="center" vertical="center"/>
    </xf>
    <xf numFmtId="14" fontId="12" fillId="0" borderId="0" xfId="1" applyNumberFormat="1" applyFont="1" applyAlignment="1">
      <alignment wrapText="1"/>
    </xf>
    <xf numFmtId="0" fontId="26" fillId="0" borderId="0" xfId="10"/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167" fontId="16" fillId="0" borderId="0" xfId="1" applyNumberFormat="1" applyFont="1"/>
    <xf numFmtId="1" fontId="10" fillId="0" borderId="0" xfId="1" applyNumberFormat="1" applyFont="1" applyAlignment="1">
      <alignment horizontal="center" vertical="center"/>
    </xf>
    <xf numFmtId="0" fontId="10" fillId="0" borderId="0" xfId="1" applyFont="1"/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13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67" fontId="15" fillId="0" borderId="1" xfId="9" applyNumberFormat="1" applyFont="1" applyFill="1" applyBorder="1" applyAlignment="1" applyProtection="1">
      <alignment horizontal="left" vertical="top"/>
      <protection locked="0"/>
    </xf>
    <xf numFmtId="0" fontId="27" fillId="0" borderId="24" xfId="1" applyFont="1" applyBorder="1" applyAlignment="1">
      <alignment horizontal="center" wrapText="1"/>
    </xf>
    <xf numFmtId="0" fontId="27" fillId="0" borderId="0" xfId="1" applyFont="1" applyBorder="1" applyAlignment="1">
      <alignment horizontal="center" wrapText="1"/>
    </xf>
    <xf numFmtId="1" fontId="10" fillId="0" borderId="7" xfId="0" applyNumberFormat="1" applyFont="1" applyBorder="1" applyAlignment="1" applyProtection="1">
      <alignment vertical="top" wrapText="1"/>
      <protection locked="0"/>
    </xf>
    <xf numFmtId="1" fontId="10" fillId="0" borderId="20" xfId="0" applyNumberFormat="1" applyFont="1" applyBorder="1" applyAlignment="1" applyProtection="1">
      <alignment vertical="top" wrapText="1"/>
      <protection locked="0"/>
    </xf>
    <xf numFmtId="1" fontId="10" fillId="0" borderId="8" xfId="0" applyNumberFormat="1" applyFont="1" applyBorder="1" applyAlignment="1" applyProtection="1">
      <alignment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Fill="1" applyBorder="1" applyAlignment="1" applyProtection="1">
      <alignment horizontal="center" vertical="center"/>
      <protection locked="0"/>
    </xf>
    <xf numFmtId="1" fontId="7" fillId="0" borderId="1" xfId="0" applyNumberFormat="1" applyFont="1" applyFill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/>
      <protection locked="0"/>
    </xf>
    <xf numFmtId="0" fontId="6" fillId="0" borderId="8" xfId="1" applyFont="1" applyBorder="1" applyAlignment="1" applyProtection="1">
      <alignment horizontal="left" vertical="top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7" xfId="0" applyNumberFormat="1" applyFont="1" applyBorder="1" applyAlignment="1" applyProtection="1">
      <alignment vertical="top"/>
      <protection locked="0"/>
    </xf>
    <xf numFmtId="1" fontId="13" fillId="0" borderId="20" xfId="0" applyNumberFormat="1" applyFont="1" applyBorder="1" applyAlignment="1" applyProtection="1">
      <alignment vertical="top"/>
      <protection locked="0"/>
    </xf>
    <xf numFmtId="1" fontId="13" fillId="0" borderId="8" xfId="0" applyNumberFormat="1" applyFont="1" applyBorder="1" applyAlignment="1" applyProtection="1">
      <alignment vertical="top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12" fillId="0" borderId="7" xfId="1" applyNumberFormat="1" applyFont="1" applyBorder="1" applyAlignment="1" applyProtection="1">
      <alignment horizontal="center" vertical="center" wrapText="1"/>
      <protection locked="0"/>
    </xf>
    <xf numFmtId="1" fontId="12" fillId="0" borderId="20" xfId="1" applyNumberFormat="1" applyFont="1" applyBorder="1" applyAlignment="1" applyProtection="1">
      <alignment horizontal="center" vertical="center" wrapText="1"/>
      <protection locked="0"/>
    </xf>
    <xf numFmtId="1" fontId="12" fillId="0" borderId="8" xfId="1" applyNumberFormat="1" applyFont="1" applyBorder="1" applyAlignment="1" applyProtection="1">
      <alignment horizontal="center" vertical="center" wrapText="1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left"/>
      <protection locked="0"/>
    </xf>
    <xf numFmtId="0" fontId="7" fillId="0" borderId="20" xfId="1" applyFont="1" applyBorder="1" applyAlignment="1" applyProtection="1">
      <alignment horizontal="left"/>
      <protection locked="0"/>
    </xf>
    <xf numFmtId="0" fontId="7" fillId="0" borderId="8" xfId="1" applyFont="1" applyBorder="1" applyAlignment="1" applyProtection="1">
      <alignment horizontal="left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1" fontId="10" fillId="0" borderId="7" xfId="0" applyNumberFormat="1" applyFont="1" applyBorder="1" applyAlignment="1" applyProtection="1">
      <alignment vertical="top"/>
      <protection locked="0"/>
    </xf>
    <xf numFmtId="1" fontId="10" fillId="0" borderId="20" xfId="0" applyNumberFormat="1" applyFont="1" applyBorder="1" applyAlignment="1" applyProtection="1">
      <alignment vertical="top"/>
      <protection locked="0"/>
    </xf>
    <xf numFmtId="1" fontId="10" fillId="0" borderId="8" xfId="0" applyNumberFormat="1" applyFont="1" applyBorder="1" applyAlignment="1" applyProtection="1">
      <alignment vertical="top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colors>
    <mruColors>
      <color rgb="FF0913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4.png"/><Relationship Id="rId3" Type="http://schemas.openxmlformats.org/officeDocument/2006/relationships/image" Target="../media/image29.png"/><Relationship Id="rId7" Type="http://schemas.openxmlformats.org/officeDocument/2006/relationships/image" Target="../media/image33.png"/><Relationship Id="rId2" Type="http://schemas.openxmlformats.org/officeDocument/2006/relationships/image" Target="../media/image28.png"/><Relationship Id="rId1" Type="http://schemas.openxmlformats.org/officeDocument/2006/relationships/image" Target="../media/image27.png"/><Relationship Id="rId6" Type="http://schemas.openxmlformats.org/officeDocument/2006/relationships/image" Target="../media/image32.png"/><Relationship Id="rId5" Type="http://schemas.openxmlformats.org/officeDocument/2006/relationships/image" Target="../media/image31.png"/><Relationship Id="rId4" Type="http://schemas.openxmlformats.org/officeDocument/2006/relationships/image" Target="../media/image30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520114</xdr:colOff>
      <xdr:row>167</xdr:row>
      <xdr:rowOff>121823</xdr:rowOff>
    </xdr:from>
    <xdr:to>
      <xdr:col>18</xdr:col>
      <xdr:colOff>55463</xdr:colOff>
      <xdr:row>201</xdr:row>
      <xdr:rowOff>159923</xdr:rowOff>
    </xdr:to>
    <xdr:grpSp>
      <xdr:nvGrpSpPr>
        <xdr:cNvPr id="10" name="Group 9"/>
        <xdr:cNvGrpSpPr/>
      </xdr:nvGrpSpPr>
      <xdr:grpSpPr>
        <a:xfrm>
          <a:off x="8218555" y="38199411"/>
          <a:ext cx="6124408" cy="7131424"/>
          <a:chOff x="209550" y="36309299"/>
          <a:chExt cx="6142978" cy="6629400"/>
        </a:xfrm>
      </xdr:grpSpPr>
      <xdr:pic>
        <xdr:nvPicPr>
          <xdr:cNvPr id="19" name="Picture 18" descr="https://vsjcllp.vsjadon.com/upload/insp-239909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305300" y="40424099"/>
            <a:ext cx="1876850" cy="25050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Picture 19" descr="https://vsjcllp.vsjadon.com/upload/insp-239909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71475" y="40433624"/>
            <a:ext cx="1876850" cy="25050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" name="Picture 20" descr="https://vsjcllp.vsjadon.com/upload/insp-239909-85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09550" y="36309299"/>
            <a:ext cx="3028303" cy="404194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24" descr="https://vsjcllp.vsjadon.com/upload/insp-239909-86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24225" y="36309299"/>
            <a:ext cx="3028303" cy="404194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Picture 25" descr="https://vsjcllp.vsjadon.com/upload/insp-239909-9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333625" y="40424099"/>
            <a:ext cx="1876850" cy="25050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8</xdr:col>
      <xdr:colOff>719387</xdr:colOff>
      <xdr:row>17</xdr:row>
      <xdr:rowOff>144555</xdr:rowOff>
    </xdr:from>
    <xdr:to>
      <xdr:col>20</xdr:col>
      <xdr:colOff>160024</xdr:colOff>
      <xdr:row>29</xdr:row>
      <xdr:rowOff>115551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252416" y="4447614"/>
          <a:ext cx="8405343" cy="2604378"/>
        </a:xfrm>
        <a:prstGeom prst="rect">
          <a:avLst/>
        </a:prstGeom>
      </xdr:spPr>
    </xdr:pic>
    <xdr:clientData/>
  </xdr:twoCellAnchor>
  <xdr:twoCellAnchor>
    <xdr:from>
      <xdr:col>0</xdr:col>
      <xdr:colOff>244927</xdr:colOff>
      <xdr:row>276</xdr:row>
      <xdr:rowOff>68274</xdr:rowOff>
    </xdr:from>
    <xdr:to>
      <xdr:col>7</xdr:col>
      <xdr:colOff>503463</xdr:colOff>
      <xdr:row>314</xdr:row>
      <xdr:rowOff>68035</xdr:rowOff>
    </xdr:to>
    <xdr:grpSp>
      <xdr:nvGrpSpPr>
        <xdr:cNvPr id="14" name="Group 13"/>
        <xdr:cNvGrpSpPr/>
      </xdr:nvGrpSpPr>
      <xdr:grpSpPr>
        <a:xfrm>
          <a:off x="244927" y="60367127"/>
          <a:ext cx="5962330" cy="7664584"/>
          <a:chOff x="367392" y="55245238"/>
          <a:chExt cx="5932715" cy="7755833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599355" y="55245238"/>
            <a:ext cx="5426529" cy="3265713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grpSp>
        <xdr:nvGrpSpPr>
          <xdr:cNvPr id="13" name="Group 12"/>
          <xdr:cNvGrpSpPr/>
        </xdr:nvGrpSpPr>
        <xdr:grpSpPr>
          <a:xfrm>
            <a:off x="367392" y="58632324"/>
            <a:ext cx="5932715" cy="4368747"/>
            <a:chOff x="489857" y="58673146"/>
            <a:chExt cx="5578929" cy="4368748"/>
          </a:xfrm>
        </xdr:grpSpPr>
        <xdr:grpSp>
          <xdr:nvGrpSpPr>
            <xdr:cNvPr id="12" name="Group 11"/>
            <xdr:cNvGrpSpPr/>
          </xdr:nvGrpSpPr>
          <xdr:grpSpPr>
            <a:xfrm>
              <a:off x="489857" y="58673146"/>
              <a:ext cx="5578929" cy="4368748"/>
              <a:chOff x="381000" y="58741181"/>
              <a:chExt cx="5875885" cy="5468771"/>
            </a:xfrm>
          </xdr:grpSpPr>
          <xdr:pic>
            <xdr:nvPicPr>
              <xdr:cNvPr id="8" name="Picture 7"/>
              <xdr:cNvPicPr>
                <a:picLocks noChangeAspect="1"/>
              </xdr:cNvPicPr>
            </xdr:nvPicPr>
            <xdr:blipFill>
              <a:blip xmlns:r="http://schemas.openxmlformats.org/officeDocument/2006/relationships" r:embed="rId8"/>
              <a:stretch>
                <a:fillRect/>
              </a:stretch>
            </xdr:blipFill>
            <xdr:spPr>
              <a:xfrm>
                <a:off x="381000" y="58741181"/>
                <a:ext cx="5875885" cy="5468771"/>
              </a:xfrm>
              <a:prstGeom prst="rect">
                <a:avLst/>
              </a:prstGeom>
              <a:ln>
                <a:solidFill>
                  <a:sysClr val="windowText" lastClr="000000"/>
                </a:solidFill>
              </a:ln>
            </xdr:spPr>
          </xdr:pic>
          <xdr:sp macro="" textlink="">
            <xdr:nvSpPr>
              <xdr:cNvPr id="22" name="Freeform 21"/>
              <xdr:cNvSpPr/>
            </xdr:nvSpPr>
            <xdr:spPr>
              <a:xfrm rot="19053003">
                <a:off x="2472089" y="60419269"/>
                <a:ext cx="1335517" cy="1436608"/>
              </a:xfrm>
              <a:custGeom>
                <a:avLst/>
                <a:gdLst>
                  <a:gd name="connsiteX0" fmla="*/ 66675 w 2895600"/>
                  <a:gd name="connsiteY0" fmla="*/ 1047750 h 3105150"/>
                  <a:gd name="connsiteX1" fmla="*/ 647700 w 2895600"/>
                  <a:gd name="connsiteY1" fmla="*/ 971550 h 3105150"/>
                  <a:gd name="connsiteX2" fmla="*/ 1476375 w 2895600"/>
                  <a:gd name="connsiteY2" fmla="*/ 28575 h 3105150"/>
                  <a:gd name="connsiteX3" fmla="*/ 1819275 w 2895600"/>
                  <a:gd name="connsiteY3" fmla="*/ 0 h 3105150"/>
                  <a:gd name="connsiteX4" fmla="*/ 2895600 w 2895600"/>
                  <a:gd name="connsiteY4" fmla="*/ 638175 h 3105150"/>
                  <a:gd name="connsiteX5" fmla="*/ 1943100 w 2895600"/>
                  <a:gd name="connsiteY5" fmla="*/ 2133600 h 3105150"/>
                  <a:gd name="connsiteX6" fmla="*/ 1981200 w 2895600"/>
                  <a:gd name="connsiteY6" fmla="*/ 3076575 h 3105150"/>
                  <a:gd name="connsiteX7" fmla="*/ 0 w 2895600"/>
                  <a:gd name="connsiteY7" fmla="*/ 3105150 h 3105150"/>
                  <a:gd name="connsiteX8" fmla="*/ 66675 w 2895600"/>
                  <a:gd name="connsiteY8" fmla="*/ 1047750 h 310515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</a:cxnLst>
                <a:rect l="l" t="t" r="r" b="b"/>
                <a:pathLst>
                  <a:path w="2895600" h="3105150">
                    <a:moveTo>
                      <a:pt x="66675" y="1047750"/>
                    </a:moveTo>
                    <a:lnTo>
                      <a:pt x="647700" y="971550"/>
                    </a:lnTo>
                    <a:lnTo>
                      <a:pt x="1476375" y="28575"/>
                    </a:lnTo>
                    <a:lnTo>
                      <a:pt x="1819275" y="0"/>
                    </a:lnTo>
                    <a:lnTo>
                      <a:pt x="2895600" y="638175"/>
                    </a:lnTo>
                    <a:lnTo>
                      <a:pt x="1943100" y="2133600"/>
                    </a:lnTo>
                    <a:lnTo>
                      <a:pt x="1981200" y="3076575"/>
                    </a:lnTo>
                    <a:lnTo>
                      <a:pt x="0" y="3105150"/>
                    </a:lnTo>
                    <a:lnTo>
                      <a:pt x="66675" y="1047750"/>
                    </a:lnTo>
                    <a:close/>
                  </a:path>
                </a:pathLst>
              </a:custGeom>
              <a:noFill/>
              <a:ln w="57150">
                <a:solidFill>
                  <a:srgbClr val="FFFF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IN" sz="1100"/>
              </a:p>
            </xdr:txBody>
          </xdr:sp>
        </xdr:grpSp>
        <xdr:sp macro="" textlink="">
          <xdr:nvSpPr>
            <xdr:cNvPr id="23" name="Rectangle 22"/>
            <xdr:cNvSpPr/>
          </xdr:nvSpPr>
          <xdr:spPr>
            <a:xfrm rot="19363541">
              <a:off x="1995568" y="59630388"/>
              <a:ext cx="1904999" cy="387222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sz="2000" b="1">
                  <a:solidFill>
                    <a:srgbClr val="FFFF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Suraj Eterna</a:t>
              </a:r>
            </a:p>
          </xdr:txBody>
        </xdr:sp>
      </xdr:grpSp>
    </xdr:grpSp>
    <xdr:clientData/>
  </xdr:twoCellAnchor>
  <xdr:twoCellAnchor>
    <xdr:from>
      <xdr:col>1</xdr:col>
      <xdr:colOff>141993</xdr:colOff>
      <xdr:row>234</xdr:row>
      <xdr:rowOff>53466</xdr:rowOff>
    </xdr:from>
    <xdr:to>
      <xdr:col>6</xdr:col>
      <xdr:colOff>409574</xdr:colOff>
      <xdr:row>274</xdr:row>
      <xdr:rowOff>66675</xdr:rowOff>
    </xdr:to>
    <xdr:grpSp>
      <xdr:nvGrpSpPr>
        <xdr:cNvPr id="18" name="Group 17"/>
        <xdr:cNvGrpSpPr/>
      </xdr:nvGrpSpPr>
      <xdr:grpSpPr>
        <a:xfrm>
          <a:off x="903993" y="51880672"/>
          <a:ext cx="4424963" cy="8081444"/>
          <a:chOff x="1132594" y="49812066"/>
          <a:chExt cx="4117828" cy="7927055"/>
        </a:xfrm>
      </xdr:grpSpPr>
      <xdr:grpSp>
        <xdr:nvGrpSpPr>
          <xdr:cNvPr id="7" name="Group 6"/>
          <xdr:cNvGrpSpPr/>
        </xdr:nvGrpSpPr>
        <xdr:grpSpPr>
          <a:xfrm>
            <a:off x="1132594" y="49812066"/>
            <a:ext cx="4117828" cy="7927055"/>
            <a:chOff x="1311087" y="46706119"/>
            <a:chExt cx="3685282" cy="7635700"/>
          </a:xfrm>
        </xdr:grpSpPr>
        <xdr:pic>
          <xdr:nvPicPr>
            <xdr:cNvPr id="3" name="Picture 2"/>
            <xdr:cNvPicPr>
              <a:picLocks noChangeAspect="1"/>
            </xdr:cNvPicPr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1311087" y="46706119"/>
              <a:ext cx="3685282" cy="4628028"/>
            </a:xfrm>
            <a:prstGeom prst="rect">
              <a:avLst/>
            </a:prstGeom>
            <a:ln>
              <a:solidFill>
                <a:sysClr val="windowText" lastClr="000000"/>
              </a:solidFill>
            </a:ln>
          </xdr:spPr>
        </xdr:pic>
        <xdr:pic>
          <xdr:nvPicPr>
            <xdr:cNvPr id="4" name="Picture 3"/>
            <xdr:cNvPicPr>
              <a:picLocks noChangeAspect="1"/>
            </xdr:cNvPicPr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1837765" y="51435001"/>
              <a:ext cx="2360525" cy="2906818"/>
            </a:xfrm>
            <a:prstGeom prst="rect">
              <a:avLst/>
            </a:prstGeom>
            <a:ln>
              <a:solidFill>
                <a:sysClr val="windowText" lastClr="000000"/>
              </a:solidFill>
            </a:ln>
          </xdr:spPr>
        </xdr:pic>
      </xdr:grpSp>
      <xdr:sp macro="" textlink="">
        <xdr:nvSpPr>
          <xdr:cNvPr id="17" name="Rectangle 16"/>
          <xdr:cNvSpPr/>
        </xdr:nvSpPr>
        <xdr:spPr>
          <a:xfrm>
            <a:off x="2038350" y="51130200"/>
            <a:ext cx="1333500" cy="1838325"/>
          </a:xfrm>
          <a:prstGeom prst="rect">
            <a:avLst/>
          </a:prstGeom>
          <a:noFill/>
          <a:ln w="57150">
            <a:solidFill>
              <a:srgbClr val="0913D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27" name="Rectangle 26"/>
          <xdr:cNvSpPr/>
        </xdr:nvSpPr>
        <xdr:spPr>
          <a:xfrm>
            <a:off x="2425704" y="49988323"/>
            <a:ext cx="2344079" cy="379477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rtl="0" eaLnBrk="1" latinLnBrk="0" hangingPunct="1"/>
            <a:r>
              <a:rPr lang="en-IN" sz="1400" b="1" kern="1200">
                <a:solidFill>
                  <a:srgbClr val="FF0000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Mechnised Parking System</a:t>
            </a:r>
            <a:endParaRPr lang="en-IN" sz="1600" b="1">
              <a:solidFill>
                <a:srgbClr val="FF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28" name="Rectangle 27"/>
          <xdr:cNvSpPr/>
        </xdr:nvSpPr>
        <xdr:spPr>
          <a:xfrm>
            <a:off x="2886075" y="50253900"/>
            <a:ext cx="1133474" cy="847725"/>
          </a:xfrm>
          <a:prstGeom prst="rect">
            <a:avLst/>
          </a:prstGeom>
          <a:noFill/>
          <a:ln w="571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32" name="Rectangle 31"/>
          <xdr:cNvSpPr/>
        </xdr:nvSpPr>
        <xdr:spPr>
          <a:xfrm>
            <a:off x="2015339" y="52381377"/>
            <a:ext cx="1031871" cy="379477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rtl="0" eaLnBrk="1" latinLnBrk="0" hangingPunct="1"/>
            <a:r>
              <a:rPr lang="en-IN" sz="1800" b="1" kern="1200">
                <a:solidFill>
                  <a:srgbClr val="0913D5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Building</a:t>
            </a:r>
            <a:endParaRPr lang="en-IN" sz="2000" b="1">
              <a:solidFill>
                <a:srgbClr val="0913D5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 editAs="oneCell">
    <xdr:from>
      <xdr:col>9</xdr:col>
      <xdr:colOff>413017</xdr:colOff>
      <xdr:row>100</xdr:row>
      <xdr:rowOff>26415</xdr:rowOff>
    </xdr:from>
    <xdr:to>
      <xdr:col>25</xdr:col>
      <xdr:colOff>388668</xdr:colOff>
      <xdr:row>108</xdr:row>
      <xdr:rowOff>53698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111458" y="24119062"/>
          <a:ext cx="10800534" cy="1640930"/>
        </a:xfrm>
        <a:prstGeom prst="rect">
          <a:avLst/>
        </a:prstGeom>
      </xdr:spPr>
    </xdr:pic>
    <xdr:clientData/>
  </xdr:twoCellAnchor>
  <xdr:twoCellAnchor editAs="oneCell">
    <xdr:from>
      <xdr:col>9</xdr:col>
      <xdr:colOff>228920</xdr:colOff>
      <xdr:row>106</xdr:row>
      <xdr:rowOff>195303</xdr:rowOff>
    </xdr:from>
    <xdr:to>
      <xdr:col>15</xdr:col>
      <xdr:colOff>467718</xdr:colOff>
      <xdr:row>125</xdr:row>
      <xdr:rowOff>58300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889741" y="26293803"/>
          <a:ext cx="4824406" cy="3115104"/>
        </a:xfrm>
        <a:prstGeom prst="rect">
          <a:avLst/>
        </a:prstGeom>
      </xdr:spPr>
    </xdr:pic>
    <xdr:clientData/>
  </xdr:twoCellAnchor>
  <xdr:twoCellAnchor editAs="oneCell">
    <xdr:from>
      <xdr:col>16</xdr:col>
      <xdr:colOff>133450</xdr:colOff>
      <xdr:row>96</xdr:row>
      <xdr:rowOff>140873</xdr:rowOff>
    </xdr:from>
    <xdr:to>
      <xdr:col>35</xdr:col>
      <xdr:colOff>394520</xdr:colOff>
      <xdr:row>126</xdr:row>
      <xdr:rowOff>458963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3155486" y="24198302"/>
          <a:ext cx="11895177" cy="5815375"/>
        </a:xfrm>
        <a:prstGeom prst="rect">
          <a:avLst/>
        </a:prstGeom>
      </xdr:spPr>
    </xdr:pic>
    <xdr:clientData/>
  </xdr:twoCellAnchor>
  <xdr:twoCellAnchor editAs="oneCell">
    <xdr:from>
      <xdr:col>8</xdr:col>
      <xdr:colOff>562695</xdr:colOff>
      <xdr:row>57</xdr:row>
      <xdr:rowOff>83244</xdr:rowOff>
    </xdr:from>
    <xdr:to>
      <xdr:col>20</xdr:col>
      <xdr:colOff>130218</xdr:colOff>
      <xdr:row>64</xdr:row>
      <xdr:rowOff>44622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095724" y="15323244"/>
          <a:ext cx="8532229" cy="2000849"/>
        </a:xfrm>
        <a:prstGeom prst="rect">
          <a:avLst/>
        </a:prstGeom>
      </xdr:spPr>
    </xdr:pic>
    <xdr:clientData/>
  </xdr:twoCellAnchor>
  <xdr:twoCellAnchor>
    <xdr:from>
      <xdr:col>0</xdr:col>
      <xdr:colOff>215347</xdr:colOff>
      <xdr:row>192</xdr:row>
      <xdr:rowOff>90977</xdr:rowOff>
    </xdr:from>
    <xdr:to>
      <xdr:col>7</xdr:col>
      <xdr:colOff>530087</xdr:colOff>
      <xdr:row>231</xdr:row>
      <xdr:rowOff>18999</xdr:rowOff>
    </xdr:to>
    <xdr:grpSp>
      <xdr:nvGrpSpPr>
        <xdr:cNvPr id="37" name="Group 36"/>
        <xdr:cNvGrpSpPr/>
      </xdr:nvGrpSpPr>
      <xdr:grpSpPr>
        <a:xfrm>
          <a:off x="215347" y="43446536"/>
          <a:ext cx="6018534" cy="7794551"/>
          <a:chOff x="384303" y="462424"/>
          <a:chExt cx="5836279" cy="7370881"/>
        </a:xfrm>
      </xdr:grpSpPr>
      <xdr:pic>
        <xdr:nvPicPr>
          <xdr:cNvPr id="38" name="Picture 37" descr="https://vsjcllp.vsjadon.com/upload/insp-249859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97810" y="5673305"/>
            <a:ext cx="161832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9" name="Picture 38" descr="https://vsjcllp.vsjadon.com/upload/insp-249859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35239" y="462424"/>
            <a:ext cx="1885343" cy="25164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0" name="Picture 39" descr="https://vsjcllp.vsjadon.com/upload/insp-249859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79272" y="5673305"/>
            <a:ext cx="161832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1" name="Picture 40" descr="https://vsjcllp.vsjadon.com/upload/insp-249859-85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31145" y="3078924"/>
            <a:ext cx="1884744" cy="251560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2" name="Picture 41" descr="https://vsjcllp.vsjadon.com/upload/insp-249859-87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4303" y="462550"/>
            <a:ext cx="3844990" cy="51319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3" name="Picture 42" descr="https://vsjcllp.vsjadon.com/upload/insp-249859-151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491439" y="5673305"/>
            <a:ext cx="161832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9</xdr:col>
      <xdr:colOff>537882</xdr:colOff>
      <xdr:row>68</xdr:row>
      <xdr:rowOff>44824</xdr:rowOff>
    </xdr:from>
    <xdr:to>
      <xdr:col>15</xdr:col>
      <xdr:colOff>154108</xdr:colOff>
      <xdr:row>91</xdr:row>
      <xdr:rowOff>156445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236323" y="17335500"/>
          <a:ext cx="4210638" cy="4896533"/>
        </a:xfrm>
        <a:prstGeom prst="rect">
          <a:avLst/>
        </a:prstGeom>
      </xdr:spPr>
    </xdr:pic>
    <xdr:clientData/>
  </xdr:twoCellAnchor>
  <xdr:twoCellAnchor editAs="oneCell">
    <xdr:from>
      <xdr:col>11</xdr:col>
      <xdr:colOff>697567</xdr:colOff>
      <xdr:row>140</xdr:row>
      <xdr:rowOff>166407</xdr:rowOff>
    </xdr:from>
    <xdr:to>
      <xdr:col>19</xdr:col>
      <xdr:colOff>89782</xdr:colOff>
      <xdr:row>156</xdr:row>
      <xdr:rowOff>136595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987243" y="32159201"/>
          <a:ext cx="4995157" cy="3197482"/>
        </a:xfrm>
        <a:prstGeom prst="rect">
          <a:avLst/>
        </a:prstGeom>
      </xdr:spPr>
    </xdr:pic>
    <xdr:clientData/>
  </xdr:twoCellAnchor>
  <xdr:twoCellAnchor editAs="oneCell">
    <xdr:from>
      <xdr:col>8</xdr:col>
      <xdr:colOff>431105</xdr:colOff>
      <xdr:row>0</xdr:row>
      <xdr:rowOff>78441</xdr:rowOff>
    </xdr:from>
    <xdr:to>
      <xdr:col>13</xdr:col>
      <xdr:colOff>29508</xdr:colOff>
      <xdr:row>16</xdr:row>
      <xdr:rowOff>6802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935319" y="78441"/>
          <a:ext cx="3843832" cy="4024111"/>
        </a:xfrm>
        <a:prstGeom prst="rect">
          <a:avLst/>
        </a:prstGeom>
      </xdr:spPr>
    </xdr:pic>
    <xdr:clientData/>
  </xdr:twoCellAnchor>
  <xdr:twoCellAnchor editAs="oneCell">
    <xdr:from>
      <xdr:col>14</xdr:col>
      <xdr:colOff>64834</xdr:colOff>
      <xdr:row>0</xdr:row>
      <xdr:rowOff>0</xdr:rowOff>
    </xdr:from>
    <xdr:to>
      <xdr:col>24</xdr:col>
      <xdr:colOff>243704</xdr:colOff>
      <xdr:row>15</xdr:row>
      <xdr:rowOff>446234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658120" y="0"/>
          <a:ext cx="6506191" cy="38616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6</xdr:col>
      <xdr:colOff>4566</xdr:colOff>
      <xdr:row>41</xdr:row>
      <xdr:rowOff>171000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706" y="4392706"/>
          <a:ext cx="6403125" cy="36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42</xdr:row>
      <xdr:rowOff>144492</xdr:rowOff>
    </xdr:from>
    <xdr:to>
      <xdr:col>6</xdr:col>
      <xdr:colOff>156966</xdr:colOff>
      <xdr:row>61</xdr:row>
      <xdr:rowOff>124992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5106" y="8156698"/>
          <a:ext cx="6403125" cy="360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309366</xdr:colOff>
      <xdr:row>42</xdr:row>
      <xdr:rowOff>144492</xdr:rowOff>
    </xdr:from>
    <xdr:to>
      <xdr:col>15</xdr:col>
      <xdr:colOff>201874</xdr:colOff>
      <xdr:row>61</xdr:row>
      <xdr:rowOff>124992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90631" y="8156698"/>
          <a:ext cx="6403125" cy="360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309366</xdr:colOff>
      <xdr:row>23</xdr:row>
      <xdr:rowOff>0</xdr:rowOff>
    </xdr:from>
    <xdr:to>
      <xdr:col>15</xdr:col>
      <xdr:colOff>201874</xdr:colOff>
      <xdr:row>41</xdr:row>
      <xdr:rowOff>171000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90631" y="4392706"/>
          <a:ext cx="6403125" cy="36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6</xdr:col>
      <xdr:colOff>4566</xdr:colOff>
      <xdr:row>81</xdr:row>
      <xdr:rowOff>171000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82706" y="12012706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462952</xdr:colOff>
      <xdr:row>83</xdr:row>
      <xdr:rowOff>86129</xdr:rowOff>
    </xdr:from>
    <xdr:to>
      <xdr:col>6</xdr:col>
      <xdr:colOff>467518</xdr:colOff>
      <xdr:row>102</xdr:row>
      <xdr:rowOff>66629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45658" y="15908835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787245</xdr:colOff>
      <xdr:row>83</xdr:row>
      <xdr:rowOff>71796</xdr:rowOff>
    </xdr:from>
    <xdr:to>
      <xdr:col>16</xdr:col>
      <xdr:colOff>97047</xdr:colOff>
      <xdr:row>102</xdr:row>
      <xdr:rowOff>52296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768510" y="15894502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787245</xdr:colOff>
      <xdr:row>63</xdr:row>
      <xdr:rowOff>0</xdr:rowOff>
    </xdr:from>
    <xdr:to>
      <xdr:col>16</xdr:col>
      <xdr:colOff>97047</xdr:colOff>
      <xdr:row>81</xdr:row>
      <xdr:rowOff>171000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768510" y="12012706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urajestate.com/project/eterna/" TargetMode="External"/><Relationship Id="rId1" Type="http://schemas.openxmlformats.org/officeDocument/2006/relationships/hyperlink" Target="https://goo.gl/maps/j2LpBN5Poa5ao5Tc7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276"/>
  <sheetViews>
    <sheetView tabSelected="1" view="pageBreakPreview" topLeftCell="A99" zoomScale="85" zoomScaleNormal="100" zoomScaleSheetLayoutView="85" workbookViewId="0">
      <selection activeCell="I110" sqref="I110"/>
    </sheetView>
  </sheetViews>
  <sheetFormatPr defaultColWidth="9.140625" defaultRowHeight="15.75" x14ac:dyDescent="0.25"/>
  <cols>
    <col min="1" max="1" width="11.42578125" style="38" customWidth="1"/>
    <col min="2" max="2" width="12" style="38" customWidth="1"/>
    <col min="3" max="3" width="12.7109375" style="38" customWidth="1"/>
    <col min="4" max="4" width="14.140625" style="38" customWidth="1"/>
    <col min="5" max="7" width="11.7109375" style="38" customWidth="1"/>
    <col min="8" max="8" width="12.42578125" style="38" customWidth="1"/>
    <col min="9" max="9" width="17.42578125" style="19" customWidth="1"/>
    <col min="10" max="10" width="13.28515625" style="19" customWidth="1"/>
    <col min="11" max="11" width="10.5703125" style="19" bestFit="1" customWidth="1"/>
    <col min="12" max="12" width="10.5703125" style="19" customWidth="1"/>
    <col min="13" max="13" width="11.85546875" style="19" customWidth="1"/>
    <col min="14" max="14" width="12.5703125" style="19" customWidth="1"/>
    <col min="15" max="15" width="9.85546875" style="19" customWidth="1"/>
    <col min="16" max="16" width="11.7109375" style="19" customWidth="1"/>
    <col min="17" max="247" width="9.140625" style="19"/>
    <col min="248" max="248" width="8.7109375" style="19" customWidth="1"/>
    <col min="249" max="249" width="9.85546875" style="19" customWidth="1"/>
    <col min="250" max="250" width="14.42578125" style="19" customWidth="1"/>
    <col min="251" max="251" width="7.28515625" style="19" customWidth="1"/>
    <col min="252" max="252" width="5.5703125" style="19" customWidth="1"/>
    <col min="253" max="253" width="9" style="19" customWidth="1"/>
    <col min="254" max="255" width="9.85546875" style="19" customWidth="1"/>
    <col min="256" max="256" width="11.140625" style="19" customWidth="1"/>
    <col min="257" max="257" width="2.85546875" style="19" customWidth="1"/>
    <col min="258" max="258" width="3.5703125" style="19" customWidth="1"/>
    <col min="259" max="503" width="9.140625" style="19"/>
    <col min="504" max="504" width="8.7109375" style="19" customWidth="1"/>
    <col min="505" max="505" width="9.85546875" style="19" customWidth="1"/>
    <col min="506" max="506" width="14.42578125" style="19" customWidth="1"/>
    <col min="507" max="507" width="7.28515625" style="19" customWidth="1"/>
    <col min="508" max="508" width="5.5703125" style="19" customWidth="1"/>
    <col min="509" max="509" width="9" style="19" customWidth="1"/>
    <col min="510" max="511" width="9.85546875" style="19" customWidth="1"/>
    <col min="512" max="512" width="11.140625" style="19" customWidth="1"/>
    <col min="513" max="513" width="2.85546875" style="19" customWidth="1"/>
    <col min="514" max="514" width="3.5703125" style="19" customWidth="1"/>
    <col min="515" max="759" width="9.140625" style="19"/>
    <col min="760" max="760" width="8.7109375" style="19" customWidth="1"/>
    <col min="761" max="761" width="9.85546875" style="19" customWidth="1"/>
    <col min="762" max="762" width="14.42578125" style="19" customWidth="1"/>
    <col min="763" max="763" width="7.28515625" style="19" customWidth="1"/>
    <col min="764" max="764" width="5.5703125" style="19" customWidth="1"/>
    <col min="765" max="765" width="9" style="19" customWidth="1"/>
    <col min="766" max="767" width="9.85546875" style="19" customWidth="1"/>
    <col min="768" max="768" width="11.140625" style="19" customWidth="1"/>
    <col min="769" max="769" width="2.85546875" style="19" customWidth="1"/>
    <col min="770" max="770" width="3.5703125" style="19" customWidth="1"/>
    <col min="771" max="1015" width="9.140625" style="19"/>
    <col min="1016" max="1016" width="8.7109375" style="19" customWidth="1"/>
    <col min="1017" max="1017" width="9.85546875" style="19" customWidth="1"/>
    <col min="1018" max="1018" width="14.42578125" style="19" customWidth="1"/>
    <col min="1019" max="1019" width="7.28515625" style="19" customWidth="1"/>
    <col min="1020" max="1020" width="5.5703125" style="19" customWidth="1"/>
    <col min="1021" max="1021" width="9" style="19" customWidth="1"/>
    <col min="1022" max="1023" width="9.85546875" style="19" customWidth="1"/>
    <col min="1024" max="1024" width="11.140625" style="19" customWidth="1"/>
    <col min="1025" max="1025" width="2.85546875" style="19" customWidth="1"/>
    <col min="1026" max="1026" width="3.5703125" style="19" customWidth="1"/>
    <col min="1027" max="1271" width="9.140625" style="19"/>
    <col min="1272" max="1272" width="8.7109375" style="19" customWidth="1"/>
    <col min="1273" max="1273" width="9.85546875" style="19" customWidth="1"/>
    <col min="1274" max="1274" width="14.42578125" style="19" customWidth="1"/>
    <col min="1275" max="1275" width="7.28515625" style="19" customWidth="1"/>
    <col min="1276" max="1276" width="5.5703125" style="19" customWidth="1"/>
    <col min="1277" max="1277" width="9" style="19" customWidth="1"/>
    <col min="1278" max="1279" width="9.85546875" style="19" customWidth="1"/>
    <col min="1280" max="1280" width="11.140625" style="19" customWidth="1"/>
    <col min="1281" max="1281" width="2.85546875" style="19" customWidth="1"/>
    <col min="1282" max="1282" width="3.5703125" style="19" customWidth="1"/>
    <col min="1283" max="1527" width="9.140625" style="19"/>
    <col min="1528" max="1528" width="8.7109375" style="19" customWidth="1"/>
    <col min="1529" max="1529" width="9.85546875" style="19" customWidth="1"/>
    <col min="1530" max="1530" width="14.42578125" style="19" customWidth="1"/>
    <col min="1531" max="1531" width="7.28515625" style="19" customWidth="1"/>
    <col min="1532" max="1532" width="5.5703125" style="19" customWidth="1"/>
    <col min="1533" max="1533" width="9" style="19" customWidth="1"/>
    <col min="1534" max="1535" width="9.85546875" style="19" customWidth="1"/>
    <col min="1536" max="1536" width="11.140625" style="19" customWidth="1"/>
    <col min="1537" max="1537" width="2.85546875" style="19" customWidth="1"/>
    <col min="1538" max="1538" width="3.5703125" style="19" customWidth="1"/>
    <col min="1539" max="1783" width="9.140625" style="19"/>
    <col min="1784" max="1784" width="8.7109375" style="19" customWidth="1"/>
    <col min="1785" max="1785" width="9.85546875" style="19" customWidth="1"/>
    <col min="1786" max="1786" width="14.42578125" style="19" customWidth="1"/>
    <col min="1787" max="1787" width="7.28515625" style="19" customWidth="1"/>
    <col min="1788" max="1788" width="5.5703125" style="19" customWidth="1"/>
    <col min="1789" max="1789" width="9" style="19" customWidth="1"/>
    <col min="1790" max="1791" width="9.85546875" style="19" customWidth="1"/>
    <col min="1792" max="1792" width="11.140625" style="19" customWidth="1"/>
    <col min="1793" max="1793" width="2.85546875" style="19" customWidth="1"/>
    <col min="1794" max="1794" width="3.5703125" style="19" customWidth="1"/>
    <col min="1795" max="2039" width="9.140625" style="19"/>
    <col min="2040" max="2040" width="8.7109375" style="19" customWidth="1"/>
    <col min="2041" max="2041" width="9.85546875" style="19" customWidth="1"/>
    <col min="2042" max="2042" width="14.42578125" style="19" customWidth="1"/>
    <col min="2043" max="2043" width="7.28515625" style="19" customWidth="1"/>
    <col min="2044" max="2044" width="5.5703125" style="19" customWidth="1"/>
    <col min="2045" max="2045" width="9" style="19" customWidth="1"/>
    <col min="2046" max="2047" width="9.85546875" style="19" customWidth="1"/>
    <col min="2048" max="2048" width="11.140625" style="19" customWidth="1"/>
    <col min="2049" max="2049" width="2.85546875" style="19" customWidth="1"/>
    <col min="2050" max="2050" width="3.5703125" style="19" customWidth="1"/>
    <col min="2051" max="2295" width="9.140625" style="19"/>
    <col min="2296" max="2296" width="8.7109375" style="19" customWidth="1"/>
    <col min="2297" max="2297" width="9.85546875" style="19" customWidth="1"/>
    <col min="2298" max="2298" width="14.42578125" style="19" customWidth="1"/>
    <col min="2299" max="2299" width="7.28515625" style="19" customWidth="1"/>
    <col min="2300" max="2300" width="5.5703125" style="19" customWidth="1"/>
    <col min="2301" max="2301" width="9" style="19" customWidth="1"/>
    <col min="2302" max="2303" width="9.85546875" style="19" customWidth="1"/>
    <col min="2304" max="2304" width="11.140625" style="19" customWidth="1"/>
    <col min="2305" max="2305" width="2.85546875" style="19" customWidth="1"/>
    <col min="2306" max="2306" width="3.5703125" style="19" customWidth="1"/>
    <col min="2307" max="2551" width="9.140625" style="19"/>
    <col min="2552" max="2552" width="8.7109375" style="19" customWidth="1"/>
    <col min="2553" max="2553" width="9.85546875" style="19" customWidth="1"/>
    <col min="2554" max="2554" width="14.42578125" style="19" customWidth="1"/>
    <col min="2555" max="2555" width="7.28515625" style="19" customWidth="1"/>
    <col min="2556" max="2556" width="5.5703125" style="19" customWidth="1"/>
    <col min="2557" max="2557" width="9" style="19" customWidth="1"/>
    <col min="2558" max="2559" width="9.85546875" style="19" customWidth="1"/>
    <col min="2560" max="2560" width="11.140625" style="19" customWidth="1"/>
    <col min="2561" max="2561" width="2.85546875" style="19" customWidth="1"/>
    <col min="2562" max="2562" width="3.5703125" style="19" customWidth="1"/>
    <col min="2563" max="2807" width="9.140625" style="19"/>
    <col min="2808" max="2808" width="8.7109375" style="19" customWidth="1"/>
    <col min="2809" max="2809" width="9.85546875" style="19" customWidth="1"/>
    <col min="2810" max="2810" width="14.42578125" style="19" customWidth="1"/>
    <col min="2811" max="2811" width="7.28515625" style="19" customWidth="1"/>
    <col min="2812" max="2812" width="5.5703125" style="19" customWidth="1"/>
    <col min="2813" max="2813" width="9" style="19" customWidth="1"/>
    <col min="2814" max="2815" width="9.85546875" style="19" customWidth="1"/>
    <col min="2816" max="2816" width="11.140625" style="19" customWidth="1"/>
    <col min="2817" max="2817" width="2.85546875" style="19" customWidth="1"/>
    <col min="2818" max="2818" width="3.5703125" style="19" customWidth="1"/>
    <col min="2819" max="3063" width="9.140625" style="19"/>
    <col min="3064" max="3064" width="8.7109375" style="19" customWidth="1"/>
    <col min="3065" max="3065" width="9.85546875" style="19" customWidth="1"/>
    <col min="3066" max="3066" width="14.42578125" style="19" customWidth="1"/>
    <col min="3067" max="3067" width="7.28515625" style="19" customWidth="1"/>
    <col min="3068" max="3068" width="5.5703125" style="19" customWidth="1"/>
    <col min="3069" max="3069" width="9" style="19" customWidth="1"/>
    <col min="3070" max="3071" width="9.85546875" style="19" customWidth="1"/>
    <col min="3072" max="3072" width="11.140625" style="19" customWidth="1"/>
    <col min="3073" max="3073" width="2.85546875" style="19" customWidth="1"/>
    <col min="3074" max="3074" width="3.5703125" style="19" customWidth="1"/>
    <col min="3075" max="3319" width="9.140625" style="19"/>
    <col min="3320" max="3320" width="8.7109375" style="19" customWidth="1"/>
    <col min="3321" max="3321" width="9.85546875" style="19" customWidth="1"/>
    <col min="3322" max="3322" width="14.42578125" style="19" customWidth="1"/>
    <col min="3323" max="3323" width="7.28515625" style="19" customWidth="1"/>
    <col min="3324" max="3324" width="5.5703125" style="19" customWidth="1"/>
    <col min="3325" max="3325" width="9" style="19" customWidth="1"/>
    <col min="3326" max="3327" width="9.85546875" style="19" customWidth="1"/>
    <col min="3328" max="3328" width="11.140625" style="19" customWidth="1"/>
    <col min="3329" max="3329" width="2.85546875" style="19" customWidth="1"/>
    <col min="3330" max="3330" width="3.5703125" style="19" customWidth="1"/>
    <col min="3331" max="3575" width="9.140625" style="19"/>
    <col min="3576" max="3576" width="8.7109375" style="19" customWidth="1"/>
    <col min="3577" max="3577" width="9.85546875" style="19" customWidth="1"/>
    <col min="3578" max="3578" width="14.42578125" style="19" customWidth="1"/>
    <col min="3579" max="3579" width="7.28515625" style="19" customWidth="1"/>
    <col min="3580" max="3580" width="5.5703125" style="19" customWidth="1"/>
    <col min="3581" max="3581" width="9" style="19" customWidth="1"/>
    <col min="3582" max="3583" width="9.85546875" style="19" customWidth="1"/>
    <col min="3584" max="3584" width="11.140625" style="19" customWidth="1"/>
    <col min="3585" max="3585" width="2.85546875" style="19" customWidth="1"/>
    <col min="3586" max="3586" width="3.5703125" style="19" customWidth="1"/>
    <col min="3587" max="3831" width="9.140625" style="19"/>
    <col min="3832" max="3832" width="8.7109375" style="19" customWidth="1"/>
    <col min="3833" max="3833" width="9.85546875" style="19" customWidth="1"/>
    <col min="3834" max="3834" width="14.42578125" style="19" customWidth="1"/>
    <col min="3835" max="3835" width="7.28515625" style="19" customWidth="1"/>
    <col min="3836" max="3836" width="5.5703125" style="19" customWidth="1"/>
    <col min="3837" max="3837" width="9" style="19" customWidth="1"/>
    <col min="3838" max="3839" width="9.85546875" style="19" customWidth="1"/>
    <col min="3840" max="3840" width="11.140625" style="19" customWidth="1"/>
    <col min="3841" max="3841" width="2.85546875" style="19" customWidth="1"/>
    <col min="3842" max="3842" width="3.5703125" style="19" customWidth="1"/>
    <col min="3843" max="4087" width="9.140625" style="19"/>
    <col min="4088" max="4088" width="8.7109375" style="19" customWidth="1"/>
    <col min="4089" max="4089" width="9.85546875" style="19" customWidth="1"/>
    <col min="4090" max="4090" width="14.42578125" style="19" customWidth="1"/>
    <col min="4091" max="4091" width="7.28515625" style="19" customWidth="1"/>
    <col min="4092" max="4092" width="5.5703125" style="19" customWidth="1"/>
    <col min="4093" max="4093" width="9" style="19" customWidth="1"/>
    <col min="4094" max="4095" width="9.85546875" style="19" customWidth="1"/>
    <col min="4096" max="4096" width="11.140625" style="19" customWidth="1"/>
    <col min="4097" max="4097" width="2.85546875" style="19" customWidth="1"/>
    <col min="4098" max="4098" width="3.5703125" style="19" customWidth="1"/>
    <col min="4099" max="4343" width="9.140625" style="19"/>
    <col min="4344" max="4344" width="8.7109375" style="19" customWidth="1"/>
    <col min="4345" max="4345" width="9.85546875" style="19" customWidth="1"/>
    <col min="4346" max="4346" width="14.42578125" style="19" customWidth="1"/>
    <col min="4347" max="4347" width="7.28515625" style="19" customWidth="1"/>
    <col min="4348" max="4348" width="5.5703125" style="19" customWidth="1"/>
    <col min="4349" max="4349" width="9" style="19" customWidth="1"/>
    <col min="4350" max="4351" width="9.85546875" style="19" customWidth="1"/>
    <col min="4352" max="4352" width="11.140625" style="19" customWidth="1"/>
    <col min="4353" max="4353" width="2.85546875" style="19" customWidth="1"/>
    <col min="4354" max="4354" width="3.5703125" style="19" customWidth="1"/>
    <col min="4355" max="4599" width="9.140625" style="19"/>
    <col min="4600" max="4600" width="8.7109375" style="19" customWidth="1"/>
    <col min="4601" max="4601" width="9.85546875" style="19" customWidth="1"/>
    <col min="4602" max="4602" width="14.42578125" style="19" customWidth="1"/>
    <col min="4603" max="4603" width="7.28515625" style="19" customWidth="1"/>
    <col min="4604" max="4604" width="5.5703125" style="19" customWidth="1"/>
    <col min="4605" max="4605" width="9" style="19" customWidth="1"/>
    <col min="4606" max="4607" width="9.85546875" style="19" customWidth="1"/>
    <col min="4608" max="4608" width="11.140625" style="19" customWidth="1"/>
    <col min="4609" max="4609" width="2.85546875" style="19" customWidth="1"/>
    <col min="4610" max="4610" width="3.5703125" style="19" customWidth="1"/>
    <col min="4611" max="4855" width="9.140625" style="19"/>
    <col min="4856" max="4856" width="8.7109375" style="19" customWidth="1"/>
    <col min="4857" max="4857" width="9.85546875" style="19" customWidth="1"/>
    <col min="4858" max="4858" width="14.42578125" style="19" customWidth="1"/>
    <col min="4859" max="4859" width="7.28515625" style="19" customWidth="1"/>
    <col min="4860" max="4860" width="5.5703125" style="19" customWidth="1"/>
    <col min="4861" max="4861" width="9" style="19" customWidth="1"/>
    <col min="4862" max="4863" width="9.85546875" style="19" customWidth="1"/>
    <col min="4864" max="4864" width="11.140625" style="19" customWidth="1"/>
    <col min="4865" max="4865" width="2.85546875" style="19" customWidth="1"/>
    <col min="4866" max="4866" width="3.5703125" style="19" customWidth="1"/>
    <col min="4867" max="5111" width="9.140625" style="19"/>
    <col min="5112" max="5112" width="8.7109375" style="19" customWidth="1"/>
    <col min="5113" max="5113" width="9.85546875" style="19" customWidth="1"/>
    <col min="5114" max="5114" width="14.42578125" style="19" customWidth="1"/>
    <col min="5115" max="5115" width="7.28515625" style="19" customWidth="1"/>
    <col min="5116" max="5116" width="5.5703125" style="19" customWidth="1"/>
    <col min="5117" max="5117" width="9" style="19" customWidth="1"/>
    <col min="5118" max="5119" width="9.85546875" style="19" customWidth="1"/>
    <col min="5120" max="5120" width="11.140625" style="19" customWidth="1"/>
    <col min="5121" max="5121" width="2.85546875" style="19" customWidth="1"/>
    <col min="5122" max="5122" width="3.5703125" style="19" customWidth="1"/>
    <col min="5123" max="5367" width="9.140625" style="19"/>
    <col min="5368" max="5368" width="8.7109375" style="19" customWidth="1"/>
    <col min="5369" max="5369" width="9.85546875" style="19" customWidth="1"/>
    <col min="5370" max="5370" width="14.42578125" style="19" customWidth="1"/>
    <col min="5371" max="5371" width="7.28515625" style="19" customWidth="1"/>
    <col min="5372" max="5372" width="5.5703125" style="19" customWidth="1"/>
    <col min="5373" max="5373" width="9" style="19" customWidth="1"/>
    <col min="5374" max="5375" width="9.85546875" style="19" customWidth="1"/>
    <col min="5376" max="5376" width="11.140625" style="19" customWidth="1"/>
    <col min="5377" max="5377" width="2.85546875" style="19" customWidth="1"/>
    <col min="5378" max="5378" width="3.5703125" style="19" customWidth="1"/>
    <col min="5379" max="5623" width="9.140625" style="19"/>
    <col min="5624" max="5624" width="8.7109375" style="19" customWidth="1"/>
    <col min="5625" max="5625" width="9.85546875" style="19" customWidth="1"/>
    <col min="5626" max="5626" width="14.42578125" style="19" customWidth="1"/>
    <col min="5627" max="5627" width="7.28515625" style="19" customWidth="1"/>
    <col min="5628" max="5628" width="5.5703125" style="19" customWidth="1"/>
    <col min="5629" max="5629" width="9" style="19" customWidth="1"/>
    <col min="5630" max="5631" width="9.85546875" style="19" customWidth="1"/>
    <col min="5632" max="5632" width="11.140625" style="19" customWidth="1"/>
    <col min="5633" max="5633" width="2.85546875" style="19" customWidth="1"/>
    <col min="5634" max="5634" width="3.5703125" style="19" customWidth="1"/>
    <col min="5635" max="5879" width="9.140625" style="19"/>
    <col min="5880" max="5880" width="8.7109375" style="19" customWidth="1"/>
    <col min="5881" max="5881" width="9.85546875" style="19" customWidth="1"/>
    <col min="5882" max="5882" width="14.42578125" style="19" customWidth="1"/>
    <col min="5883" max="5883" width="7.28515625" style="19" customWidth="1"/>
    <col min="5884" max="5884" width="5.5703125" style="19" customWidth="1"/>
    <col min="5885" max="5885" width="9" style="19" customWidth="1"/>
    <col min="5886" max="5887" width="9.85546875" style="19" customWidth="1"/>
    <col min="5888" max="5888" width="11.140625" style="19" customWidth="1"/>
    <col min="5889" max="5889" width="2.85546875" style="19" customWidth="1"/>
    <col min="5890" max="5890" width="3.5703125" style="19" customWidth="1"/>
    <col min="5891" max="6135" width="9.140625" style="19"/>
    <col min="6136" max="6136" width="8.7109375" style="19" customWidth="1"/>
    <col min="6137" max="6137" width="9.85546875" style="19" customWidth="1"/>
    <col min="6138" max="6138" width="14.42578125" style="19" customWidth="1"/>
    <col min="6139" max="6139" width="7.28515625" style="19" customWidth="1"/>
    <col min="6140" max="6140" width="5.5703125" style="19" customWidth="1"/>
    <col min="6141" max="6141" width="9" style="19" customWidth="1"/>
    <col min="6142" max="6143" width="9.85546875" style="19" customWidth="1"/>
    <col min="6144" max="6144" width="11.140625" style="19" customWidth="1"/>
    <col min="6145" max="6145" width="2.85546875" style="19" customWidth="1"/>
    <col min="6146" max="6146" width="3.5703125" style="19" customWidth="1"/>
    <col min="6147" max="6391" width="9.140625" style="19"/>
    <col min="6392" max="6392" width="8.7109375" style="19" customWidth="1"/>
    <col min="6393" max="6393" width="9.85546875" style="19" customWidth="1"/>
    <col min="6394" max="6394" width="14.42578125" style="19" customWidth="1"/>
    <col min="6395" max="6395" width="7.28515625" style="19" customWidth="1"/>
    <col min="6396" max="6396" width="5.5703125" style="19" customWidth="1"/>
    <col min="6397" max="6397" width="9" style="19" customWidth="1"/>
    <col min="6398" max="6399" width="9.85546875" style="19" customWidth="1"/>
    <col min="6400" max="6400" width="11.140625" style="19" customWidth="1"/>
    <col min="6401" max="6401" width="2.85546875" style="19" customWidth="1"/>
    <col min="6402" max="6402" width="3.5703125" style="19" customWidth="1"/>
    <col min="6403" max="6647" width="9.140625" style="19"/>
    <col min="6648" max="6648" width="8.7109375" style="19" customWidth="1"/>
    <col min="6649" max="6649" width="9.85546875" style="19" customWidth="1"/>
    <col min="6650" max="6650" width="14.42578125" style="19" customWidth="1"/>
    <col min="6651" max="6651" width="7.28515625" style="19" customWidth="1"/>
    <col min="6652" max="6652" width="5.5703125" style="19" customWidth="1"/>
    <col min="6653" max="6653" width="9" style="19" customWidth="1"/>
    <col min="6654" max="6655" width="9.85546875" style="19" customWidth="1"/>
    <col min="6656" max="6656" width="11.140625" style="19" customWidth="1"/>
    <col min="6657" max="6657" width="2.85546875" style="19" customWidth="1"/>
    <col min="6658" max="6658" width="3.5703125" style="19" customWidth="1"/>
    <col min="6659" max="6903" width="9.140625" style="19"/>
    <col min="6904" max="6904" width="8.7109375" style="19" customWidth="1"/>
    <col min="6905" max="6905" width="9.85546875" style="19" customWidth="1"/>
    <col min="6906" max="6906" width="14.42578125" style="19" customWidth="1"/>
    <col min="6907" max="6907" width="7.28515625" style="19" customWidth="1"/>
    <col min="6908" max="6908" width="5.5703125" style="19" customWidth="1"/>
    <col min="6909" max="6909" width="9" style="19" customWidth="1"/>
    <col min="6910" max="6911" width="9.85546875" style="19" customWidth="1"/>
    <col min="6912" max="6912" width="11.140625" style="19" customWidth="1"/>
    <col min="6913" max="6913" width="2.85546875" style="19" customWidth="1"/>
    <col min="6914" max="6914" width="3.5703125" style="19" customWidth="1"/>
    <col min="6915" max="7159" width="9.140625" style="19"/>
    <col min="7160" max="7160" width="8.7109375" style="19" customWidth="1"/>
    <col min="7161" max="7161" width="9.85546875" style="19" customWidth="1"/>
    <col min="7162" max="7162" width="14.42578125" style="19" customWidth="1"/>
    <col min="7163" max="7163" width="7.28515625" style="19" customWidth="1"/>
    <col min="7164" max="7164" width="5.5703125" style="19" customWidth="1"/>
    <col min="7165" max="7165" width="9" style="19" customWidth="1"/>
    <col min="7166" max="7167" width="9.85546875" style="19" customWidth="1"/>
    <col min="7168" max="7168" width="11.140625" style="19" customWidth="1"/>
    <col min="7169" max="7169" width="2.85546875" style="19" customWidth="1"/>
    <col min="7170" max="7170" width="3.5703125" style="19" customWidth="1"/>
    <col min="7171" max="7415" width="9.140625" style="19"/>
    <col min="7416" max="7416" width="8.7109375" style="19" customWidth="1"/>
    <col min="7417" max="7417" width="9.85546875" style="19" customWidth="1"/>
    <col min="7418" max="7418" width="14.42578125" style="19" customWidth="1"/>
    <col min="7419" max="7419" width="7.28515625" style="19" customWidth="1"/>
    <col min="7420" max="7420" width="5.5703125" style="19" customWidth="1"/>
    <col min="7421" max="7421" width="9" style="19" customWidth="1"/>
    <col min="7422" max="7423" width="9.85546875" style="19" customWidth="1"/>
    <col min="7424" max="7424" width="11.140625" style="19" customWidth="1"/>
    <col min="7425" max="7425" width="2.85546875" style="19" customWidth="1"/>
    <col min="7426" max="7426" width="3.5703125" style="19" customWidth="1"/>
    <col min="7427" max="7671" width="9.140625" style="19"/>
    <col min="7672" max="7672" width="8.7109375" style="19" customWidth="1"/>
    <col min="7673" max="7673" width="9.85546875" style="19" customWidth="1"/>
    <col min="7674" max="7674" width="14.42578125" style="19" customWidth="1"/>
    <col min="7675" max="7675" width="7.28515625" style="19" customWidth="1"/>
    <col min="7676" max="7676" width="5.5703125" style="19" customWidth="1"/>
    <col min="7677" max="7677" width="9" style="19" customWidth="1"/>
    <col min="7678" max="7679" width="9.85546875" style="19" customWidth="1"/>
    <col min="7680" max="7680" width="11.140625" style="19" customWidth="1"/>
    <col min="7681" max="7681" width="2.85546875" style="19" customWidth="1"/>
    <col min="7682" max="7682" width="3.5703125" style="19" customWidth="1"/>
    <col min="7683" max="7927" width="9.140625" style="19"/>
    <col min="7928" max="7928" width="8.7109375" style="19" customWidth="1"/>
    <col min="7929" max="7929" width="9.85546875" style="19" customWidth="1"/>
    <col min="7930" max="7930" width="14.42578125" style="19" customWidth="1"/>
    <col min="7931" max="7931" width="7.28515625" style="19" customWidth="1"/>
    <col min="7932" max="7932" width="5.5703125" style="19" customWidth="1"/>
    <col min="7933" max="7933" width="9" style="19" customWidth="1"/>
    <col min="7934" max="7935" width="9.85546875" style="19" customWidth="1"/>
    <col min="7936" max="7936" width="11.140625" style="19" customWidth="1"/>
    <col min="7937" max="7937" width="2.85546875" style="19" customWidth="1"/>
    <col min="7938" max="7938" width="3.5703125" style="19" customWidth="1"/>
    <col min="7939" max="8183" width="9.140625" style="19"/>
    <col min="8184" max="8184" width="8.7109375" style="19" customWidth="1"/>
    <col min="8185" max="8185" width="9.85546875" style="19" customWidth="1"/>
    <col min="8186" max="8186" width="14.42578125" style="19" customWidth="1"/>
    <col min="8187" max="8187" width="7.28515625" style="19" customWidth="1"/>
    <col min="8188" max="8188" width="5.5703125" style="19" customWidth="1"/>
    <col min="8189" max="8189" width="9" style="19" customWidth="1"/>
    <col min="8190" max="8191" width="9.85546875" style="19" customWidth="1"/>
    <col min="8192" max="8192" width="11.140625" style="19" customWidth="1"/>
    <col min="8193" max="8193" width="2.85546875" style="19" customWidth="1"/>
    <col min="8194" max="8194" width="3.5703125" style="19" customWidth="1"/>
    <col min="8195" max="8439" width="9.140625" style="19"/>
    <col min="8440" max="8440" width="8.7109375" style="19" customWidth="1"/>
    <col min="8441" max="8441" width="9.85546875" style="19" customWidth="1"/>
    <col min="8442" max="8442" width="14.42578125" style="19" customWidth="1"/>
    <col min="8443" max="8443" width="7.28515625" style="19" customWidth="1"/>
    <col min="8444" max="8444" width="5.5703125" style="19" customWidth="1"/>
    <col min="8445" max="8445" width="9" style="19" customWidth="1"/>
    <col min="8446" max="8447" width="9.85546875" style="19" customWidth="1"/>
    <col min="8448" max="8448" width="11.140625" style="19" customWidth="1"/>
    <col min="8449" max="8449" width="2.85546875" style="19" customWidth="1"/>
    <col min="8450" max="8450" width="3.5703125" style="19" customWidth="1"/>
    <col min="8451" max="8695" width="9.140625" style="19"/>
    <col min="8696" max="8696" width="8.7109375" style="19" customWidth="1"/>
    <col min="8697" max="8697" width="9.85546875" style="19" customWidth="1"/>
    <col min="8698" max="8698" width="14.42578125" style="19" customWidth="1"/>
    <col min="8699" max="8699" width="7.28515625" style="19" customWidth="1"/>
    <col min="8700" max="8700" width="5.5703125" style="19" customWidth="1"/>
    <col min="8701" max="8701" width="9" style="19" customWidth="1"/>
    <col min="8702" max="8703" width="9.85546875" style="19" customWidth="1"/>
    <col min="8704" max="8704" width="11.140625" style="19" customWidth="1"/>
    <col min="8705" max="8705" width="2.85546875" style="19" customWidth="1"/>
    <col min="8706" max="8706" width="3.5703125" style="19" customWidth="1"/>
    <col min="8707" max="8951" width="9.140625" style="19"/>
    <col min="8952" max="8952" width="8.7109375" style="19" customWidth="1"/>
    <col min="8953" max="8953" width="9.85546875" style="19" customWidth="1"/>
    <col min="8954" max="8954" width="14.42578125" style="19" customWidth="1"/>
    <col min="8955" max="8955" width="7.28515625" style="19" customWidth="1"/>
    <col min="8956" max="8956" width="5.5703125" style="19" customWidth="1"/>
    <col min="8957" max="8957" width="9" style="19" customWidth="1"/>
    <col min="8958" max="8959" width="9.85546875" style="19" customWidth="1"/>
    <col min="8960" max="8960" width="11.140625" style="19" customWidth="1"/>
    <col min="8961" max="8961" width="2.85546875" style="19" customWidth="1"/>
    <col min="8962" max="8962" width="3.5703125" style="19" customWidth="1"/>
    <col min="8963" max="9207" width="9.140625" style="19"/>
    <col min="9208" max="9208" width="8.7109375" style="19" customWidth="1"/>
    <col min="9209" max="9209" width="9.85546875" style="19" customWidth="1"/>
    <col min="9210" max="9210" width="14.42578125" style="19" customWidth="1"/>
    <col min="9211" max="9211" width="7.28515625" style="19" customWidth="1"/>
    <col min="9212" max="9212" width="5.5703125" style="19" customWidth="1"/>
    <col min="9213" max="9213" width="9" style="19" customWidth="1"/>
    <col min="9214" max="9215" width="9.85546875" style="19" customWidth="1"/>
    <col min="9216" max="9216" width="11.140625" style="19" customWidth="1"/>
    <col min="9217" max="9217" width="2.85546875" style="19" customWidth="1"/>
    <col min="9218" max="9218" width="3.5703125" style="19" customWidth="1"/>
    <col min="9219" max="9463" width="9.140625" style="19"/>
    <col min="9464" max="9464" width="8.7109375" style="19" customWidth="1"/>
    <col min="9465" max="9465" width="9.85546875" style="19" customWidth="1"/>
    <col min="9466" max="9466" width="14.42578125" style="19" customWidth="1"/>
    <col min="9467" max="9467" width="7.28515625" style="19" customWidth="1"/>
    <col min="9468" max="9468" width="5.5703125" style="19" customWidth="1"/>
    <col min="9469" max="9469" width="9" style="19" customWidth="1"/>
    <col min="9470" max="9471" width="9.85546875" style="19" customWidth="1"/>
    <col min="9472" max="9472" width="11.140625" style="19" customWidth="1"/>
    <col min="9473" max="9473" width="2.85546875" style="19" customWidth="1"/>
    <col min="9474" max="9474" width="3.5703125" style="19" customWidth="1"/>
    <col min="9475" max="9719" width="9.140625" style="19"/>
    <col min="9720" max="9720" width="8.7109375" style="19" customWidth="1"/>
    <col min="9721" max="9721" width="9.85546875" style="19" customWidth="1"/>
    <col min="9722" max="9722" width="14.42578125" style="19" customWidth="1"/>
    <col min="9723" max="9723" width="7.28515625" style="19" customWidth="1"/>
    <col min="9724" max="9724" width="5.5703125" style="19" customWidth="1"/>
    <col min="9725" max="9725" width="9" style="19" customWidth="1"/>
    <col min="9726" max="9727" width="9.85546875" style="19" customWidth="1"/>
    <col min="9728" max="9728" width="11.140625" style="19" customWidth="1"/>
    <col min="9729" max="9729" width="2.85546875" style="19" customWidth="1"/>
    <col min="9730" max="9730" width="3.5703125" style="19" customWidth="1"/>
    <col min="9731" max="9975" width="9.140625" style="19"/>
    <col min="9976" max="9976" width="8.7109375" style="19" customWidth="1"/>
    <col min="9977" max="9977" width="9.85546875" style="19" customWidth="1"/>
    <col min="9978" max="9978" width="14.42578125" style="19" customWidth="1"/>
    <col min="9979" max="9979" width="7.28515625" style="19" customWidth="1"/>
    <col min="9980" max="9980" width="5.5703125" style="19" customWidth="1"/>
    <col min="9981" max="9981" width="9" style="19" customWidth="1"/>
    <col min="9982" max="9983" width="9.85546875" style="19" customWidth="1"/>
    <col min="9984" max="9984" width="11.140625" style="19" customWidth="1"/>
    <col min="9985" max="9985" width="2.85546875" style="19" customWidth="1"/>
    <col min="9986" max="9986" width="3.5703125" style="19" customWidth="1"/>
    <col min="9987" max="10231" width="9.140625" style="19"/>
    <col min="10232" max="10232" width="8.7109375" style="19" customWidth="1"/>
    <col min="10233" max="10233" width="9.85546875" style="19" customWidth="1"/>
    <col min="10234" max="10234" width="14.42578125" style="19" customWidth="1"/>
    <col min="10235" max="10235" width="7.28515625" style="19" customWidth="1"/>
    <col min="10236" max="10236" width="5.5703125" style="19" customWidth="1"/>
    <col min="10237" max="10237" width="9" style="19" customWidth="1"/>
    <col min="10238" max="10239" width="9.85546875" style="19" customWidth="1"/>
    <col min="10240" max="10240" width="11.140625" style="19" customWidth="1"/>
    <col min="10241" max="10241" width="2.85546875" style="19" customWidth="1"/>
    <col min="10242" max="10242" width="3.5703125" style="19" customWidth="1"/>
    <col min="10243" max="10487" width="9.140625" style="19"/>
    <col min="10488" max="10488" width="8.7109375" style="19" customWidth="1"/>
    <col min="10489" max="10489" width="9.85546875" style="19" customWidth="1"/>
    <col min="10490" max="10490" width="14.42578125" style="19" customWidth="1"/>
    <col min="10491" max="10491" width="7.28515625" style="19" customWidth="1"/>
    <col min="10492" max="10492" width="5.5703125" style="19" customWidth="1"/>
    <col min="10493" max="10493" width="9" style="19" customWidth="1"/>
    <col min="10494" max="10495" width="9.85546875" style="19" customWidth="1"/>
    <col min="10496" max="10496" width="11.140625" style="19" customWidth="1"/>
    <col min="10497" max="10497" width="2.85546875" style="19" customWidth="1"/>
    <col min="10498" max="10498" width="3.5703125" style="19" customWidth="1"/>
    <col min="10499" max="10743" width="9.140625" style="19"/>
    <col min="10744" max="10744" width="8.7109375" style="19" customWidth="1"/>
    <col min="10745" max="10745" width="9.85546875" style="19" customWidth="1"/>
    <col min="10746" max="10746" width="14.42578125" style="19" customWidth="1"/>
    <col min="10747" max="10747" width="7.28515625" style="19" customWidth="1"/>
    <col min="10748" max="10748" width="5.5703125" style="19" customWidth="1"/>
    <col min="10749" max="10749" width="9" style="19" customWidth="1"/>
    <col min="10750" max="10751" width="9.85546875" style="19" customWidth="1"/>
    <col min="10752" max="10752" width="11.140625" style="19" customWidth="1"/>
    <col min="10753" max="10753" width="2.85546875" style="19" customWidth="1"/>
    <col min="10754" max="10754" width="3.5703125" style="19" customWidth="1"/>
    <col min="10755" max="10999" width="9.140625" style="19"/>
    <col min="11000" max="11000" width="8.7109375" style="19" customWidth="1"/>
    <col min="11001" max="11001" width="9.85546875" style="19" customWidth="1"/>
    <col min="11002" max="11002" width="14.42578125" style="19" customWidth="1"/>
    <col min="11003" max="11003" width="7.28515625" style="19" customWidth="1"/>
    <col min="11004" max="11004" width="5.5703125" style="19" customWidth="1"/>
    <col min="11005" max="11005" width="9" style="19" customWidth="1"/>
    <col min="11006" max="11007" width="9.85546875" style="19" customWidth="1"/>
    <col min="11008" max="11008" width="11.140625" style="19" customWidth="1"/>
    <col min="11009" max="11009" width="2.85546875" style="19" customWidth="1"/>
    <col min="11010" max="11010" width="3.5703125" style="19" customWidth="1"/>
    <col min="11011" max="11255" width="9.140625" style="19"/>
    <col min="11256" max="11256" width="8.7109375" style="19" customWidth="1"/>
    <col min="11257" max="11257" width="9.85546875" style="19" customWidth="1"/>
    <col min="11258" max="11258" width="14.42578125" style="19" customWidth="1"/>
    <col min="11259" max="11259" width="7.28515625" style="19" customWidth="1"/>
    <col min="11260" max="11260" width="5.5703125" style="19" customWidth="1"/>
    <col min="11261" max="11261" width="9" style="19" customWidth="1"/>
    <col min="11262" max="11263" width="9.85546875" style="19" customWidth="1"/>
    <col min="11264" max="11264" width="11.140625" style="19" customWidth="1"/>
    <col min="11265" max="11265" width="2.85546875" style="19" customWidth="1"/>
    <col min="11266" max="11266" width="3.5703125" style="19" customWidth="1"/>
    <col min="11267" max="11511" width="9.140625" style="19"/>
    <col min="11512" max="11512" width="8.7109375" style="19" customWidth="1"/>
    <col min="11513" max="11513" width="9.85546875" style="19" customWidth="1"/>
    <col min="11514" max="11514" width="14.42578125" style="19" customWidth="1"/>
    <col min="11515" max="11515" width="7.28515625" style="19" customWidth="1"/>
    <col min="11516" max="11516" width="5.5703125" style="19" customWidth="1"/>
    <col min="11517" max="11517" width="9" style="19" customWidth="1"/>
    <col min="11518" max="11519" width="9.85546875" style="19" customWidth="1"/>
    <col min="11520" max="11520" width="11.140625" style="19" customWidth="1"/>
    <col min="11521" max="11521" width="2.85546875" style="19" customWidth="1"/>
    <col min="11522" max="11522" width="3.5703125" style="19" customWidth="1"/>
    <col min="11523" max="11767" width="9.140625" style="19"/>
    <col min="11768" max="11768" width="8.7109375" style="19" customWidth="1"/>
    <col min="11769" max="11769" width="9.85546875" style="19" customWidth="1"/>
    <col min="11770" max="11770" width="14.42578125" style="19" customWidth="1"/>
    <col min="11771" max="11771" width="7.28515625" style="19" customWidth="1"/>
    <col min="11772" max="11772" width="5.5703125" style="19" customWidth="1"/>
    <col min="11773" max="11773" width="9" style="19" customWidth="1"/>
    <col min="11774" max="11775" width="9.85546875" style="19" customWidth="1"/>
    <col min="11776" max="11776" width="11.140625" style="19" customWidth="1"/>
    <col min="11777" max="11777" width="2.85546875" style="19" customWidth="1"/>
    <col min="11778" max="11778" width="3.5703125" style="19" customWidth="1"/>
    <col min="11779" max="12023" width="9.140625" style="19"/>
    <col min="12024" max="12024" width="8.7109375" style="19" customWidth="1"/>
    <col min="12025" max="12025" width="9.85546875" style="19" customWidth="1"/>
    <col min="12026" max="12026" width="14.42578125" style="19" customWidth="1"/>
    <col min="12027" max="12027" width="7.28515625" style="19" customWidth="1"/>
    <col min="12028" max="12028" width="5.5703125" style="19" customWidth="1"/>
    <col min="12029" max="12029" width="9" style="19" customWidth="1"/>
    <col min="12030" max="12031" width="9.85546875" style="19" customWidth="1"/>
    <col min="12032" max="12032" width="11.140625" style="19" customWidth="1"/>
    <col min="12033" max="12033" width="2.85546875" style="19" customWidth="1"/>
    <col min="12034" max="12034" width="3.5703125" style="19" customWidth="1"/>
    <col min="12035" max="12279" width="9.140625" style="19"/>
    <col min="12280" max="12280" width="8.7109375" style="19" customWidth="1"/>
    <col min="12281" max="12281" width="9.85546875" style="19" customWidth="1"/>
    <col min="12282" max="12282" width="14.42578125" style="19" customWidth="1"/>
    <col min="12283" max="12283" width="7.28515625" style="19" customWidth="1"/>
    <col min="12284" max="12284" width="5.5703125" style="19" customWidth="1"/>
    <col min="12285" max="12285" width="9" style="19" customWidth="1"/>
    <col min="12286" max="12287" width="9.85546875" style="19" customWidth="1"/>
    <col min="12288" max="12288" width="11.140625" style="19" customWidth="1"/>
    <col min="12289" max="12289" width="2.85546875" style="19" customWidth="1"/>
    <col min="12290" max="12290" width="3.5703125" style="19" customWidth="1"/>
    <col min="12291" max="12535" width="9.140625" style="19"/>
    <col min="12536" max="12536" width="8.7109375" style="19" customWidth="1"/>
    <col min="12537" max="12537" width="9.85546875" style="19" customWidth="1"/>
    <col min="12538" max="12538" width="14.42578125" style="19" customWidth="1"/>
    <col min="12539" max="12539" width="7.28515625" style="19" customWidth="1"/>
    <col min="12540" max="12540" width="5.5703125" style="19" customWidth="1"/>
    <col min="12541" max="12541" width="9" style="19" customWidth="1"/>
    <col min="12542" max="12543" width="9.85546875" style="19" customWidth="1"/>
    <col min="12544" max="12544" width="11.140625" style="19" customWidth="1"/>
    <col min="12545" max="12545" width="2.85546875" style="19" customWidth="1"/>
    <col min="12546" max="12546" width="3.5703125" style="19" customWidth="1"/>
    <col min="12547" max="12791" width="9.140625" style="19"/>
    <col min="12792" max="12792" width="8.7109375" style="19" customWidth="1"/>
    <col min="12793" max="12793" width="9.85546875" style="19" customWidth="1"/>
    <col min="12794" max="12794" width="14.42578125" style="19" customWidth="1"/>
    <col min="12795" max="12795" width="7.28515625" style="19" customWidth="1"/>
    <col min="12796" max="12796" width="5.5703125" style="19" customWidth="1"/>
    <col min="12797" max="12797" width="9" style="19" customWidth="1"/>
    <col min="12798" max="12799" width="9.85546875" style="19" customWidth="1"/>
    <col min="12800" max="12800" width="11.140625" style="19" customWidth="1"/>
    <col min="12801" max="12801" width="2.85546875" style="19" customWidth="1"/>
    <col min="12802" max="12802" width="3.5703125" style="19" customWidth="1"/>
    <col min="12803" max="13047" width="9.140625" style="19"/>
    <col min="13048" max="13048" width="8.7109375" style="19" customWidth="1"/>
    <col min="13049" max="13049" width="9.85546875" style="19" customWidth="1"/>
    <col min="13050" max="13050" width="14.42578125" style="19" customWidth="1"/>
    <col min="13051" max="13051" width="7.28515625" style="19" customWidth="1"/>
    <col min="13052" max="13052" width="5.5703125" style="19" customWidth="1"/>
    <col min="13053" max="13053" width="9" style="19" customWidth="1"/>
    <col min="13054" max="13055" width="9.85546875" style="19" customWidth="1"/>
    <col min="13056" max="13056" width="11.140625" style="19" customWidth="1"/>
    <col min="13057" max="13057" width="2.85546875" style="19" customWidth="1"/>
    <col min="13058" max="13058" width="3.5703125" style="19" customWidth="1"/>
    <col min="13059" max="13303" width="9.140625" style="19"/>
    <col min="13304" max="13304" width="8.7109375" style="19" customWidth="1"/>
    <col min="13305" max="13305" width="9.85546875" style="19" customWidth="1"/>
    <col min="13306" max="13306" width="14.42578125" style="19" customWidth="1"/>
    <col min="13307" max="13307" width="7.28515625" style="19" customWidth="1"/>
    <col min="13308" max="13308" width="5.5703125" style="19" customWidth="1"/>
    <col min="13309" max="13309" width="9" style="19" customWidth="1"/>
    <col min="13310" max="13311" width="9.85546875" style="19" customWidth="1"/>
    <col min="13312" max="13312" width="11.140625" style="19" customWidth="1"/>
    <col min="13313" max="13313" width="2.85546875" style="19" customWidth="1"/>
    <col min="13314" max="13314" width="3.5703125" style="19" customWidth="1"/>
    <col min="13315" max="13559" width="9.140625" style="19"/>
    <col min="13560" max="13560" width="8.7109375" style="19" customWidth="1"/>
    <col min="13561" max="13561" width="9.85546875" style="19" customWidth="1"/>
    <col min="13562" max="13562" width="14.42578125" style="19" customWidth="1"/>
    <col min="13563" max="13563" width="7.28515625" style="19" customWidth="1"/>
    <col min="13564" max="13564" width="5.5703125" style="19" customWidth="1"/>
    <col min="13565" max="13565" width="9" style="19" customWidth="1"/>
    <col min="13566" max="13567" width="9.85546875" style="19" customWidth="1"/>
    <col min="13568" max="13568" width="11.140625" style="19" customWidth="1"/>
    <col min="13569" max="13569" width="2.85546875" style="19" customWidth="1"/>
    <col min="13570" max="13570" width="3.5703125" style="19" customWidth="1"/>
    <col min="13571" max="13815" width="9.140625" style="19"/>
    <col min="13816" max="13816" width="8.7109375" style="19" customWidth="1"/>
    <col min="13817" max="13817" width="9.85546875" style="19" customWidth="1"/>
    <col min="13818" max="13818" width="14.42578125" style="19" customWidth="1"/>
    <col min="13819" max="13819" width="7.28515625" style="19" customWidth="1"/>
    <col min="13820" max="13820" width="5.5703125" style="19" customWidth="1"/>
    <col min="13821" max="13821" width="9" style="19" customWidth="1"/>
    <col min="13822" max="13823" width="9.85546875" style="19" customWidth="1"/>
    <col min="13824" max="13824" width="11.140625" style="19" customWidth="1"/>
    <col min="13825" max="13825" width="2.85546875" style="19" customWidth="1"/>
    <col min="13826" max="13826" width="3.5703125" style="19" customWidth="1"/>
    <col min="13827" max="14071" width="9.140625" style="19"/>
    <col min="14072" max="14072" width="8.7109375" style="19" customWidth="1"/>
    <col min="14073" max="14073" width="9.85546875" style="19" customWidth="1"/>
    <col min="14074" max="14074" width="14.42578125" style="19" customWidth="1"/>
    <col min="14075" max="14075" width="7.28515625" style="19" customWidth="1"/>
    <col min="14076" max="14076" width="5.5703125" style="19" customWidth="1"/>
    <col min="14077" max="14077" width="9" style="19" customWidth="1"/>
    <col min="14078" max="14079" width="9.85546875" style="19" customWidth="1"/>
    <col min="14080" max="14080" width="11.140625" style="19" customWidth="1"/>
    <col min="14081" max="14081" width="2.85546875" style="19" customWidth="1"/>
    <col min="14082" max="14082" width="3.5703125" style="19" customWidth="1"/>
    <col min="14083" max="14327" width="9.140625" style="19"/>
    <col min="14328" max="14328" width="8.7109375" style="19" customWidth="1"/>
    <col min="14329" max="14329" width="9.85546875" style="19" customWidth="1"/>
    <col min="14330" max="14330" width="14.42578125" style="19" customWidth="1"/>
    <col min="14331" max="14331" width="7.28515625" style="19" customWidth="1"/>
    <col min="14332" max="14332" width="5.5703125" style="19" customWidth="1"/>
    <col min="14333" max="14333" width="9" style="19" customWidth="1"/>
    <col min="14334" max="14335" width="9.85546875" style="19" customWidth="1"/>
    <col min="14336" max="14336" width="11.140625" style="19" customWidth="1"/>
    <col min="14337" max="14337" width="2.85546875" style="19" customWidth="1"/>
    <col min="14338" max="14338" width="3.5703125" style="19" customWidth="1"/>
    <col min="14339" max="14583" width="9.140625" style="19"/>
    <col min="14584" max="14584" width="8.7109375" style="19" customWidth="1"/>
    <col min="14585" max="14585" width="9.85546875" style="19" customWidth="1"/>
    <col min="14586" max="14586" width="14.42578125" style="19" customWidth="1"/>
    <col min="14587" max="14587" width="7.28515625" style="19" customWidth="1"/>
    <col min="14588" max="14588" width="5.5703125" style="19" customWidth="1"/>
    <col min="14589" max="14589" width="9" style="19" customWidth="1"/>
    <col min="14590" max="14591" width="9.85546875" style="19" customWidth="1"/>
    <col min="14592" max="14592" width="11.140625" style="19" customWidth="1"/>
    <col min="14593" max="14593" width="2.85546875" style="19" customWidth="1"/>
    <col min="14594" max="14594" width="3.5703125" style="19" customWidth="1"/>
    <col min="14595" max="14839" width="9.140625" style="19"/>
    <col min="14840" max="14840" width="8.7109375" style="19" customWidth="1"/>
    <col min="14841" max="14841" width="9.85546875" style="19" customWidth="1"/>
    <col min="14842" max="14842" width="14.42578125" style="19" customWidth="1"/>
    <col min="14843" max="14843" width="7.28515625" style="19" customWidth="1"/>
    <col min="14844" max="14844" width="5.5703125" style="19" customWidth="1"/>
    <col min="14845" max="14845" width="9" style="19" customWidth="1"/>
    <col min="14846" max="14847" width="9.85546875" style="19" customWidth="1"/>
    <col min="14848" max="14848" width="11.140625" style="19" customWidth="1"/>
    <col min="14849" max="14849" width="2.85546875" style="19" customWidth="1"/>
    <col min="14850" max="14850" width="3.5703125" style="19" customWidth="1"/>
    <col min="14851" max="15095" width="9.140625" style="19"/>
    <col min="15096" max="15096" width="8.7109375" style="19" customWidth="1"/>
    <col min="15097" max="15097" width="9.85546875" style="19" customWidth="1"/>
    <col min="15098" max="15098" width="14.42578125" style="19" customWidth="1"/>
    <col min="15099" max="15099" width="7.28515625" style="19" customWidth="1"/>
    <col min="15100" max="15100" width="5.5703125" style="19" customWidth="1"/>
    <col min="15101" max="15101" width="9" style="19" customWidth="1"/>
    <col min="15102" max="15103" width="9.85546875" style="19" customWidth="1"/>
    <col min="15104" max="15104" width="11.140625" style="19" customWidth="1"/>
    <col min="15105" max="15105" width="2.85546875" style="19" customWidth="1"/>
    <col min="15106" max="15106" width="3.5703125" style="19" customWidth="1"/>
    <col min="15107" max="15351" width="9.140625" style="19"/>
    <col min="15352" max="15352" width="8.7109375" style="19" customWidth="1"/>
    <col min="15353" max="15353" width="9.85546875" style="19" customWidth="1"/>
    <col min="15354" max="15354" width="14.42578125" style="19" customWidth="1"/>
    <col min="15355" max="15355" width="7.28515625" style="19" customWidth="1"/>
    <col min="15356" max="15356" width="5.5703125" style="19" customWidth="1"/>
    <col min="15357" max="15357" width="9" style="19" customWidth="1"/>
    <col min="15358" max="15359" width="9.85546875" style="19" customWidth="1"/>
    <col min="15360" max="15360" width="11.140625" style="19" customWidth="1"/>
    <col min="15361" max="15361" width="2.85546875" style="19" customWidth="1"/>
    <col min="15362" max="15362" width="3.5703125" style="19" customWidth="1"/>
    <col min="15363" max="15607" width="9.140625" style="19"/>
    <col min="15608" max="15608" width="8.7109375" style="19" customWidth="1"/>
    <col min="15609" max="15609" width="9.85546875" style="19" customWidth="1"/>
    <col min="15610" max="15610" width="14.42578125" style="19" customWidth="1"/>
    <col min="15611" max="15611" width="7.28515625" style="19" customWidth="1"/>
    <col min="15612" max="15612" width="5.5703125" style="19" customWidth="1"/>
    <col min="15613" max="15613" width="9" style="19" customWidth="1"/>
    <col min="15614" max="15615" width="9.85546875" style="19" customWidth="1"/>
    <col min="15616" max="15616" width="11.140625" style="19" customWidth="1"/>
    <col min="15617" max="15617" width="2.85546875" style="19" customWidth="1"/>
    <col min="15618" max="15618" width="3.5703125" style="19" customWidth="1"/>
    <col min="15619" max="15863" width="9.140625" style="19"/>
    <col min="15864" max="15864" width="8.7109375" style="19" customWidth="1"/>
    <col min="15865" max="15865" width="9.85546875" style="19" customWidth="1"/>
    <col min="15866" max="15866" width="14.42578125" style="19" customWidth="1"/>
    <col min="15867" max="15867" width="7.28515625" style="19" customWidth="1"/>
    <col min="15868" max="15868" width="5.5703125" style="19" customWidth="1"/>
    <col min="15869" max="15869" width="9" style="19" customWidth="1"/>
    <col min="15870" max="15871" width="9.85546875" style="19" customWidth="1"/>
    <col min="15872" max="15872" width="11.140625" style="19" customWidth="1"/>
    <col min="15873" max="15873" width="2.85546875" style="19" customWidth="1"/>
    <col min="15874" max="15874" width="3.5703125" style="19" customWidth="1"/>
    <col min="15875" max="16119" width="9.140625" style="19"/>
    <col min="16120" max="16120" width="8.7109375" style="19" customWidth="1"/>
    <col min="16121" max="16121" width="9.85546875" style="19" customWidth="1"/>
    <col min="16122" max="16122" width="14.42578125" style="19" customWidth="1"/>
    <col min="16123" max="16123" width="7.28515625" style="19" customWidth="1"/>
    <col min="16124" max="16124" width="5.5703125" style="19" customWidth="1"/>
    <col min="16125" max="16125" width="9" style="19" customWidth="1"/>
    <col min="16126" max="16127" width="9.85546875" style="19" customWidth="1"/>
    <col min="16128" max="16128" width="11.140625" style="19" customWidth="1"/>
    <col min="16129" max="16129" width="2.85546875" style="19" customWidth="1"/>
    <col min="16130" max="16130" width="3.5703125" style="19" customWidth="1"/>
    <col min="16131" max="16384" width="9.140625" style="19"/>
  </cols>
  <sheetData>
    <row r="1" spans="1:14" ht="46.5" customHeight="1" x14ac:dyDescent="0.25">
      <c r="A1" s="155" t="s">
        <v>204</v>
      </c>
      <c r="B1" s="155"/>
      <c r="C1" s="155"/>
      <c r="D1" s="155"/>
      <c r="E1" s="155"/>
      <c r="F1" s="155"/>
      <c r="G1" s="155"/>
      <c r="H1" s="155"/>
    </row>
    <row r="2" spans="1:14" ht="16.5" customHeight="1" x14ac:dyDescent="0.25">
      <c r="A2" s="101" t="s">
        <v>0</v>
      </c>
      <c r="B2" s="101"/>
      <c r="C2" s="101"/>
      <c r="D2" s="101"/>
      <c r="E2" s="101"/>
      <c r="F2" s="101"/>
      <c r="G2" s="101"/>
      <c r="H2" s="101"/>
    </row>
    <row r="3" spans="1:14" x14ac:dyDescent="0.25">
      <c r="A3" s="116" t="s">
        <v>1</v>
      </c>
      <c r="B3" s="116"/>
      <c r="C3" s="116"/>
      <c r="D3" s="116"/>
      <c r="E3" s="116" t="str">
        <f ca="1">TEXT(TODAY(),"DD/MM/YYYY")</f>
        <v>03/10/2025</v>
      </c>
      <c r="F3" s="116"/>
      <c r="G3" s="116"/>
      <c r="H3" s="116"/>
    </row>
    <row r="4" spans="1:14" ht="15" customHeight="1" x14ac:dyDescent="0.25">
      <c r="A4" s="116" t="s">
        <v>2</v>
      </c>
      <c r="B4" s="116"/>
      <c r="C4" s="116"/>
      <c r="D4" s="116"/>
      <c r="E4" s="116" t="s">
        <v>163</v>
      </c>
      <c r="F4" s="116"/>
      <c r="G4" s="116"/>
      <c r="H4" s="116"/>
    </row>
    <row r="5" spans="1:14" x14ac:dyDescent="0.25">
      <c r="A5" s="116" t="s">
        <v>3</v>
      </c>
      <c r="B5" s="116"/>
      <c r="C5" s="116"/>
      <c r="D5" s="116"/>
      <c r="E5" s="151">
        <v>45931</v>
      </c>
      <c r="F5" s="116"/>
      <c r="G5" s="116"/>
      <c r="H5" s="116"/>
    </row>
    <row r="6" spans="1:14" ht="16.5" customHeight="1" x14ac:dyDescent="0.25">
      <c r="A6" s="116" t="s">
        <v>4</v>
      </c>
      <c r="B6" s="116"/>
      <c r="C6" s="116"/>
      <c r="D6" s="116"/>
      <c r="E6" s="116" t="s">
        <v>260</v>
      </c>
      <c r="F6" s="116"/>
      <c r="G6" s="116"/>
      <c r="H6" s="116"/>
    </row>
    <row r="7" spans="1:14" ht="15" customHeight="1" x14ac:dyDescent="0.25">
      <c r="A7" s="116" t="s">
        <v>5</v>
      </c>
      <c r="B7" s="116"/>
      <c r="C7" s="116"/>
      <c r="D7" s="116"/>
      <c r="E7" s="116" t="str">
        <f>E6</f>
        <v>Suraj Estate Developers Pvt Ltd.</v>
      </c>
      <c r="F7" s="116"/>
      <c r="G7" s="116"/>
      <c r="H7" s="116"/>
    </row>
    <row r="8" spans="1:14" x14ac:dyDescent="0.25">
      <c r="A8" s="116" t="s">
        <v>249</v>
      </c>
      <c r="B8" s="116"/>
      <c r="C8" s="116"/>
      <c r="D8" s="116"/>
      <c r="E8" s="156" t="s">
        <v>164</v>
      </c>
      <c r="F8" s="156"/>
      <c r="G8" s="156"/>
      <c r="H8" s="156"/>
    </row>
    <row r="9" spans="1:14" x14ac:dyDescent="0.25">
      <c r="A9" s="116" t="s">
        <v>250</v>
      </c>
      <c r="B9" s="116"/>
      <c r="C9" s="116"/>
      <c r="D9" s="116"/>
      <c r="E9" s="156" t="s">
        <v>183</v>
      </c>
      <c r="F9" s="156"/>
      <c r="G9" s="156"/>
      <c r="H9" s="156"/>
    </row>
    <row r="10" spans="1:14" x14ac:dyDescent="0.25">
      <c r="A10" s="116" t="s">
        <v>256</v>
      </c>
      <c r="B10" s="116"/>
      <c r="C10" s="116"/>
      <c r="D10" s="116"/>
      <c r="E10" s="116" t="s">
        <v>208</v>
      </c>
      <c r="F10" s="116"/>
      <c r="G10" s="116"/>
      <c r="H10" s="116"/>
    </row>
    <row r="11" spans="1:14" ht="15.75" customHeight="1" x14ac:dyDescent="0.25">
      <c r="A11" s="116" t="s">
        <v>255</v>
      </c>
      <c r="B11" s="116"/>
      <c r="C11" s="116"/>
      <c r="D11" s="116"/>
      <c r="E11" s="116" t="s">
        <v>208</v>
      </c>
      <c r="F11" s="116"/>
      <c r="G11" s="116"/>
      <c r="H11" s="116"/>
      <c r="I11" s="72" t="s">
        <v>257</v>
      </c>
      <c r="J11" s="73"/>
      <c r="K11" s="73"/>
      <c r="L11" s="73"/>
      <c r="M11" s="73"/>
      <c r="N11" s="73"/>
    </row>
    <row r="12" spans="1:14" x14ac:dyDescent="0.25">
      <c r="A12" s="116" t="s">
        <v>6</v>
      </c>
      <c r="B12" s="116"/>
      <c r="C12" s="116"/>
      <c r="D12" s="116"/>
      <c r="E12" s="116" t="s">
        <v>213</v>
      </c>
      <c r="F12" s="116"/>
      <c r="G12" s="116"/>
      <c r="H12" s="116"/>
      <c r="I12" s="72"/>
      <c r="J12" s="73"/>
      <c r="K12" s="73"/>
      <c r="L12" s="73"/>
      <c r="M12" s="73"/>
      <c r="N12" s="73"/>
    </row>
    <row r="13" spans="1:14" x14ac:dyDescent="0.25">
      <c r="A13" s="116" t="s">
        <v>212</v>
      </c>
      <c r="B13" s="116"/>
      <c r="C13" s="116"/>
      <c r="D13" s="116"/>
      <c r="E13" s="116" t="s">
        <v>253</v>
      </c>
      <c r="F13" s="116"/>
      <c r="G13" s="116"/>
      <c r="H13" s="116"/>
      <c r="I13" s="67" t="s">
        <v>258</v>
      </c>
    </row>
    <row r="14" spans="1:14" x14ac:dyDescent="0.25">
      <c r="A14" s="70" t="s">
        <v>7</v>
      </c>
      <c r="B14" s="70"/>
      <c r="C14" s="70"/>
      <c r="D14" s="70"/>
      <c r="E14" s="118" t="s">
        <v>184</v>
      </c>
      <c r="F14" s="118"/>
      <c r="G14" s="118"/>
      <c r="H14" s="118"/>
    </row>
    <row r="15" spans="1:14" x14ac:dyDescent="0.25">
      <c r="A15" s="70" t="s">
        <v>8</v>
      </c>
      <c r="B15" s="70"/>
      <c r="C15" s="70"/>
      <c r="D15" s="70"/>
      <c r="E15" s="118" t="s">
        <v>182</v>
      </c>
      <c r="F15" s="116"/>
      <c r="G15" s="116"/>
      <c r="H15" s="116"/>
    </row>
    <row r="16" spans="1:14" ht="54" customHeight="1" x14ac:dyDescent="0.25">
      <c r="A16" s="128" t="s">
        <v>9</v>
      </c>
      <c r="B16" s="128"/>
      <c r="C16" s="152" t="str">
        <f>CONCATENATE((IF(OR(E9="",E9="NA"),"",E9)),", ",(IF(OR(A17="",A17="NA"),"",A17)),".",(IF(OR(C17="",C17="NA"),"",C17)),", near ",(IF(OR(C22="",C22="NA"),"",C22)),", ",(IF(OR(C19="",C19="NA"),"",C19)),", ",(IF(OR(C18="",C18="NA"),"",C18)),", ",(IF(OR(G19="",G19="NA"),"",G19)),", ",(IF(OR(C20="",C20="NA"),"",C20)),", ",(IF(OR(C21="",C21="NA"),"",C21)),", ",(IF(OR(G20="",G20="NA"),"",G20))," - ",(IF(OR(G21="",G21="NA"),"",G21)),".")</f>
        <v>Suraj Eterna, F.P No.606 &amp; 607, T.P.S. III of Mahim Division, Redevelopment of " Lobo Villa ", near Iviana, L J Cross Road, Mahim, Mahim, Mahim West, Mumbai, Mumbai - 400016.</v>
      </c>
      <c r="D16" s="153"/>
      <c r="E16" s="153"/>
      <c r="F16" s="153"/>
      <c r="G16" s="153"/>
      <c r="H16" s="154"/>
    </row>
    <row r="17" spans="1:9" x14ac:dyDescent="0.25">
      <c r="A17" s="118" t="s">
        <v>165</v>
      </c>
      <c r="B17" s="118"/>
      <c r="C17" s="118" t="s">
        <v>254</v>
      </c>
      <c r="D17" s="118"/>
      <c r="E17" s="118"/>
      <c r="F17" s="118"/>
      <c r="G17" s="118"/>
      <c r="H17" s="118"/>
      <c r="I17" s="20" t="s">
        <v>187</v>
      </c>
    </row>
    <row r="18" spans="1:9" ht="15.75" customHeight="1" x14ac:dyDescent="0.25">
      <c r="A18" s="118" t="s">
        <v>162</v>
      </c>
      <c r="B18" s="118"/>
      <c r="C18" s="118" t="s">
        <v>170</v>
      </c>
      <c r="D18" s="118"/>
      <c r="E18" s="118"/>
      <c r="F18" s="118"/>
      <c r="G18" s="118"/>
      <c r="H18" s="118"/>
    </row>
    <row r="19" spans="1:9" ht="15.75" customHeight="1" x14ac:dyDescent="0.25">
      <c r="A19" s="128" t="s">
        <v>10</v>
      </c>
      <c r="B19" s="128"/>
      <c r="C19" s="116" t="s">
        <v>189</v>
      </c>
      <c r="D19" s="116"/>
      <c r="E19" s="118" t="s">
        <v>71</v>
      </c>
      <c r="F19" s="118"/>
      <c r="G19" s="118" t="s">
        <v>170</v>
      </c>
      <c r="H19" s="118"/>
    </row>
    <row r="20" spans="1:9" x14ac:dyDescent="0.25">
      <c r="A20" s="70" t="s">
        <v>12</v>
      </c>
      <c r="B20" s="70"/>
      <c r="C20" s="118" t="s">
        <v>171</v>
      </c>
      <c r="D20" s="118"/>
      <c r="E20" s="128" t="s">
        <v>11</v>
      </c>
      <c r="F20" s="128"/>
      <c r="G20" s="150" t="s">
        <v>172</v>
      </c>
      <c r="H20" s="150"/>
    </row>
    <row r="21" spans="1:9" x14ac:dyDescent="0.25">
      <c r="A21" s="70" t="s">
        <v>72</v>
      </c>
      <c r="B21" s="70"/>
      <c r="C21" s="150" t="s">
        <v>172</v>
      </c>
      <c r="D21" s="150"/>
      <c r="E21" s="128" t="s">
        <v>13</v>
      </c>
      <c r="F21" s="128"/>
      <c r="G21" s="118">
        <v>400016</v>
      </c>
      <c r="H21" s="118"/>
    </row>
    <row r="22" spans="1:9" ht="32.25" customHeight="1" x14ac:dyDescent="0.25">
      <c r="A22" s="70" t="s">
        <v>120</v>
      </c>
      <c r="B22" s="70"/>
      <c r="C22" s="118" t="s">
        <v>168</v>
      </c>
      <c r="D22" s="118"/>
      <c r="E22" s="128" t="s">
        <v>14</v>
      </c>
      <c r="F22" s="128"/>
      <c r="G22" s="118" t="s">
        <v>173</v>
      </c>
      <c r="H22" s="118"/>
    </row>
    <row r="23" spans="1:9" ht="15" customHeight="1" x14ac:dyDescent="0.25">
      <c r="A23" s="128" t="s">
        <v>75</v>
      </c>
      <c r="B23" s="128"/>
      <c r="C23" s="128"/>
      <c r="D23" s="128"/>
      <c r="E23" s="116" t="s">
        <v>15</v>
      </c>
      <c r="F23" s="116"/>
      <c r="G23" s="116"/>
      <c r="H23" s="116"/>
    </row>
    <row r="24" spans="1:9" ht="18.75" customHeight="1" x14ac:dyDescent="0.25">
      <c r="A24" s="128"/>
      <c r="B24" s="128"/>
      <c r="C24" s="128"/>
      <c r="D24" s="128"/>
      <c r="E24" s="116"/>
      <c r="F24" s="116"/>
      <c r="G24" s="116"/>
      <c r="H24" s="116"/>
    </row>
    <row r="25" spans="1:9" ht="15" customHeight="1" x14ac:dyDescent="0.25">
      <c r="A25" s="128" t="s">
        <v>16</v>
      </c>
      <c r="B25" s="128"/>
      <c r="C25" s="128"/>
      <c r="D25" s="128"/>
      <c r="E25" s="118" t="s">
        <v>17</v>
      </c>
      <c r="F25" s="118"/>
      <c r="G25" s="118"/>
      <c r="H25" s="118"/>
    </row>
    <row r="26" spans="1:9" ht="15" customHeight="1" x14ac:dyDescent="0.25">
      <c r="A26" s="70" t="s">
        <v>18</v>
      </c>
      <c r="B26" s="70"/>
      <c r="C26" s="70"/>
      <c r="D26" s="70"/>
      <c r="E26" s="118" t="str">
        <f>IF(AND(G20="Mumbai"),"Upper Class","Middle Class")</f>
        <v>Upper Class</v>
      </c>
      <c r="F26" s="118"/>
      <c r="G26" s="118"/>
      <c r="H26" s="118"/>
    </row>
    <row r="27" spans="1:9" x14ac:dyDescent="0.25">
      <c r="A27" s="70" t="s">
        <v>19</v>
      </c>
      <c r="B27" s="70"/>
      <c r="C27" s="70"/>
      <c r="D27" s="70"/>
      <c r="E27" s="118" t="s">
        <v>20</v>
      </c>
      <c r="F27" s="118"/>
      <c r="G27" s="118"/>
      <c r="H27" s="118"/>
    </row>
    <row r="28" spans="1:9" ht="15.75" customHeight="1" x14ac:dyDescent="0.25">
      <c r="A28" s="70" t="s">
        <v>21</v>
      </c>
      <c r="B28" s="70"/>
      <c r="C28" s="70"/>
      <c r="D28" s="70"/>
      <c r="E28" s="118" t="str">
        <f>IF(AND(G20="Mumbai"),"Developed","Developing")</f>
        <v>Developed</v>
      </c>
      <c r="F28" s="118"/>
      <c r="G28" s="118"/>
      <c r="H28" s="118"/>
    </row>
    <row r="29" spans="1:9" x14ac:dyDescent="0.25">
      <c r="A29" s="70" t="s">
        <v>22</v>
      </c>
      <c r="B29" s="70"/>
      <c r="C29" s="70"/>
      <c r="D29" s="70"/>
      <c r="E29" s="118" t="s">
        <v>23</v>
      </c>
      <c r="F29" s="118"/>
      <c r="G29" s="118"/>
      <c r="H29" s="118"/>
    </row>
    <row r="30" spans="1:9" ht="15.75" customHeight="1" x14ac:dyDescent="0.25">
      <c r="A30" s="70" t="s">
        <v>80</v>
      </c>
      <c r="B30" s="70"/>
      <c r="C30" s="70"/>
      <c r="D30" s="70"/>
      <c r="E30" s="118" t="s">
        <v>81</v>
      </c>
      <c r="F30" s="118"/>
      <c r="G30" s="118"/>
      <c r="H30" s="118"/>
    </row>
    <row r="31" spans="1:9" ht="15" customHeight="1" x14ac:dyDescent="0.25">
      <c r="A31" s="70" t="s">
        <v>31</v>
      </c>
      <c r="B31" s="70"/>
      <c r="C31" s="70"/>
      <c r="D31" s="70"/>
      <c r="E31" s="118" t="str">
        <f>IF(AND(ISNUMBER(SEARCH("Flat",D63)),ISNUMBER(SEARCH("Shop",D63)),ISNUMBER(SEARCH("Office",D63))),"Residential + Commercial",IF(AND(ISNUMBER(SEARCH("Flat",D63)),ISNUMBER(SEARCH("Shop",D63))),"Residential + Commercial",IF(AND(ISNUMBER(SEARCH("Flat",D63)),ISNUMBER(SEARCH("Office",D63))),"Residential + Commercial",IF(AND(ISNUMBER(SEARCH("Shop",D63)),ISNUMBER(SEARCH("Office",D63))),"Commercial",IF(ISNUMBER(SEARCH("Shop",D63)),"Commercial",IF(ISNUMBER(SEARCH("Office",D63)),"Commercial",IF(ISNUMBER(SEARCH("Flat",D63)),"Residential")))))))</f>
        <v>Residential</v>
      </c>
      <c r="F31" s="118"/>
      <c r="G31" s="118"/>
      <c r="H31" s="118"/>
    </row>
    <row r="32" spans="1:9" ht="15.75" customHeight="1" x14ac:dyDescent="0.25">
      <c r="A32" s="70" t="s">
        <v>92</v>
      </c>
      <c r="B32" s="70"/>
      <c r="C32" s="70"/>
      <c r="D32" s="70"/>
      <c r="E32" s="118" t="s">
        <v>32</v>
      </c>
      <c r="F32" s="118"/>
      <c r="G32" s="118"/>
      <c r="H32" s="118"/>
    </row>
    <row r="33" spans="1:12" s="20" customFormat="1" x14ac:dyDescent="0.25">
      <c r="A33" s="149" t="s">
        <v>93</v>
      </c>
      <c r="B33" s="149"/>
      <c r="C33" s="148" t="s">
        <v>214</v>
      </c>
      <c r="D33" s="148"/>
      <c r="E33" s="148"/>
      <c r="F33" s="148" t="s">
        <v>29</v>
      </c>
      <c r="G33" s="148"/>
      <c r="H33" s="148"/>
    </row>
    <row r="34" spans="1:12" s="20" customFormat="1" x14ac:dyDescent="0.25">
      <c r="A34" s="138" t="s">
        <v>24</v>
      </c>
      <c r="B34" s="138" t="s">
        <v>28</v>
      </c>
      <c r="C34" s="139" t="s">
        <v>218</v>
      </c>
      <c r="D34" s="139"/>
      <c r="E34" s="139"/>
      <c r="F34" s="139" t="s">
        <v>167</v>
      </c>
      <c r="G34" s="139"/>
      <c r="H34" s="139"/>
    </row>
    <row r="35" spans="1:12" x14ac:dyDescent="0.25">
      <c r="A35" s="138" t="s">
        <v>25</v>
      </c>
      <c r="B35" s="138" t="s">
        <v>28</v>
      </c>
      <c r="C35" s="139" t="s">
        <v>218</v>
      </c>
      <c r="D35" s="139"/>
      <c r="E35" s="139"/>
      <c r="F35" s="78" t="s">
        <v>168</v>
      </c>
      <c r="G35" s="139"/>
      <c r="H35" s="139"/>
    </row>
    <row r="36" spans="1:12" s="20" customFormat="1" x14ac:dyDescent="0.25">
      <c r="A36" s="138" t="s">
        <v>27</v>
      </c>
      <c r="B36" s="138" t="s">
        <v>28</v>
      </c>
      <c r="C36" s="139" t="s">
        <v>218</v>
      </c>
      <c r="D36" s="139"/>
      <c r="E36" s="139"/>
      <c r="F36" s="139" t="s">
        <v>169</v>
      </c>
      <c r="G36" s="139"/>
      <c r="H36" s="139"/>
    </row>
    <row r="37" spans="1:12" x14ac:dyDescent="0.25">
      <c r="A37" s="138" t="s">
        <v>26</v>
      </c>
      <c r="B37" s="138" t="s">
        <v>28</v>
      </c>
      <c r="C37" s="139" t="s">
        <v>217</v>
      </c>
      <c r="D37" s="139"/>
      <c r="E37" s="139"/>
      <c r="F37" s="139" t="s">
        <v>189</v>
      </c>
      <c r="G37" s="139"/>
      <c r="H37" s="139"/>
    </row>
    <row r="38" spans="1:12" x14ac:dyDescent="0.25">
      <c r="A38" s="70" t="s">
        <v>30</v>
      </c>
      <c r="B38" s="70"/>
      <c r="C38" s="70"/>
      <c r="D38" s="70"/>
      <c r="E38" s="70"/>
      <c r="F38" s="70"/>
      <c r="G38" s="70"/>
      <c r="H38" s="70"/>
    </row>
    <row r="39" spans="1:12" ht="15.75" customHeight="1" x14ac:dyDescent="0.25">
      <c r="A39" s="117" t="s">
        <v>215</v>
      </c>
      <c r="B39" s="117"/>
      <c r="C39" s="191" t="s">
        <v>216</v>
      </c>
      <c r="D39" s="192"/>
      <c r="E39" s="192"/>
      <c r="F39" s="192"/>
      <c r="G39" s="192"/>
      <c r="H39" s="193"/>
    </row>
    <row r="40" spans="1:12" x14ac:dyDescent="0.25">
      <c r="A40" s="117" t="s">
        <v>161</v>
      </c>
      <c r="B40" s="117"/>
      <c r="C40" s="141" t="s">
        <v>166</v>
      </c>
      <c r="D40" s="118"/>
      <c r="E40" s="118"/>
      <c r="F40" s="118"/>
      <c r="G40" s="118"/>
      <c r="H40" s="118"/>
    </row>
    <row r="41" spans="1:12" x14ac:dyDescent="0.25">
      <c r="A41" s="117" t="s">
        <v>33</v>
      </c>
      <c r="B41" s="117"/>
      <c r="C41" s="117"/>
      <c r="D41" s="117"/>
      <c r="E41" s="117"/>
      <c r="F41" s="117"/>
      <c r="G41" s="117"/>
      <c r="H41" s="117"/>
    </row>
    <row r="42" spans="1:12" x14ac:dyDescent="0.25">
      <c r="A42" s="70" t="s">
        <v>34</v>
      </c>
      <c r="B42" s="70"/>
      <c r="C42" s="70"/>
      <c r="D42" s="70"/>
      <c r="E42" s="142">
        <v>681.45</v>
      </c>
      <c r="F42" s="142"/>
      <c r="G42" s="142"/>
      <c r="H42" s="142"/>
    </row>
    <row r="43" spans="1:12" x14ac:dyDescent="0.25">
      <c r="A43" s="70" t="s">
        <v>35</v>
      </c>
      <c r="B43" s="70"/>
      <c r="C43" s="70"/>
      <c r="D43" s="70"/>
      <c r="E43" s="114">
        <v>3</v>
      </c>
      <c r="F43" s="114"/>
      <c r="G43" s="114"/>
      <c r="H43" s="114"/>
      <c r="K43" s="22"/>
      <c r="L43" s="50"/>
    </row>
    <row r="44" spans="1:12" x14ac:dyDescent="0.25">
      <c r="A44" s="70" t="s">
        <v>36</v>
      </c>
      <c r="B44" s="70"/>
      <c r="C44" s="70"/>
      <c r="D44" s="70"/>
      <c r="E44" s="114">
        <f>E46/E42-E43</f>
        <v>2.3881722796977032</v>
      </c>
      <c r="F44" s="114"/>
      <c r="G44" s="114"/>
      <c r="H44" s="114"/>
    </row>
    <row r="45" spans="1:12" x14ac:dyDescent="0.25">
      <c r="A45" s="70" t="s">
        <v>37</v>
      </c>
      <c r="B45" s="70"/>
      <c r="C45" s="70"/>
      <c r="D45" s="70"/>
      <c r="E45" s="114">
        <f>E43+E44</f>
        <v>5.3881722796977032</v>
      </c>
      <c r="F45" s="114"/>
      <c r="G45" s="114"/>
      <c r="H45" s="114"/>
    </row>
    <row r="46" spans="1:12" x14ac:dyDescent="0.25">
      <c r="A46" s="70" t="s">
        <v>91</v>
      </c>
      <c r="B46" s="70"/>
      <c r="C46" s="70"/>
      <c r="D46" s="70"/>
      <c r="E46" s="115">
        <v>3671.77</v>
      </c>
      <c r="F46" s="115"/>
      <c r="G46" s="115"/>
      <c r="H46" s="115"/>
    </row>
    <row r="47" spans="1:12" x14ac:dyDescent="0.25">
      <c r="A47" s="116" t="s">
        <v>38</v>
      </c>
      <c r="B47" s="116"/>
      <c r="C47" s="116"/>
      <c r="D47" s="116"/>
      <c r="E47" s="116" t="s">
        <v>213</v>
      </c>
      <c r="F47" s="116"/>
      <c r="G47" s="116"/>
      <c r="H47" s="116"/>
    </row>
    <row r="48" spans="1:12" x14ac:dyDescent="0.25">
      <c r="A48" s="117" t="s">
        <v>39</v>
      </c>
      <c r="B48" s="117"/>
      <c r="C48" s="117"/>
      <c r="D48" s="117"/>
      <c r="E48" s="117"/>
      <c r="F48" s="117"/>
      <c r="G48" s="117"/>
      <c r="H48" s="117"/>
    </row>
    <row r="49" spans="1:14" ht="33.75" customHeight="1" x14ac:dyDescent="0.25">
      <c r="A49" s="131" t="s">
        <v>148</v>
      </c>
      <c r="B49" s="123"/>
      <c r="C49" s="135" t="s">
        <v>190</v>
      </c>
      <c r="D49" s="136"/>
      <c r="E49" s="136"/>
      <c r="F49" s="136"/>
      <c r="G49" s="136"/>
      <c r="H49" s="137"/>
    </row>
    <row r="50" spans="1:14" ht="31.5" customHeight="1" x14ac:dyDescent="0.25">
      <c r="A50" s="131" t="s">
        <v>40</v>
      </c>
      <c r="B50" s="123"/>
      <c r="C50" s="131" t="s">
        <v>244</v>
      </c>
      <c r="D50" s="132"/>
      <c r="E50" s="133"/>
      <c r="F50" s="18" t="s">
        <v>41</v>
      </c>
      <c r="G50" s="122">
        <v>45604</v>
      </c>
      <c r="H50" s="123"/>
      <c r="I50" s="23"/>
    </row>
    <row r="51" spans="1:14" ht="31.5" customHeight="1" x14ac:dyDescent="0.25">
      <c r="A51" s="131" t="s">
        <v>42</v>
      </c>
      <c r="B51" s="123"/>
      <c r="C51" s="131" t="s">
        <v>244</v>
      </c>
      <c r="D51" s="132"/>
      <c r="E51" s="133"/>
      <c r="F51" s="18" t="s">
        <v>41</v>
      </c>
      <c r="G51" s="122">
        <v>45604</v>
      </c>
      <c r="H51" s="123"/>
    </row>
    <row r="52" spans="1:14" s="21" customFormat="1" ht="33" customHeight="1" x14ac:dyDescent="0.25">
      <c r="A52" s="124" t="s">
        <v>152</v>
      </c>
      <c r="B52" s="125"/>
      <c r="C52" s="131" t="s">
        <v>191</v>
      </c>
      <c r="D52" s="132"/>
      <c r="E52" s="133"/>
      <c r="F52" s="18" t="s">
        <v>41</v>
      </c>
      <c r="G52" s="122">
        <v>44515</v>
      </c>
      <c r="H52" s="123"/>
      <c r="I52" s="51"/>
    </row>
    <row r="53" spans="1:14" s="21" customFormat="1" ht="33.75" customHeight="1" x14ac:dyDescent="0.25">
      <c r="A53" s="126"/>
      <c r="B53" s="127"/>
      <c r="C53" s="131" t="s">
        <v>203</v>
      </c>
      <c r="D53" s="134"/>
      <c r="E53" s="123"/>
      <c r="F53" s="18" t="s">
        <v>119</v>
      </c>
      <c r="G53" s="122">
        <v>44879</v>
      </c>
      <c r="H53" s="123"/>
      <c r="I53" s="51"/>
    </row>
    <row r="54" spans="1:14" s="21" customFormat="1" ht="33" customHeight="1" x14ac:dyDescent="0.25">
      <c r="A54" s="124" t="s">
        <v>152</v>
      </c>
      <c r="B54" s="125"/>
      <c r="C54" s="131" t="s">
        <v>205</v>
      </c>
      <c r="D54" s="132"/>
      <c r="E54" s="133"/>
      <c r="F54" s="18" t="s">
        <v>41</v>
      </c>
      <c r="G54" s="122">
        <v>45055</v>
      </c>
      <c r="H54" s="123"/>
      <c r="I54" s="51"/>
    </row>
    <row r="55" spans="1:14" s="21" customFormat="1" ht="65.25" customHeight="1" x14ac:dyDescent="0.25">
      <c r="A55" s="126"/>
      <c r="B55" s="127"/>
      <c r="C55" s="131" t="s">
        <v>206</v>
      </c>
      <c r="D55" s="134"/>
      <c r="E55" s="123"/>
      <c r="F55" s="18" t="s">
        <v>119</v>
      </c>
      <c r="G55" s="122">
        <v>45244</v>
      </c>
      <c r="H55" s="123"/>
      <c r="I55" s="51"/>
    </row>
    <row r="56" spans="1:14" s="21" customFormat="1" ht="33" customHeight="1" x14ac:dyDescent="0.25">
      <c r="A56" s="124" t="s">
        <v>152</v>
      </c>
      <c r="B56" s="125"/>
      <c r="C56" s="131" t="s">
        <v>209</v>
      </c>
      <c r="D56" s="132"/>
      <c r="E56" s="133"/>
      <c r="F56" s="18" t="s">
        <v>41</v>
      </c>
      <c r="G56" s="122">
        <v>45673</v>
      </c>
      <c r="H56" s="123"/>
      <c r="I56" s="59" t="s">
        <v>245</v>
      </c>
    </row>
    <row r="57" spans="1:14" s="21" customFormat="1" ht="65.25" customHeight="1" x14ac:dyDescent="0.25">
      <c r="A57" s="126"/>
      <c r="B57" s="127"/>
      <c r="C57" s="131" t="s">
        <v>210</v>
      </c>
      <c r="D57" s="134"/>
      <c r="E57" s="123"/>
      <c r="F57" s="18" t="s">
        <v>119</v>
      </c>
      <c r="G57" s="122">
        <v>45975</v>
      </c>
      <c r="H57" s="123"/>
      <c r="I57" s="51"/>
    </row>
    <row r="58" spans="1:14" ht="31.5" customHeight="1" x14ac:dyDescent="0.25">
      <c r="A58" s="124" t="s">
        <v>246</v>
      </c>
      <c r="B58" s="125"/>
      <c r="C58" s="131" t="s">
        <v>247</v>
      </c>
      <c r="D58" s="132"/>
      <c r="E58" s="133"/>
      <c r="F58" s="18" t="s">
        <v>41</v>
      </c>
      <c r="G58" s="122">
        <v>44418</v>
      </c>
      <c r="H58" s="123"/>
    </row>
    <row r="59" spans="1:14" x14ac:dyDescent="0.25">
      <c r="A59" s="126"/>
      <c r="B59" s="127"/>
      <c r="C59" s="131" t="s">
        <v>248</v>
      </c>
      <c r="D59" s="134"/>
      <c r="E59" s="134"/>
      <c r="F59" s="134"/>
      <c r="G59" s="134"/>
      <c r="H59" s="123"/>
    </row>
    <row r="60" spans="1:14" x14ac:dyDescent="0.25">
      <c r="A60" s="143" t="s">
        <v>43</v>
      </c>
      <c r="B60" s="144"/>
      <c r="C60" s="143" t="s">
        <v>102</v>
      </c>
      <c r="D60" s="145"/>
      <c r="E60" s="144"/>
      <c r="F60" s="42" t="s">
        <v>41</v>
      </c>
      <c r="G60" s="129" t="s">
        <v>28</v>
      </c>
      <c r="H60" s="130"/>
    </row>
    <row r="61" spans="1:14" x14ac:dyDescent="0.25">
      <c r="A61" s="146" t="s">
        <v>45</v>
      </c>
      <c r="B61" s="146"/>
      <c r="C61" s="146"/>
      <c r="D61" s="146"/>
      <c r="E61" s="146"/>
      <c r="F61" s="146"/>
      <c r="G61" s="146"/>
      <c r="H61" s="146"/>
      <c r="I61" s="22">
        <f>44+3+17+7+2</f>
        <v>73</v>
      </c>
    </row>
    <row r="62" spans="1:14" ht="15.75" customHeight="1" x14ac:dyDescent="0.25">
      <c r="A62" s="128" t="s">
        <v>90</v>
      </c>
      <c r="B62" s="128"/>
      <c r="C62" s="128"/>
      <c r="D62" s="70">
        <f>E46</f>
        <v>3671.77</v>
      </c>
      <c r="E62" s="70"/>
      <c r="F62" s="70"/>
      <c r="G62" s="70"/>
      <c r="H62" s="70"/>
    </row>
    <row r="63" spans="1:14" ht="49.5" customHeight="1" x14ac:dyDescent="0.25">
      <c r="A63" s="118" t="s">
        <v>46</v>
      </c>
      <c r="B63" s="116"/>
      <c r="C63" s="116"/>
      <c r="D63" s="152" t="s">
        <v>242</v>
      </c>
      <c r="E63" s="153"/>
      <c r="F63" s="153" t="s">
        <v>243</v>
      </c>
      <c r="G63" s="153"/>
      <c r="H63" s="154"/>
    </row>
    <row r="64" spans="1:14" ht="15.75" customHeight="1" x14ac:dyDescent="0.25">
      <c r="A64" s="119" t="s">
        <v>47</v>
      </c>
      <c r="B64" s="120"/>
      <c r="C64" s="121"/>
      <c r="D64" s="118" t="s">
        <v>185</v>
      </c>
      <c r="E64" s="116"/>
      <c r="F64" s="116"/>
      <c r="G64" s="116"/>
      <c r="H64" s="116"/>
      <c r="J64" s="23"/>
      <c r="K64" s="22"/>
      <c r="N64" s="22"/>
    </row>
    <row r="65" spans="1:14" ht="15.75" customHeight="1" x14ac:dyDescent="0.25">
      <c r="A65" s="119" t="s">
        <v>88</v>
      </c>
      <c r="B65" s="120"/>
      <c r="C65" s="120"/>
      <c r="D65" s="118" t="s">
        <v>185</v>
      </c>
      <c r="E65" s="116"/>
      <c r="F65" s="116"/>
      <c r="G65" s="116"/>
      <c r="H65" s="116"/>
      <c r="N65" s="22"/>
    </row>
    <row r="66" spans="1:14" ht="15.75" customHeight="1" x14ac:dyDescent="0.25">
      <c r="A66" s="70" t="s">
        <v>44</v>
      </c>
      <c r="B66" s="70"/>
      <c r="C66" s="70"/>
      <c r="D66" s="140" t="s">
        <v>186</v>
      </c>
      <c r="E66" s="140"/>
      <c r="F66" s="140"/>
      <c r="G66" s="140"/>
      <c r="H66" s="140"/>
      <c r="J66" s="24"/>
      <c r="K66" s="24"/>
    </row>
    <row r="67" spans="1:14" x14ac:dyDescent="0.25">
      <c r="A67" s="70" t="s">
        <v>86</v>
      </c>
      <c r="B67" s="70"/>
      <c r="C67" s="70"/>
      <c r="D67" s="147" t="str">
        <f>(IF(G60="NA","60 Years After Completion",IF(G60&lt;&gt;"NA",""&amp;60-ROUNDDOWN((E3-G60)/360,0)&amp;" Years"," ")))</f>
        <v>60 Years After Completion</v>
      </c>
      <c r="E67" s="147"/>
      <c r="F67" s="147"/>
      <c r="G67" s="147"/>
      <c r="H67" s="147"/>
    </row>
    <row r="68" spans="1:14" x14ac:dyDescent="0.25">
      <c r="A68" s="70" t="s">
        <v>87</v>
      </c>
      <c r="B68" s="70"/>
      <c r="C68" s="70"/>
      <c r="D68" s="128" t="s">
        <v>23</v>
      </c>
      <c r="E68" s="128"/>
      <c r="F68" s="128"/>
      <c r="G68" s="128"/>
      <c r="H68" s="128"/>
      <c r="I68" s="25"/>
      <c r="J68" s="25"/>
      <c r="K68" s="25"/>
      <c r="L68" s="25"/>
      <c r="M68" s="25"/>
      <c r="N68" s="25"/>
    </row>
    <row r="69" spans="1:14" ht="51.75" customHeight="1" x14ac:dyDescent="0.25">
      <c r="A69" s="70" t="s">
        <v>73</v>
      </c>
      <c r="B69" s="70"/>
      <c r="C69" s="70"/>
      <c r="D69" s="118" t="s">
        <v>251</v>
      </c>
      <c r="E69" s="128"/>
      <c r="F69" s="128"/>
      <c r="G69" s="128"/>
      <c r="H69" s="128"/>
      <c r="I69" s="60" t="s">
        <v>252</v>
      </c>
      <c r="J69" s="24"/>
    </row>
    <row r="70" spans="1:14" ht="16.5" thickBot="1" x14ac:dyDescent="0.3">
      <c r="A70" s="128" t="s">
        <v>146</v>
      </c>
      <c r="B70" s="128"/>
      <c r="C70" s="128"/>
      <c r="D70" s="128" t="s">
        <v>28</v>
      </c>
      <c r="E70" s="128"/>
      <c r="F70" s="128"/>
      <c r="G70" s="128"/>
      <c r="H70" s="128"/>
    </row>
    <row r="71" spans="1:14" ht="15.75" customHeight="1" x14ac:dyDescent="0.25">
      <c r="A71" s="195" t="s">
        <v>85</v>
      </c>
      <c r="B71" s="195"/>
      <c r="C71" s="195"/>
      <c r="D71" s="194" t="str">
        <f ca="1">(IF(G77&gt;95%,"Nothing",IF(G77&gt;0%,"Cement, Aggregate, Steel, etc",IF(G77=0%,"Work not yet Started"))))</f>
        <v>Cement, Aggregate, Steel, etc</v>
      </c>
      <c r="E71" s="194"/>
      <c r="F71" s="194"/>
      <c r="G71" s="194"/>
      <c r="H71" s="194"/>
      <c r="I71" s="44" t="str">
        <f ca="1">IF(D86=100%,"All work Completed. Possession granted to the Building.",IF(D85=100%,"All work Completed, Waiting for OC",I72&amp;""&amp;I73&amp;""&amp;J72&amp;""&amp;J71&amp;" "&amp;J73))</f>
        <v>Excavation, Plinth Completed, RCC upto 18 Slab, Brickwork upto 15 Floor, Internal Plaster upto 13 Floor, External Plaster upto 10 Floor Completed</v>
      </c>
      <c r="J71" s="45" t="str">
        <f ca="1">(IF(C79=(D74+F74+H74),"",IF(C79&gt;0,", RCC upto "&amp;C79&amp;" Slab","")))&amp;(IF(C80=H74,"",IF(C80&gt;0,", Brickwork upto "&amp;C80&amp;" Floor","")))&amp;(IF(C81=H74,"",IF(C81&gt;0,", Internal Plaster upto "&amp;C81&amp;" Floor","")))&amp;(IF(C82=H74,"",IF(C82&gt;0,", External Plaster upto "&amp;C82&amp;" Floor","")))&amp;(IF(C83=H74,"",IF(C83&gt;0,", Flooring upto "&amp;C83&amp;" Floor","")))&amp;(IF(C84=H74,"",IF(C84&gt;0,", Painting upto "&amp;C84&amp;" Floor","")))&amp;(IF(C85=H74,"",IF(C85&gt;0,", Finishing upto "&amp;C85&amp;" Floor","")))&amp;(IF(C86=H74,"",IF(C86&gt;0,", Possession upto "&amp;C86&amp;" Floor","")))</f>
        <v>, RCC upto 18 Slab, Brickwork upto 15 Floor, Internal Plaster upto 13 Floor, External Plaster upto 10 Floor</v>
      </c>
    </row>
    <row r="72" spans="1:14" ht="16.5" thickBot="1" x14ac:dyDescent="0.3">
      <c r="A72" s="172" t="s">
        <v>115</v>
      </c>
      <c r="B72" s="172"/>
      <c r="C72" s="172"/>
      <c r="D72" s="194" t="str">
        <f ca="1">(IF(D71="Nothing","Yes",IF(D71="Cement, Aggregate, Steel, etc","Under Construction",IF(D71="Work not yet Started","Work not yet Started"))))</f>
        <v>Under Construction</v>
      </c>
      <c r="E72" s="194"/>
      <c r="F72" s="194" t="str">
        <f ca="1">(IF(D71="Nothing","Yes",IF(D71="Cement, Aggregate, Steel, etc","Under Construction",IF(D71="Work not yet Started","Work not yet Started"))))</f>
        <v>Under Construction</v>
      </c>
      <c r="G72" s="194"/>
      <c r="H72" s="194"/>
      <c r="I72" s="46" t="str">
        <f ca="1">IF(D77=100%,"Excavation","")&amp;IF(D78=100%,", Plinth","")&amp;IF(D79=100%,", RCC Slab","")&amp;IF(D80=100%,", Brickwork","")&amp;IF(D81=100%,", Internal Plaster","")&amp;IF(D82=100%,", External Plaster","")&amp;IF(D83=100%,", Flooring","")&amp;IF(D84=100%,", Painting","")&amp;IF(D85=100%,", Building common Amenities","")</f>
        <v>Excavation, Plinth</v>
      </c>
      <c r="J72" s="47" t="str">
        <f ca="1">(IF(C77=0,"Work not yet Started.",IF(D77=25%,"Piling work in process",IF(D77=50%,"Excavation work in process",IF(D77=100%,"","0")))))&amp;(IF(C78=0%,"",IF(C78=J77,", Footing work is process",IF(C78=J78,", Footing work Completed",IF(C78=J79,", 1st Basement Completed",IF(C78=J80,", 1st &amp; 2nd Basement Completed",IF(C78=J81,", 1st to 3rd Basement Completed",IF(C78=J82,", 1st to 4th Basement Completed",IF(C78=J83,", Plinth work is process",IF(C78=J84,"","0"))))))))))</f>
        <v/>
      </c>
    </row>
    <row r="73" spans="1:14" x14ac:dyDescent="0.25">
      <c r="A73" s="103" t="s">
        <v>138</v>
      </c>
      <c r="B73" s="104"/>
      <c r="C73" s="105" t="str">
        <f>D65</f>
        <v>B + Gr + 1st to 20th Floor</v>
      </c>
      <c r="D73" s="106"/>
      <c r="E73" s="106"/>
      <c r="F73" s="106"/>
      <c r="G73" s="106"/>
      <c r="H73" s="107"/>
      <c r="I73" s="46" t="str">
        <f ca="1">IF(I72&lt;&gt;""," Completed","")</f>
        <v xml:space="preserve"> Completed</v>
      </c>
      <c r="J73" s="47" t="str">
        <f ca="1">IF(J71&lt;&gt;"","Completed","")</f>
        <v>Completed</v>
      </c>
    </row>
    <row r="74" spans="1:14" ht="15.75" customHeight="1" x14ac:dyDescent="0.25">
      <c r="A74" s="16" t="s">
        <v>140</v>
      </c>
      <c r="B74" s="55">
        <v>1</v>
      </c>
      <c r="C74" s="55" t="s">
        <v>70</v>
      </c>
      <c r="D74" s="55">
        <v>1</v>
      </c>
      <c r="E74" s="55" t="s">
        <v>69</v>
      </c>
      <c r="F74" s="55">
        <v>0</v>
      </c>
      <c r="G74" s="55" t="s">
        <v>79</v>
      </c>
      <c r="H74" s="17">
        <f ca="1">--TRIM(RIGHT(SUBSTITUTE(LEFT(C73,_xlfn.AGGREGATE(16,6,FIND({0,1,2,3,4,5,6,7,8,9},C73,ROW(INDIRECT("1:"&amp;LEN(C73)))),1))," ",REPT(" ",LEN(C73))),LEN(C73)))</f>
        <v>20</v>
      </c>
      <c r="I74" s="14" t="s">
        <v>139</v>
      </c>
      <c r="J74" s="26">
        <f ca="1">H74*25%</f>
        <v>5</v>
      </c>
    </row>
    <row r="75" spans="1:14" ht="36" customHeight="1" x14ac:dyDescent="0.25">
      <c r="A75" s="203" t="s">
        <v>89</v>
      </c>
      <c r="B75" s="156"/>
      <c r="C75" s="170" t="str">
        <f ca="1">I71</f>
        <v>Excavation, Plinth Completed, RCC upto 18 Slab, Brickwork upto 15 Floor, Internal Plaster upto 13 Floor, External Plaster upto 10 Floor Completed</v>
      </c>
      <c r="D75" s="170"/>
      <c r="E75" s="170"/>
      <c r="F75" s="170"/>
      <c r="G75" s="170"/>
      <c r="H75" s="171"/>
      <c r="I75" s="14" t="s">
        <v>97</v>
      </c>
      <c r="J75" s="27">
        <f ca="1">H74*50%</f>
        <v>10</v>
      </c>
    </row>
    <row r="76" spans="1:14" x14ac:dyDescent="0.25">
      <c r="A76" s="77" t="s">
        <v>48</v>
      </c>
      <c r="B76" s="78"/>
      <c r="C76" s="56" t="s">
        <v>137</v>
      </c>
      <c r="D76" s="56" t="s">
        <v>82</v>
      </c>
      <c r="E76" s="78" t="s">
        <v>84</v>
      </c>
      <c r="F76" s="78"/>
      <c r="G76" s="78" t="s">
        <v>83</v>
      </c>
      <c r="H76" s="196"/>
      <c r="I76" s="14" t="s">
        <v>98</v>
      </c>
      <c r="J76" s="27">
        <f ca="1">H74</f>
        <v>20</v>
      </c>
    </row>
    <row r="77" spans="1:14" ht="15.75" customHeight="1" x14ac:dyDescent="0.25">
      <c r="A77" s="77" t="s">
        <v>126</v>
      </c>
      <c r="B77" s="78"/>
      <c r="C77" s="56">
        <f ca="1">J76</f>
        <v>20</v>
      </c>
      <c r="D77" s="61">
        <f ca="1">((100/H74)*C77)/100</f>
        <v>1</v>
      </c>
      <c r="E77" s="183">
        <f ca="1">(((C78/H74*10)+(40/(D74+F74+H74)*C79)+(7.5/(H74)*C80)+(7.5/(H74)*C81)+(10/H74*C82)+(10/H74*C83)+(5/H74*C84)+(5/H74*C85)+(5/H74*C86))/100)</f>
        <v>0.59785714285714286</v>
      </c>
      <c r="F77" s="200"/>
      <c r="G77" s="183">
        <f ca="1">((((C77/H74)*20)+((C78/H74)*25)+(30/(H74+F74+D74)*C79)+(5/H74*C80)+(5/H74*C81)+(5/H74*C82)+(5/H74*C83)+(0/H74*C84)+(0/H74*C85)+(5/H74*C86))/100)</f>
        <v>0.80214285714285727</v>
      </c>
      <c r="H77" s="184"/>
      <c r="I77" s="14" t="s">
        <v>99</v>
      </c>
      <c r="J77" s="28">
        <f ca="1">(IF(B74&gt;1,(H74/(B74+2)),H74/4))</f>
        <v>5</v>
      </c>
    </row>
    <row r="78" spans="1:14" ht="15.75" customHeight="1" x14ac:dyDescent="0.25">
      <c r="A78" s="77" t="s">
        <v>49</v>
      </c>
      <c r="B78" s="78"/>
      <c r="C78" s="62">
        <f ca="1">J84</f>
        <v>20</v>
      </c>
      <c r="D78" s="61">
        <f ca="1">((100/H74)*C78)/100</f>
        <v>1</v>
      </c>
      <c r="E78" s="185"/>
      <c r="F78" s="201"/>
      <c r="G78" s="185"/>
      <c r="H78" s="186"/>
      <c r="I78" s="14" t="s">
        <v>100</v>
      </c>
      <c r="J78" s="28">
        <f ca="1">(IF(B74&gt;1,(H74/(B74+2)+J77),H74/4+J77))</f>
        <v>10</v>
      </c>
    </row>
    <row r="79" spans="1:14" ht="15.75" customHeight="1" x14ac:dyDescent="0.25">
      <c r="A79" s="77" t="s">
        <v>127</v>
      </c>
      <c r="B79" s="78"/>
      <c r="C79" s="56">
        <v>18</v>
      </c>
      <c r="D79" s="61">
        <f ca="1">((100/(D74+F74+H74))*C79)/100</f>
        <v>0.8571428571428571</v>
      </c>
      <c r="E79" s="185"/>
      <c r="F79" s="201"/>
      <c r="G79" s="185"/>
      <c r="H79" s="186"/>
      <c r="I79" s="14" t="s">
        <v>144</v>
      </c>
      <c r="J79" s="28">
        <f>(IF(B74&gt;1,(H74/(B74+2)+J78),0))</f>
        <v>0</v>
      </c>
    </row>
    <row r="80" spans="1:14" ht="15" customHeight="1" x14ac:dyDescent="0.25">
      <c r="A80" s="77" t="s">
        <v>134</v>
      </c>
      <c r="B80" s="78" t="s">
        <v>128</v>
      </c>
      <c r="C80" s="56">
        <v>15</v>
      </c>
      <c r="D80" s="61">
        <f ca="1">((100/H74)*C80)/100</f>
        <v>0.75</v>
      </c>
      <c r="E80" s="185"/>
      <c r="F80" s="201"/>
      <c r="G80" s="185"/>
      <c r="H80" s="186"/>
      <c r="I80" s="14" t="s">
        <v>141</v>
      </c>
      <c r="J80" s="28">
        <f>(IF(B74&gt;2,(H74/(B74+2)+J79),0))</f>
        <v>0</v>
      </c>
    </row>
    <row r="81" spans="1:16" ht="15.75" customHeight="1" x14ac:dyDescent="0.25">
      <c r="A81" s="77" t="s">
        <v>135</v>
      </c>
      <c r="B81" s="78" t="s">
        <v>128</v>
      </c>
      <c r="C81" s="56">
        <v>13</v>
      </c>
      <c r="D81" s="61">
        <f ca="1">((100/H74)*C81)/100</f>
        <v>0.65</v>
      </c>
      <c r="E81" s="185"/>
      <c r="F81" s="201"/>
      <c r="G81" s="185"/>
      <c r="H81" s="186"/>
      <c r="I81" s="14" t="s">
        <v>142</v>
      </c>
      <c r="J81" s="29">
        <f>(IF(B74&gt;3,(H74/(B74+2)+J80),0))</f>
        <v>0</v>
      </c>
    </row>
    <row r="82" spans="1:16" ht="15.75" customHeight="1" x14ac:dyDescent="0.25">
      <c r="A82" s="77" t="s">
        <v>133</v>
      </c>
      <c r="B82" s="78" t="s">
        <v>130</v>
      </c>
      <c r="C82" s="56">
        <v>10</v>
      </c>
      <c r="D82" s="61">
        <f ca="1">((100/(H74))*C82)/100</f>
        <v>0.5</v>
      </c>
      <c r="E82" s="185"/>
      <c r="F82" s="201"/>
      <c r="G82" s="185"/>
      <c r="H82" s="186"/>
      <c r="I82" s="14" t="s">
        <v>143</v>
      </c>
      <c r="J82" s="28">
        <f>(IF(B74&gt;4,(H74/(B74+2)+J81),0))</f>
        <v>0</v>
      </c>
    </row>
    <row r="83" spans="1:16" ht="15.75" customHeight="1" x14ac:dyDescent="0.25">
      <c r="A83" s="77" t="s">
        <v>129</v>
      </c>
      <c r="B83" s="78" t="s">
        <v>129</v>
      </c>
      <c r="C83" s="56">
        <v>0</v>
      </c>
      <c r="D83" s="61">
        <f ca="1">((100/H74)*C83)/100</f>
        <v>0</v>
      </c>
      <c r="E83" s="185"/>
      <c r="F83" s="201"/>
      <c r="G83" s="185"/>
      <c r="H83" s="186"/>
      <c r="I83" s="14" t="s">
        <v>145</v>
      </c>
      <c r="J83" s="28">
        <f ca="1">(IF(B74=1,(H74/(B74+3)+J78),IF(B74=0,(H74/4+J78),IF(B74&gt;1,0))))</f>
        <v>15</v>
      </c>
    </row>
    <row r="84" spans="1:16" ht="16.5" thickBot="1" x14ac:dyDescent="0.3">
      <c r="A84" s="77" t="s">
        <v>136</v>
      </c>
      <c r="B84" s="78"/>
      <c r="C84" s="56">
        <v>0</v>
      </c>
      <c r="D84" s="61">
        <f ca="1">((100/H74)*C84)/100</f>
        <v>0</v>
      </c>
      <c r="E84" s="185"/>
      <c r="F84" s="201"/>
      <c r="G84" s="185"/>
      <c r="H84" s="186"/>
      <c r="I84" s="15" t="s">
        <v>101</v>
      </c>
      <c r="J84" s="30">
        <f ca="1">(IF(B74&gt;1.5,(H74/(B74+2)+J78+MAX(0,J79-J78)+MAX(0,J80-J79)+MAX(0,J81-J80)+MAX(0,J82-J81)+MAX(0,J83-J82)),IF(B74=1,(H74/(B74+3)+J83),IF(B74=0,H74/4+J83))))</f>
        <v>20</v>
      </c>
    </row>
    <row r="85" spans="1:16" x14ac:dyDescent="0.25">
      <c r="A85" s="77" t="s">
        <v>131</v>
      </c>
      <c r="B85" s="78" t="s">
        <v>131</v>
      </c>
      <c r="C85" s="56">
        <v>0</v>
      </c>
      <c r="D85" s="61">
        <f ca="1">((100/(H74))*C85)/100</f>
        <v>0</v>
      </c>
      <c r="E85" s="185"/>
      <c r="F85" s="201"/>
      <c r="G85" s="185"/>
      <c r="H85" s="186"/>
    </row>
    <row r="86" spans="1:16" ht="16.5" thickBot="1" x14ac:dyDescent="0.3">
      <c r="A86" s="189" t="s">
        <v>132</v>
      </c>
      <c r="B86" s="190"/>
      <c r="C86" s="63">
        <v>0</v>
      </c>
      <c r="D86" s="64">
        <f ca="1">((100/(H74))*C86)/100</f>
        <v>0</v>
      </c>
      <c r="E86" s="187"/>
      <c r="F86" s="202"/>
      <c r="G86" s="187"/>
      <c r="H86" s="188"/>
    </row>
    <row r="87" spans="1:16" x14ac:dyDescent="0.25">
      <c r="A87" s="113" t="s">
        <v>154</v>
      </c>
      <c r="B87" s="113"/>
      <c r="C87" s="113"/>
      <c r="D87" s="113"/>
      <c r="E87" s="113"/>
      <c r="F87" s="112" t="s">
        <v>159</v>
      </c>
      <c r="G87" s="112"/>
      <c r="H87" s="112"/>
    </row>
    <row r="88" spans="1:16" x14ac:dyDescent="0.25">
      <c r="A88" s="70" t="s">
        <v>157</v>
      </c>
      <c r="B88" s="70"/>
      <c r="C88" s="70"/>
      <c r="D88" s="70"/>
      <c r="E88" s="70"/>
      <c r="F88" s="100">
        <v>28000</v>
      </c>
      <c r="G88" s="100"/>
      <c r="H88" s="100"/>
    </row>
    <row r="89" spans="1:16" s="31" customFormat="1" hidden="1" x14ac:dyDescent="0.25">
      <c r="A89" s="70" t="s">
        <v>156</v>
      </c>
      <c r="B89" s="70"/>
      <c r="C89" s="70"/>
      <c r="D89" s="70"/>
      <c r="E89" s="70"/>
      <c r="F89" s="71">
        <v>50000</v>
      </c>
      <c r="G89" s="71"/>
      <c r="H89" s="71"/>
    </row>
    <row r="90" spans="1:16" s="31" customFormat="1" hidden="1" x14ac:dyDescent="0.25">
      <c r="A90" s="70" t="s">
        <v>158</v>
      </c>
      <c r="B90" s="70"/>
      <c r="C90" s="70"/>
      <c r="D90" s="70"/>
      <c r="E90" s="70"/>
      <c r="F90" s="71"/>
      <c r="G90" s="71"/>
      <c r="H90" s="71"/>
    </row>
    <row r="91" spans="1:16" s="31" customFormat="1" hidden="1" x14ac:dyDescent="0.25">
      <c r="A91" s="70" t="s">
        <v>155</v>
      </c>
      <c r="B91" s="70"/>
      <c r="C91" s="70"/>
      <c r="D91" s="70"/>
      <c r="E91" s="70"/>
      <c r="F91" s="71"/>
      <c r="G91" s="71"/>
      <c r="H91" s="71"/>
    </row>
    <row r="92" spans="1:16" s="31" customFormat="1" x14ac:dyDescent="0.25">
      <c r="A92" s="70" t="s">
        <v>94</v>
      </c>
      <c r="B92" s="70"/>
      <c r="C92" s="70"/>
      <c r="D92" s="70"/>
      <c r="E92" s="70"/>
      <c r="F92" s="100">
        <v>250000</v>
      </c>
      <c r="G92" s="100"/>
      <c r="H92" s="100"/>
    </row>
    <row r="93" spans="1:16" s="31" customFormat="1" x14ac:dyDescent="0.25">
      <c r="A93" s="70" t="s">
        <v>192</v>
      </c>
      <c r="B93" s="70"/>
      <c r="C93" s="70"/>
      <c r="D93" s="70"/>
      <c r="E93" s="70"/>
      <c r="F93" s="100">
        <v>25000</v>
      </c>
      <c r="G93" s="100"/>
      <c r="H93" s="100"/>
      <c r="I93" s="70" t="s">
        <v>160</v>
      </c>
      <c r="J93" s="70"/>
      <c r="K93" s="70"/>
      <c r="L93" s="70"/>
      <c r="M93" s="70"/>
      <c r="N93" s="71">
        <v>25000</v>
      </c>
      <c r="O93" s="71"/>
      <c r="P93" s="71"/>
    </row>
    <row r="94" spans="1:16" s="31" customFormat="1" x14ac:dyDescent="0.25">
      <c r="A94" s="70" t="s">
        <v>188</v>
      </c>
      <c r="B94" s="70"/>
      <c r="C94" s="70"/>
      <c r="D94" s="70"/>
      <c r="E94" s="70"/>
      <c r="F94" s="100">
        <v>50000</v>
      </c>
      <c r="G94" s="100"/>
      <c r="H94" s="100"/>
    </row>
    <row r="95" spans="1:16" s="31" customFormat="1" x14ac:dyDescent="0.25">
      <c r="A95" s="70" t="s">
        <v>95</v>
      </c>
      <c r="B95" s="70"/>
      <c r="C95" s="70"/>
      <c r="D95" s="70"/>
      <c r="E95" s="70"/>
      <c r="F95" s="100">
        <v>25000</v>
      </c>
      <c r="G95" s="100"/>
      <c r="H95" s="100"/>
      <c r="I95" s="65">
        <f>F92+F93+F94+F95+F96+F97</f>
        <v>860000</v>
      </c>
    </row>
    <row r="96" spans="1:16" x14ac:dyDescent="0.25">
      <c r="A96" s="70" t="s">
        <v>96</v>
      </c>
      <c r="B96" s="70"/>
      <c r="C96" s="70"/>
      <c r="D96" s="70"/>
      <c r="E96" s="70"/>
      <c r="F96" s="100">
        <v>60000</v>
      </c>
      <c r="G96" s="100"/>
      <c r="H96" s="100"/>
    </row>
    <row r="97" spans="1:11" s="32" customFormat="1" x14ac:dyDescent="0.25">
      <c r="A97" s="70" t="s">
        <v>193</v>
      </c>
      <c r="B97" s="70"/>
      <c r="C97" s="70"/>
      <c r="D97" s="70"/>
      <c r="E97" s="70"/>
      <c r="F97" s="100">
        <v>450000</v>
      </c>
      <c r="G97" s="100"/>
      <c r="H97" s="100"/>
    </row>
    <row r="98" spans="1:11" s="33" customFormat="1" ht="15.75" customHeight="1" x14ac:dyDescent="0.25">
      <c r="A98" s="70" t="s">
        <v>50</v>
      </c>
      <c r="B98" s="70"/>
      <c r="C98" s="70"/>
      <c r="D98" s="70"/>
      <c r="E98" s="70"/>
      <c r="F98" s="100">
        <v>1500000</v>
      </c>
      <c r="G98" s="100"/>
      <c r="H98" s="100"/>
    </row>
    <row r="99" spans="1:11" s="33" customFormat="1" ht="15.75" customHeight="1" x14ac:dyDescent="0.25">
      <c r="A99" s="117" t="s">
        <v>51</v>
      </c>
      <c r="B99" s="117"/>
      <c r="C99" s="117"/>
      <c r="D99" s="117"/>
      <c r="E99" s="117"/>
      <c r="F99" s="100">
        <f>F88*0.8</f>
        <v>22400</v>
      </c>
      <c r="G99" s="100"/>
      <c r="H99" s="100"/>
      <c r="J99" s="33" t="s">
        <v>199</v>
      </c>
    </row>
    <row r="100" spans="1:11" s="33" customFormat="1" x14ac:dyDescent="0.25">
      <c r="A100" s="102" t="s">
        <v>74</v>
      </c>
      <c r="B100" s="102"/>
      <c r="C100" s="102"/>
      <c r="D100" s="102"/>
      <c r="E100" s="102"/>
      <c r="F100" s="102"/>
      <c r="G100" s="102"/>
      <c r="H100" s="102"/>
      <c r="J100" s="33" t="s">
        <v>200</v>
      </c>
      <c r="K100" s="33" t="s">
        <v>202</v>
      </c>
    </row>
    <row r="101" spans="1:11" s="33" customFormat="1" x14ac:dyDescent="0.25">
      <c r="A101" s="84" t="s">
        <v>52</v>
      </c>
      <c r="B101" s="84"/>
      <c r="C101" s="83" t="s">
        <v>77</v>
      </c>
      <c r="D101" s="83"/>
      <c r="E101" s="159" t="s">
        <v>53</v>
      </c>
      <c r="F101" s="159"/>
      <c r="G101" s="84" t="s">
        <v>54</v>
      </c>
      <c r="H101" s="84"/>
      <c r="J101" s="33">
        <v>30000</v>
      </c>
      <c r="K101" s="33">
        <v>30000</v>
      </c>
    </row>
    <row r="102" spans="1:11" s="33" customFormat="1" ht="15.75" customHeight="1" x14ac:dyDescent="0.25">
      <c r="A102" s="80" t="s">
        <v>238</v>
      </c>
      <c r="B102" s="80"/>
      <c r="C102" s="96">
        <f>COUNT(D118)+COUNT(D120)</f>
        <v>2</v>
      </c>
      <c r="D102" s="97"/>
      <c r="E102" s="98">
        <f>SUM(D118)+SUM(D120)</f>
        <v>3100.3549199999998</v>
      </c>
      <c r="F102" s="99"/>
      <c r="G102" s="98">
        <f>SUM(F118)+SUM(F120)</f>
        <v>4960.5678719999996</v>
      </c>
      <c r="H102" s="99"/>
    </row>
    <row r="103" spans="1:11" s="33" customFormat="1" x14ac:dyDescent="0.25">
      <c r="A103" s="102" t="s">
        <v>221</v>
      </c>
      <c r="B103" s="102"/>
      <c r="C103" s="169">
        <f t="shared" ref="C103:H103" si="0">SUM(C102)</f>
        <v>2</v>
      </c>
      <c r="D103" s="169"/>
      <c r="E103" s="169">
        <f t="shared" si="0"/>
        <v>3100.3549199999998</v>
      </c>
      <c r="F103" s="169"/>
      <c r="G103" s="169">
        <f t="shared" si="0"/>
        <v>4960.5678719999996</v>
      </c>
      <c r="H103" s="169"/>
    </row>
    <row r="104" spans="1:11" s="33" customFormat="1" x14ac:dyDescent="0.25">
      <c r="A104" s="102" t="s">
        <v>68</v>
      </c>
      <c r="B104" s="102"/>
      <c r="C104" s="102"/>
      <c r="D104" s="102"/>
      <c r="E104" s="102"/>
      <c r="F104" s="102"/>
      <c r="G104" s="102"/>
      <c r="H104" s="102"/>
    </row>
    <row r="105" spans="1:11" s="33" customFormat="1" x14ac:dyDescent="0.25">
      <c r="A105" s="84" t="s">
        <v>52</v>
      </c>
      <c r="B105" s="84"/>
      <c r="C105" s="83" t="s">
        <v>77</v>
      </c>
      <c r="D105" s="83"/>
      <c r="E105" s="159" t="s">
        <v>53</v>
      </c>
      <c r="F105" s="159"/>
      <c r="G105" s="84" t="s">
        <v>54</v>
      </c>
      <c r="H105" s="84"/>
    </row>
    <row r="106" spans="1:11" s="33" customFormat="1" x14ac:dyDescent="0.25">
      <c r="A106" s="80" t="s">
        <v>236</v>
      </c>
      <c r="B106" s="80"/>
      <c r="C106" s="81">
        <f>COUNT(D137:D138)*6+COUNT(D143)+COUNT(D145,D147:D148)+COUNT(D150,D152:D153)*7+COUNT(D155,D158)+COUNT(D160:D163)+COUNT(D165)</f>
        <v>44</v>
      </c>
      <c r="D106" s="81"/>
      <c r="E106" s="82">
        <f>SUM(D137:D138)*6+SUM(D143)+SUM(D145,D147:D148)+SUM(D150,D152:D153)*7+SUM(D155,D158)+SUM(D160:D163)+SUM(D165)</f>
        <v>20222.864999999998</v>
      </c>
      <c r="F106" s="82"/>
      <c r="G106" s="82">
        <f>SUM(F137:F138)*6+SUM(F143)+SUM(F145,F147:F148)+SUM(F150,F152:F153)*7+SUM(F155,F158)+SUM(F160:F163)+SUM(F165)</f>
        <v>31345.440749999998</v>
      </c>
      <c r="H106" s="82"/>
    </row>
    <row r="107" spans="1:11" s="33" customFormat="1" x14ac:dyDescent="0.25">
      <c r="A107" s="80" t="s">
        <v>234</v>
      </c>
      <c r="B107" s="80"/>
      <c r="C107" s="81">
        <f>COUNT(D130,D132:D133)</f>
        <v>3</v>
      </c>
      <c r="D107" s="81"/>
      <c r="E107" s="82">
        <f>SUM(D130,D132:D133)</f>
        <v>1329.8922</v>
      </c>
      <c r="F107" s="82"/>
      <c r="G107" s="82">
        <f>SUM(F130,F132:F133)</f>
        <v>2061.3329100000001</v>
      </c>
      <c r="H107" s="82"/>
    </row>
    <row r="108" spans="1:11" s="32" customFormat="1" x14ac:dyDescent="0.25">
      <c r="A108" s="80" t="s">
        <v>235</v>
      </c>
      <c r="B108" s="80"/>
      <c r="C108" s="81">
        <f>COUNT(D135)*6+COUNT(D140)</f>
        <v>7</v>
      </c>
      <c r="D108" s="81"/>
      <c r="E108" s="82">
        <f>SUM(D135)*6+SUM(D140)</f>
        <v>2317.7044799999999</v>
      </c>
      <c r="F108" s="82"/>
      <c r="G108" s="82">
        <f>SUM(F135)*6+SUM(F140)</f>
        <v>3592.4419440000001</v>
      </c>
      <c r="H108" s="82"/>
    </row>
    <row r="109" spans="1:11" s="32" customFormat="1" x14ac:dyDescent="0.25">
      <c r="A109" s="80" t="s">
        <v>237</v>
      </c>
      <c r="B109" s="80"/>
      <c r="C109" s="81">
        <f>COUNT(D131)+COUNT(D136)*6+COUNT(D141)+COUNT(D146)+COUNT(D151)*7+COUNT(D156)</f>
        <v>17</v>
      </c>
      <c r="D109" s="81"/>
      <c r="E109" s="82">
        <f>SUM(D131)+SUM(D136)*6+SUM(D141)+SUM(D146)+SUM(D151)*7+SUM(D156)</f>
        <v>6980.9921999999997</v>
      </c>
      <c r="F109" s="82"/>
      <c r="G109" s="82">
        <f>SUM(F131)+SUM(F136)*6+SUM(F141)+SUM(F146)+SUM(F151)*7+SUM(F156)</f>
        <v>10902.99015</v>
      </c>
      <c r="H109" s="82"/>
    </row>
    <row r="110" spans="1:11" x14ac:dyDescent="0.25">
      <c r="A110" s="102" t="s">
        <v>221</v>
      </c>
      <c r="B110" s="102"/>
      <c r="C110" s="169">
        <f t="shared" ref="C110:G110" si="1">SUM(C106:D109)</f>
        <v>71</v>
      </c>
      <c r="D110" s="169"/>
      <c r="E110" s="169">
        <f t="shared" si="1"/>
        <v>30851.453879999997</v>
      </c>
      <c r="F110" s="169"/>
      <c r="G110" s="169">
        <f t="shared" si="1"/>
        <v>47902.205753999995</v>
      </c>
      <c r="H110" s="169"/>
    </row>
    <row r="111" spans="1:11" x14ac:dyDescent="0.25">
      <c r="A111" s="102" t="s">
        <v>222</v>
      </c>
      <c r="B111" s="102"/>
      <c r="C111" s="169">
        <f>C103+C110</f>
        <v>73</v>
      </c>
      <c r="D111" s="169"/>
      <c r="E111" s="169">
        <f>E103+E110</f>
        <v>33951.808799999999</v>
      </c>
      <c r="F111" s="169"/>
      <c r="G111" s="169">
        <f>G103+G110</f>
        <v>52862.773625999995</v>
      </c>
      <c r="H111" s="169"/>
    </row>
    <row r="112" spans="1:11" s="35" customFormat="1" x14ac:dyDescent="0.25">
      <c r="A112" s="101" t="s">
        <v>219</v>
      </c>
      <c r="B112" s="101"/>
      <c r="C112" s="101"/>
      <c r="D112" s="101"/>
      <c r="E112" s="101"/>
      <c r="F112" s="101"/>
      <c r="G112" s="101"/>
      <c r="H112" s="101"/>
    </row>
    <row r="113" spans="1:14" s="35" customFormat="1" x14ac:dyDescent="0.25">
      <c r="A113" s="101" t="s">
        <v>220</v>
      </c>
      <c r="B113" s="101"/>
      <c r="C113" s="101"/>
      <c r="D113" s="101"/>
      <c r="E113" s="101"/>
      <c r="F113" s="101"/>
      <c r="G113" s="101"/>
      <c r="H113" s="101"/>
      <c r="J113" s="34"/>
    </row>
    <row r="114" spans="1:14" s="35" customFormat="1" ht="47.25" x14ac:dyDescent="0.25">
      <c r="A114" s="90" t="s">
        <v>117</v>
      </c>
      <c r="B114" s="90" t="s">
        <v>195</v>
      </c>
      <c r="C114" s="90" t="s">
        <v>55</v>
      </c>
      <c r="D114" s="90" t="s">
        <v>56</v>
      </c>
      <c r="E114" s="108" t="s">
        <v>153</v>
      </c>
      <c r="F114" s="41" t="s">
        <v>147</v>
      </c>
      <c r="G114" s="94" t="s">
        <v>58</v>
      </c>
      <c r="H114" s="110"/>
      <c r="J114" s="49">
        <f>10.764</f>
        <v>10.763999999999999</v>
      </c>
    </row>
    <row r="115" spans="1:14" s="35" customFormat="1" x14ac:dyDescent="0.25">
      <c r="A115" s="91"/>
      <c r="B115" s="91"/>
      <c r="C115" s="91"/>
      <c r="D115" s="91"/>
      <c r="E115" s="109"/>
      <c r="F115" s="13">
        <v>0.6</v>
      </c>
      <c r="G115" s="95"/>
      <c r="H115" s="111"/>
      <c r="I115" s="34"/>
      <c r="L115" s="92"/>
      <c r="M115" s="92"/>
      <c r="N115" s="34"/>
    </row>
    <row r="116" spans="1:14" s="35" customFormat="1" x14ac:dyDescent="0.25">
      <c r="A116" s="87" t="s">
        <v>196</v>
      </c>
      <c r="B116" s="88"/>
      <c r="C116" s="88"/>
      <c r="D116" s="88"/>
      <c r="E116" s="88"/>
      <c r="F116" s="88"/>
      <c r="G116" s="88"/>
      <c r="H116" s="89"/>
      <c r="J116" s="34"/>
    </row>
    <row r="117" spans="1:14" s="35" customFormat="1" x14ac:dyDescent="0.25">
      <c r="A117" s="87" t="s">
        <v>197</v>
      </c>
      <c r="B117" s="88"/>
      <c r="C117" s="88"/>
      <c r="D117" s="88"/>
      <c r="E117" s="88"/>
      <c r="F117" s="88"/>
      <c r="G117" s="88"/>
      <c r="H117" s="89"/>
      <c r="I117" s="34"/>
      <c r="L117" s="92"/>
      <c r="M117" s="92"/>
      <c r="N117" s="34"/>
    </row>
    <row r="118" spans="1:14" s="35" customFormat="1" x14ac:dyDescent="0.25">
      <c r="A118" s="48">
        <v>1</v>
      </c>
      <c r="B118" s="40" t="s">
        <v>179</v>
      </c>
      <c r="C118" s="40" t="s">
        <v>225</v>
      </c>
      <c r="D118" s="49">
        <f>(97.55)*(10.764)</f>
        <v>1050.0282</v>
      </c>
      <c r="E118" s="40">
        <v>0</v>
      </c>
      <c r="F118" s="40">
        <f>(D118+E118)*(($F$115)+1)</f>
        <v>1680.04512</v>
      </c>
      <c r="G118" s="85" t="str">
        <f>A117</f>
        <v>Ground Floor For Commercial &amp; Parking</v>
      </c>
      <c r="H118" s="86"/>
      <c r="J118" s="34"/>
    </row>
    <row r="119" spans="1:14" s="35" customFormat="1" x14ac:dyDescent="0.25">
      <c r="A119" s="87" t="s">
        <v>226</v>
      </c>
      <c r="B119" s="88"/>
      <c r="C119" s="88"/>
      <c r="D119" s="88"/>
      <c r="E119" s="88"/>
      <c r="F119" s="88"/>
      <c r="G119" s="88"/>
      <c r="H119" s="89"/>
      <c r="I119" s="34"/>
      <c r="L119" s="92"/>
      <c r="M119" s="92"/>
      <c r="N119" s="34"/>
    </row>
    <row r="120" spans="1:14" s="35" customFormat="1" x14ac:dyDescent="0.25">
      <c r="A120" s="48">
        <v>2</v>
      </c>
      <c r="B120" s="40" t="s">
        <v>179</v>
      </c>
      <c r="C120" s="52" t="s">
        <v>225</v>
      </c>
      <c r="D120" s="49">
        <f>(190.48)*(10.764)</f>
        <v>2050.3267199999996</v>
      </c>
      <c r="E120" s="40">
        <v>0</v>
      </c>
      <c r="F120" s="40">
        <f>(D120+E120)*(($F$115)+1)</f>
        <v>3280.5227519999994</v>
      </c>
      <c r="G120" s="85" t="str">
        <f>A119</f>
        <v>1st Floor For Commercial</v>
      </c>
      <c r="H120" s="86"/>
      <c r="I120" s="34"/>
      <c r="L120" s="92"/>
      <c r="M120" s="92"/>
      <c r="N120" s="34"/>
    </row>
    <row r="121" spans="1:14" s="35" customFormat="1" hidden="1" x14ac:dyDescent="0.25">
      <c r="A121" s="87" t="s">
        <v>116</v>
      </c>
      <c r="B121" s="88"/>
      <c r="C121" s="88"/>
      <c r="D121" s="88"/>
      <c r="E121" s="88"/>
      <c r="F121" s="88"/>
      <c r="G121" s="88"/>
      <c r="H121" s="89"/>
      <c r="I121" s="34"/>
      <c r="L121" s="92"/>
      <c r="M121" s="92"/>
      <c r="N121" s="34"/>
    </row>
    <row r="122" spans="1:14" s="35" customFormat="1" hidden="1" x14ac:dyDescent="0.25">
      <c r="A122" s="85">
        <v>1</v>
      </c>
      <c r="B122" s="86"/>
      <c r="C122" s="40"/>
      <c r="D122" s="40"/>
      <c r="E122" s="40">
        <v>0</v>
      </c>
      <c r="F122" s="40">
        <f>(D122+E122)*(($F$115)+1)</f>
        <v>0</v>
      </c>
      <c r="G122" s="85" t="str">
        <f>A121</f>
        <v>Ground Floor</v>
      </c>
      <c r="H122" s="86"/>
      <c r="I122" s="34"/>
      <c r="L122" s="92"/>
      <c r="M122" s="92"/>
      <c r="N122" s="34"/>
    </row>
    <row r="123" spans="1:14" s="35" customFormat="1" hidden="1" x14ac:dyDescent="0.25">
      <c r="A123" s="85">
        <f t="shared" ref="A123:A125" si="2">A122+1</f>
        <v>2</v>
      </c>
      <c r="B123" s="86"/>
      <c r="C123" s="40"/>
      <c r="D123" s="40"/>
      <c r="E123" s="40">
        <v>0</v>
      </c>
      <c r="F123" s="40">
        <f>(D123+E123)*(($F$115)+1)</f>
        <v>0</v>
      </c>
      <c r="G123" s="85" t="str">
        <f t="shared" ref="G123:G125" si="3">G122</f>
        <v>Ground Floor</v>
      </c>
      <c r="H123" s="86"/>
      <c r="I123" s="34"/>
      <c r="N123" s="34"/>
    </row>
    <row r="124" spans="1:14" hidden="1" x14ac:dyDescent="0.25">
      <c r="A124" s="85">
        <f t="shared" si="2"/>
        <v>3</v>
      </c>
      <c r="B124" s="86"/>
      <c r="C124" s="40"/>
      <c r="D124" s="40"/>
      <c r="E124" s="40">
        <v>0</v>
      </c>
      <c r="F124" s="40">
        <f>(D124+E124)*(($F$115)+1)</f>
        <v>0</v>
      </c>
      <c r="G124" s="85" t="str">
        <f t="shared" si="3"/>
        <v>Ground Floor</v>
      </c>
      <c r="H124" s="86"/>
      <c r="I124" s="34"/>
    </row>
    <row r="125" spans="1:14" s="35" customFormat="1" hidden="1" x14ac:dyDescent="0.25">
      <c r="A125" s="85">
        <f t="shared" si="2"/>
        <v>4</v>
      </c>
      <c r="B125" s="86"/>
      <c r="C125" s="40"/>
      <c r="D125" s="40"/>
      <c r="E125" s="40">
        <v>0</v>
      </c>
      <c r="F125" s="40">
        <f>(D125+E125)*(($F$115)+1)</f>
        <v>0</v>
      </c>
      <c r="G125" s="85" t="str">
        <f t="shared" si="3"/>
        <v>Ground Floor</v>
      </c>
      <c r="H125" s="86"/>
      <c r="I125" s="34"/>
    </row>
    <row r="126" spans="1:14" s="35" customFormat="1" x14ac:dyDescent="0.25">
      <c r="A126" s="85"/>
      <c r="B126" s="93"/>
      <c r="C126" s="93"/>
      <c r="D126" s="93"/>
      <c r="E126" s="93"/>
      <c r="F126" s="93"/>
      <c r="G126" s="93"/>
      <c r="H126" s="86"/>
      <c r="J126" s="34"/>
    </row>
    <row r="127" spans="1:14" s="35" customFormat="1" ht="47.25" x14ac:dyDescent="0.25">
      <c r="A127" s="94" t="s">
        <v>118</v>
      </c>
      <c r="B127" s="90" t="s">
        <v>224</v>
      </c>
      <c r="C127" s="90" t="s">
        <v>55</v>
      </c>
      <c r="D127" s="90" t="s">
        <v>56</v>
      </c>
      <c r="E127" s="108" t="s">
        <v>57</v>
      </c>
      <c r="F127" s="41" t="s">
        <v>147</v>
      </c>
      <c r="G127" s="94" t="s">
        <v>58</v>
      </c>
      <c r="H127" s="110"/>
      <c r="I127" s="34">
        <f>18000000/F130</f>
        <v>35073.635695196637</v>
      </c>
      <c r="L127" s="92"/>
      <c r="M127" s="92"/>
      <c r="N127" s="34"/>
    </row>
    <row r="128" spans="1:14" s="35" customFormat="1" ht="15.75" customHeight="1" x14ac:dyDescent="0.25">
      <c r="A128" s="95"/>
      <c r="B128" s="91"/>
      <c r="C128" s="91"/>
      <c r="D128" s="91"/>
      <c r="E128" s="109"/>
      <c r="F128" s="13">
        <v>0.55000000000000004</v>
      </c>
      <c r="G128" s="95"/>
      <c r="H128" s="111"/>
      <c r="I128" s="34"/>
      <c r="L128" s="92"/>
      <c r="M128" s="92"/>
      <c r="N128" s="34"/>
    </row>
    <row r="129" spans="1:14" s="35" customFormat="1" ht="15.75" customHeight="1" x14ac:dyDescent="0.25">
      <c r="A129" s="87" t="s">
        <v>174</v>
      </c>
      <c r="B129" s="88"/>
      <c r="C129" s="88"/>
      <c r="D129" s="88"/>
      <c r="E129" s="88"/>
      <c r="F129" s="88"/>
      <c r="G129" s="88"/>
      <c r="H129" s="89"/>
      <c r="I129" s="34">
        <f>28000000/F132</f>
        <v>30364.293419736401</v>
      </c>
      <c r="J129" s="35">
        <f>2.99*6.67+0.9*1.37+2.3*1.22+3.2*3.05+0.6*3.91+0.15*0.9+0.15*0.9+2.12*0.9+1.88*2.61+2.9*3.6</f>
        <v>53.613099999999996</v>
      </c>
      <c r="L129" s="92"/>
      <c r="M129" s="92"/>
      <c r="N129" s="34"/>
    </row>
    <row r="130" spans="1:14" s="35" customFormat="1" ht="15.75" customHeight="1" x14ac:dyDescent="0.25">
      <c r="A130" s="40">
        <v>1</v>
      </c>
      <c r="B130" s="40" t="s">
        <v>179</v>
      </c>
      <c r="C130" s="40" t="s">
        <v>175</v>
      </c>
      <c r="D130" s="49">
        <f>(30.76)*(10.764)</f>
        <v>331.10064</v>
      </c>
      <c r="E130" s="40">
        <v>0</v>
      </c>
      <c r="F130" s="40">
        <f>D130*(($F$128)+1)+(IF(E130&lt;101,E130,IF(E130&lt;201,E130/2,IF(E130&lt;=301,E130/3,E130/4))))</f>
        <v>513.20599200000004</v>
      </c>
      <c r="G130" s="174" t="str">
        <f>A129</f>
        <v>2nd Floor For Residential</v>
      </c>
      <c r="H130" s="175"/>
      <c r="I130" s="34"/>
      <c r="L130" s="92"/>
      <c r="M130" s="92"/>
      <c r="N130" s="34"/>
    </row>
    <row r="131" spans="1:14" s="35" customFormat="1" ht="15.75" customHeight="1" x14ac:dyDescent="0.25">
      <c r="A131" s="40">
        <f t="shared" ref="A131:A133" si="4">A130+1</f>
        <v>2</v>
      </c>
      <c r="B131" s="40" t="s">
        <v>223</v>
      </c>
      <c r="C131" s="40" t="s">
        <v>175</v>
      </c>
      <c r="D131" s="49">
        <f>(38.15)*(10.764)</f>
        <v>410.64659999999998</v>
      </c>
      <c r="E131" s="49">
        <f>(3.8*3.2+3.3*5.6)*(10.764)</f>
        <v>329.80895999999996</v>
      </c>
      <c r="F131" s="40">
        <f>D131*(($F$128)+1)+(IF(E131&lt;101,E131,IF(E131&lt;201,E131/2,IF(E131&lt;=301,E131/3,E131/4))))</f>
        <v>718.9544699999999</v>
      </c>
      <c r="G131" s="176"/>
      <c r="H131" s="177"/>
      <c r="J131" s="34"/>
    </row>
    <row r="132" spans="1:14" s="35" customFormat="1" ht="15.75" customHeight="1" x14ac:dyDescent="0.25">
      <c r="A132" s="40">
        <f t="shared" si="4"/>
        <v>3</v>
      </c>
      <c r="B132" s="40" t="s">
        <v>179</v>
      </c>
      <c r="C132" s="40" t="s">
        <v>176</v>
      </c>
      <c r="D132" s="49">
        <f>(55.27)*(10.764)</f>
        <v>594.92628000000002</v>
      </c>
      <c r="E132" s="40">
        <v>0</v>
      </c>
      <c r="F132" s="40">
        <f>D132*(($F$128)+1)+(IF(E132&lt;101,E132,IF(E132&lt;201,E132/2,IF(E132&lt;=301,E132/3,E132/4))))</f>
        <v>922.13573400000007</v>
      </c>
      <c r="G132" s="176"/>
      <c r="H132" s="177"/>
      <c r="I132" s="34">
        <f>15500000/F135</f>
        <v>30202.297404197103</v>
      </c>
      <c r="J132" s="35" t="s">
        <v>201</v>
      </c>
      <c r="K132" s="35">
        <f>4+2</f>
        <v>6</v>
      </c>
      <c r="L132" s="92"/>
      <c r="M132" s="92"/>
      <c r="N132" s="34"/>
    </row>
    <row r="133" spans="1:14" s="35" customFormat="1" ht="15.75" customHeight="1" x14ac:dyDescent="0.25">
      <c r="A133" s="40">
        <f t="shared" si="4"/>
        <v>4</v>
      </c>
      <c r="B133" s="40" t="s">
        <v>179</v>
      </c>
      <c r="C133" s="40" t="s">
        <v>175</v>
      </c>
      <c r="D133" s="49">
        <f>(37.52)*(10.764)</f>
        <v>403.86527999999998</v>
      </c>
      <c r="E133" s="40">
        <v>0</v>
      </c>
      <c r="F133" s="40">
        <f>D133*(($F$128)+1)+(IF(E133&lt;101,E133,IF(E133&lt;201,E133/2,IF(E133&lt;=301,E133/3,E133/4))))</f>
        <v>625.99118399999998</v>
      </c>
      <c r="G133" s="178"/>
      <c r="H133" s="179"/>
      <c r="I133" s="34">
        <f>18200000/F136</f>
        <v>28593.772562273665</v>
      </c>
      <c r="J133" s="35">
        <f>22000000/F136</f>
        <v>34563.900899451684</v>
      </c>
      <c r="L133" s="92"/>
      <c r="M133" s="92"/>
      <c r="N133" s="34"/>
    </row>
    <row r="134" spans="1:14" s="35" customFormat="1" ht="15.75" customHeight="1" x14ac:dyDescent="0.25">
      <c r="A134" s="87" t="s">
        <v>261</v>
      </c>
      <c r="B134" s="88"/>
      <c r="C134" s="88"/>
      <c r="D134" s="88"/>
      <c r="E134" s="88"/>
      <c r="F134" s="88"/>
      <c r="G134" s="88"/>
      <c r="H134" s="89"/>
      <c r="I134" s="34"/>
      <c r="L134" s="92"/>
      <c r="M134" s="92"/>
      <c r="N134" s="34"/>
    </row>
    <row r="135" spans="1:14" s="35" customFormat="1" ht="15.75" customHeight="1" x14ac:dyDescent="0.25">
      <c r="A135" s="40">
        <v>1</v>
      </c>
      <c r="B135" s="40" t="s">
        <v>181</v>
      </c>
      <c r="C135" s="40" t="s">
        <v>175</v>
      </c>
      <c r="D135" s="49">
        <f>(30.76)*(10.764)</f>
        <v>331.10064</v>
      </c>
      <c r="E135" s="40">
        <v>0</v>
      </c>
      <c r="F135" s="40">
        <f>D135*(($F$128)+1)+(IF(E135&lt;101,E135,IF(E135&lt;201,E135/2,IF(E135&lt;=301,E135/3,E135/4))))</f>
        <v>513.20599200000004</v>
      </c>
      <c r="G135" s="174" t="str">
        <f>A134</f>
        <v>3rd to 6th, 9th &amp; 10th Floor</v>
      </c>
      <c r="H135" s="175"/>
      <c r="I135" s="34">
        <f>17900000/F138</f>
        <v>28594.651901679179</v>
      </c>
      <c r="L135" s="92"/>
      <c r="M135" s="92"/>
      <c r="N135" s="34"/>
    </row>
    <row r="136" spans="1:14" s="35" customFormat="1" ht="15.75" customHeight="1" x14ac:dyDescent="0.25">
      <c r="A136" s="40">
        <f t="shared" ref="A136:A138" si="5">A135+1</f>
        <v>2</v>
      </c>
      <c r="B136" s="52" t="s">
        <v>223</v>
      </c>
      <c r="C136" s="40" t="s">
        <v>175</v>
      </c>
      <c r="D136" s="49">
        <f>(38.15)*(10.764)</f>
        <v>410.64659999999998</v>
      </c>
      <c r="E136" s="40">
        <v>0</v>
      </c>
      <c r="F136" s="40">
        <f>D136*(($F$128)+1)+(IF(E136&lt;101,E136,IF(E136&lt;201,E136/2,IF(E136&lt;=301,E136/3,E136/4))))</f>
        <v>636.50222999999994</v>
      </c>
      <c r="G136" s="176"/>
      <c r="H136" s="177"/>
      <c r="J136" s="34"/>
    </row>
    <row r="137" spans="1:14" s="35" customFormat="1" x14ac:dyDescent="0.25">
      <c r="A137" s="40">
        <f t="shared" si="5"/>
        <v>3</v>
      </c>
      <c r="B137" s="68" t="s">
        <v>180</v>
      </c>
      <c r="C137" s="40" t="s">
        <v>176</v>
      </c>
      <c r="D137" s="49">
        <f>(55.27)*(10.764)</f>
        <v>594.92628000000002</v>
      </c>
      <c r="E137" s="40">
        <v>0</v>
      </c>
      <c r="F137" s="40">
        <f>D137*(($F$128)+1)+(IF(E137&lt;101,E137,IF(E137&lt;201,E137/2,IF(E137&lt;=301,E137/3,E137/4))))</f>
        <v>922.13573400000007</v>
      </c>
      <c r="G137" s="176"/>
      <c r="H137" s="177"/>
      <c r="I137" s="66">
        <f>14700000/F155</f>
        <v>28643.469151077254</v>
      </c>
      <c r="L137" s="92"/>
      <c r="M137" s="92"/>
      <c r="N137" s="34"/>
    </row>
    <row r="138" spans="1:14" s="35" customFormat="1" ht="15.75" customHeight="1" x14ac:dyDescent="0.25">
      <c r="A138" s="40">
        <f t="shared" si="5"/>
        <v>4</v>
      </c>
      <c r="B138" s="68" t="s">
        <v>180</v>
      </c>
      <c r="C138" s="40" t="s">
        <v>175</v>
      </c>
      <c r="D138" s="49">
        <f>(37.52)*(10.764)</f>
        <v>403.86527999999998</v>
      </c>
      <c r="E138" s="40">
        <v>0</v>
      </c>
      <c r="F138" s="40">
        <f>D138*(($F$128)+1)+(IF(E138&lt;101,E138,IF(E138&lt;201,E138/2,IF(E138&lt;=301,E138/3,E138/4))))</f>
        <v>625.99118399999998</v>
      </c>
      <c r="G138" s="178"/>
      <c r="H138" s="179"/>
      <c r="I138" s="34"/>
      <c r="L138" s="92"/>
      <c r="M138" s="92"/>
      <c r="N138" s="34"/>
    </row>
    <row r="139" spans="1:14" s="35" customFormat="1" ht="15.75" customHeight="1" x14ac:dyDescent="0.25">
      <c r="A139" s="87" t="s">
        <v>177</v>
      </c>
      <c r="B139" s="88"/>
      <c r="C139" s="88"/>
      <c r="D139" s="88"/>
      <c r="E139" s="88"/>
      <c r="F139" s="88"/>
      <c r="G139" s="88"/>
      <c r="H139" s="89"/>
      <c r="I139" s="34"/>
      <c r="J139" s="35">
        <f>2.99*6.67+0.9*1.37+2.3*1.22+3.2*3.05+0.6*3.91+0.15*0.9+0.15*0.9+2.12*0.9+1.88*2.61+2.9*3.6</f>
        <v>53.613099999999996</v>
      </c>
      <c r="L139" s="92"/>
      <c r="M139" s="92"/>
      <c r="N139" s="34"/>
    </row>
    <row r="140" spans="1:14" s="35" customFormat="1" ht="15.75" customHeight="1" x14ac:dyDescent="0.25">
      <c r="A140" s="52">
        <v>1</v>
      </c>
      <c r="B140" s="52" t="s">
        <v>181</v>
      </c>
      <c r="C140" s="52" t="s">
        <v>175</v>
      </c>
      <c r="D140" s="49">
        <f>(30.76)*(10.764)</f>
        <v>331.10064</v>
      </c>
      <c r="E140" s="52">
        <v>0</v>
      </c>
      <c r="F140" s="52">
        <f>D140*(($F$128)+1)+(IF(E140&lt;101,E140,IF(E140&lt;201,E140/2,IF(E140&lt;=301,E140/3,E140/4))))</f>
        <v>513.20599200000004</v>
      </c>
      <c r="G140" s="174" t="str">
        <f>A139</f>
        <v>7th Floor (Part Refuge Area)</v>
      </c>
      <c r="H140" s="175"/>
      <c r="I140" s="34"/>
      <c r="L140" s="92"/>
      <c r="M140" s="92"/>
      <c r="N140" s="34"/>
    </row>
    <row r="141" spans="1:14" s="35" customFormat="1" ht="15.75" customHeight="1" x14ac:dyDescent="0.25">
      <c r="A141" s="52">
        <f t="shared" ref="A141" si="6">A140+1</f>
        <v>2</v>
      </c>
      <c r="B141" s="52" t="s">
        <v>223</v>
      </c>
      <c r="C141" s="52" t="s">
        <v>175</v>
      </c>
      <c r="D141" s="49">
        <f>(38.15)*(10.764)</f>
        <v>410.64659999999998</v>
      </c>
      <c r="E141" s="52">
        <v>0</v>
      </c>
      <c r="F141" s="52">
        <f>D141*(($F$128)+1)+(IF(E141&lt;101,E141,IF(E141&lt;201,E141/2,IF(E141&lt;=301,E141/3,E141/4))))</f>
        <v>636.50222999999994</v>
      </c>
      <c r="G141" s="176"/>
      <c r="H141" s="177"/>
      <c r="J141" s="34"/>
    </row>
    <row r="142" spans="1:14" s="35" customFormat="1" x14ac:dyDescent="0.25">
      <c r="A142" s="52" t="s">
        <v>198</v>
      </c>
      <c r="B142" s="85" t="s">
        <v>178</v>
      </c>
      <c r="C142" s="93"/>
      <c r="D142" s="93"/>
      <c r="E142" s="93"/>
      <c r="F142" s="86"/>
      <c r="G142" s="176"/>
      <c r="H142" s="177"/>
      <c r="I142" s="34">
        <f>15500000/F165</f>
        <v>21004.356051392788</v>
      </c>
      <c r="J142" s="35">
        <f>15500000/F165</f>
        <v>21004.356051392788</v>
      </c>
      <c r="K142" s="35">
        <f>D165*42000</f>
        <v>19995852.239999998</v>
      </c>
      <c r="L142" s="92">
        <f>K142/F165</f>
        <v>27096.774193548386</v>
      </c>
      <c r="M142" s="92"/>
      <c r="N142" s="34"/>
    </row>
    <row r="143" spans="1:14" s="35" customFormat="1" ht="15.75" customHeight="1" x14ac:dyDescent="0.25">
      <c r="A143" s="52">
        <v>4</v>
      </c>
      <c r="B143" s="68" t="s">
        <v>180</v>
      </c>
      <c r="C143" s="52" t="s">
        <v>175</v>
      </c>
      <c r="D143" s="49">
        <f>(44.91)*(10.764)</f>
        <v>483.41123999999991</v>
      </c>
      <c r="E143" s="52">
        <v>0</v>
      </c>
      <c r="F143" s="52">
        <f>D143*(($F$128)+1)+(IF(E143&lt;101,E143,IF(E143&lt;201,E143/2,IF(E143&lt;=301,E143/3,E143/4))))</f>
        <v>749.28742199999988</v>
      </c>
      <c r="G143" s="178"/>
      <c r="H143" s="179"/>
      <c r="I143" s="34"/>
      <c r="L143" s="92"/>
      <c r="M143" s="92"/>
      <c r="N143" s="34"/>
    </row>
    <row r="144" spans="1:14" s="35" customFormat="1" ht="15.75" customHeight="1" x14ac:dyDescent="0.25">
      <c r="A144" s="87" t="s">
        <v>227</v>
      </c>
      <c r="B144" s="88"/>
      <c r="C144" s="88"/>
      <c r="D144" s="88"/>
      <c r="E144" s="88"/>
      <c r="F144" s="88"/>
      <c r="G144" s="88"/>
      <c r="H144" s="89"/>
      <c r="I144" s="34"/>
      <c r="J144" s="35">
        <f>2.99*6.67+0.9*1.37+2.3*1.22+3.2*3.05+0.6*3.91+0.15*0.9+0.15*0.9+2.12*0.9+1.88*2.61+2.9*3.6</f>
        <v>53.613099999999996</v>
      </c>
      <c r="L144" s="92"/>
      <c r="M144" s="92"/>
      <c r="N144" s="34"/>
    </row>
    <row r="145" spans="1:14" s="35" customFormat="1" ht="15.75" customHeight="1" x14ac:dyDescent="0.25">
      <c r="A145" s="52">
        <v>1</v>
      </c>
      <c r="B145" s="68" t="s">
        <v>180</v>
      </c>
      <c r="C145" s="52" t="s">
        <v>175</v>
      </c>
      <c r="D145" s="49">
        <f>(30.76)*(10.764)</f>
        <v>331.10064</v>
      </c>
      <c r="E145" s="52">
        <v>0</v>
      </c>
      <c r="F145" s="52">
        <f>D145*(($F$128)+1)+(IF(E145&lt;101,E145,IF(E145&lt;201,E145/2,IF(E145&lt;=301,E145/3,E145/4))))</f>
        <v>513.20599200000004</v>
      </c>
      <c r="G145" s="174" t="str">
        <f>A144</f>
        <v>8th Floor</v>
      </c>
      <c r="H145" s="175"/>
      <c r="I145" s="34"/>
      <c r="L145" s="92"/>
      <c r="M145" s="92"/>
      <c r="N145" s="34"/>
    </row>
    <row r="146" spans="1:14" s="35" customFormat="1" ht="15.75" customHeight="1" x14ac:dyDescent="0.25">
      <c r="A146" s="52">
        <f t="shared" ref="A146:A148" si="7">A145+1</f>
        <v>2</v>
      </c>
      <c r="B146" s="52" t="s">
        <v>223</v>
      </c>
      <c r="C146" s="52" t="s">
        <v>175</v>
      </c>
      <c r="D146" s="49">
        <f>(38.15)*(10.764)</f>
        <v>410.64659999999998</v>
      </c>
      <c r="E146" s="52">
        <v>0</v>
      </c>
      <c r="F146" s="52">
        <f>D146*(($F$128)+1)+(IF(E146&lt;101,E146,IF(E146&lt;201,E146/2,IF(E146&lt;=301,E146/3,E146/4))))</f>
        <v>636.50222999999994</v>
      </c>
      <c r="G146" s="176"/>
      <c r="H146" s="177"/>
      <c r="J146" s="34"/>
    </row>
    <row r="147" spans="1:14" s="35" customFormat="1" x14ac:dyDescent="0.25">
      <c r="A147" s="52">
        <f t="shared" si="7"/>
        <v>3</v>
      </c>
      <c r="B147" s="68" t="s">
        <v>180</v>
      </c>
      <c r="C147" s="52" t="s">
        <v>176</v>
      </c>
      <c r="D147" s="49">
        <f>(55.27)*(10.764)</f>
        <v>594.92628000000002</v>
      </c>
      <c r="E147" s="52">
        <v>0</v>
      </c>
      <c r="F147" s="52">
        <f>D147*(($F$128)+1)+(IF(E147&lt;101,E147,IF(E147&lt;201,E147/2,IF(E147&lt;=301,E147/3,E147/4))))</f>
        <v>922.13573400000007</v>
      </c>
      <c r="G147" s="176"/>
      <c r="H147" s="177"/>
      <c r="J147" s="34"/>
    </row>
    <row r="148" spans="1:14" s="35" customFormat="1" x14ac:dyDescent="0.25">
      <c r="A148" s="52">
        <f t="shared" si="7"/>
        <v>4</v>
      </c>
      <c r="B148" s="68" t="s">
        <v>180</v>
      </c>
      <c r="C148" s="52" t="s">
        <v>175</v>
      </c>
      <c r="D148" s="49">
        <f>(37.52)*(10.764)</f>
        <v>403.86527999999998</v>
      </c>
      <c r="E148" s="52">
        <v>0</v>
      </c>
      <c r="F148" s="52">
        <f>D148*(($F$128)+1)+(IF(E148&lt;101,E148,IF(E148&lt;201,E148/2,IF(E148&lt;=301,E148/3,E148/4))))</f>
        <v>625.99118399999998</v>
      </c>
      <c r="G148" s="178"/>
      <c r="H148" s="179"/>
      <c r="I148" s="66">
        <f>18400000/F148</f>
        <v>29393.385195022172</v>
      </c>
      <c r="L148" s="92"/>
      <c r="M148" s="92"/>
      <c r="N148" s="34"/>
    </row>
    <row r="149" spans="1:14" s="35" customFormat="1" x14ac:dyDescent="0.25">
      <c r="A149" s="87" t="s">
        <v>228</v>
      </c>
      <c r="B149" s="88"/>
      <c r="C149" s="88"/>
      <c r="D149" s="88"/>
      <c r="E149" s="88"/>
      <c r="F149" s="88"/>
      <c r="G149" s="88"/>
      <c r="H149" s="89"/>
      <c r="I149" s="34"/>
      <c r="J149" s="35">
        <v>28000</v>
      </c>
      <c r="K149" s="35">
        <v>8600000</v>
      </c>
      <c r="L149" s="92"/>
      <c r="M149" s="92"/>
      <c r="N149" s="34"/>
    </row>
    <row r="150" spans="1:14" s="35" customFormat="1" x14ac:dyDescent="0.25">
      <c r="A150" s="52">
        <v>1</v>
      </c>
      <c r="B150" s="68" t="s">
        <v>180</v>
      </c>
      <c r="C150" s="52" t="s">
        <v>175</v>
      </c>
      <c r="D150" s="49">
        <f>(30.76)*(10.764)</f>
        <v>331.10064</v>
      </c>
      <c r="E150" s="52">
        <v>0</v>
      </c>
      <c r="F150" s="52">
        <f>D150*(($F$128)+1)+(IF(E150&lt;101,E150,IF(E150&lt;201,E150/2,IF(E150&lt;=301,E150/3,E150/4))))</f>
        <v>513.20599200000004</v>
      </c>
      <c r="G150" s="174" t="str">
        <f>A149</f>
        <v>11th to 13th &amp; 15th to 18th Floor</v>
      </c>
      <c r="H150" s="175"/>
      <c r="I150" s="34"/>
      <c r="J150" s="35">
        <f>$J$149*F150</f>
        <v>14369767.776000001</v>
      </c>
      <c r="K150" s="35">
        <f>J150+$K$149</f>
        <v>22969767.776000001</v>
      </c>
      <c r="L150" s="92"/>
      <c r="M150" s="92"/>
      <c r="N150" s="34"/>
    </row>
    <row r="151" spans="1:14" s="35" customFormat="1" x14ac:dyDescent="0.25">
      <c r="A151" s="52">
        <f t="shared" ref="A151:A153" si="8">A150+1</f>
        <v>2</v>
      </c>
      <c r="B151" s="52" t="s">
        <v>223</v>
      </c>
      <c r="C151" s="52" t="s">
        <v>175</v>
      </c>
      <c r="D151" s="49">
        <f>(38.15)*(10.764)</f>
        <v>410.64659999999998</v>
      </c>
      <c r="E151" s="52">
        <v>0</v>
      </c>
      <c r="F151" s="52">
        <f>D151*(($F$128)+1)+(IF(E151&lt;101,E151,IF(E151&lt;201,E151/2,IF(E151&lt;=301,E151/3,E151/4))))</f>
        <v>636.50222999999994</v>
      </c>
      <c r="G151" s="176"/>
      <c r="H151" s="177"/>
      <c r="I151" s="34">
        <f>3.35*2.6*(10.764)</f>
        <v>93.754440000000002</v>
      </c>
      <c r="J151" s="54">
        <f t="shared" ref="J151:J153" si="9">$J$149*F151</f>
        <v>17822062.439999998</v>
      </c>
      <c r="K151" s="54">
        <f t="shared" ref="K151:K153" si="10">J151+$K$149</f>
        <v>26422062.439999998</v>
      </c>
      <c r="L151" s="92"/>
      <c r="M151" s="92"/>
      <c r="N151" s="34"/>
    </row>
    <row r="152" spans="1:14" s="35" customFormat="1" x14ac:dyDescent="0.25">
      <c r="A152" s="52">
        <f t="shared" si="8"/>
        <v>3</v>
      </c>
      <c r="B152" s="68" t="s">
        <v>180</v>
      </c>
      <c r="C152" s="52" t="s">
        <v>176</v>
      </c>
      <c r="D152" s="49">
        <f>(55.27)*(10.764)</f>
        <v>594.92628000000002</v>
      </c>
      <c r="E152" s="52">
        <v>0</v>
      </c>
      <c r="F152" s="52">
        <f>D152*(($F$128)+1)+(IF(E152&lt;101,E152,IF(E152&lt;201,E152/2,IF(E152&lt;=301,E152/3,E152/4))))</f>
        <v>922.13573400000007</v>
      </c>
      <c r="G152" s="176"/>
      <c r="H152" s="177"/>
      <c r="I152" s="34"/>
      <c r="J152" s="54">
        <f t="shared" si="9"/>
        <v>25819800.552000001</v>
      </c>
      <c r="K152" s="54">
        <f t="shared" si="10"/>
        <v>34419800.552000001</v>
      </c>
      <c r="L152" s="92"/>
      <c r="M152" s="92"/>
    </row>
    <row r="153" spans="1:14" s="35" customFormat="1" x14ac:dyDescent="0.25">
      <c r="A153" s="52">
        <f t="shared" si="8"/>
        <v>4</v>
      </c>
      <c r="B153" s="68" t="s">
        <v>180</v>
      </c>
      <c r="C153" s="52" t="s">
        <v>175</v>
      </c>
      <c r="D153" s="49">
        <f>(37.52)*(10.764)</f>
        <v>403.86527999999998</v>
      </c>
      <c r="E153" s="52">
        <v>0</v>
      </c>
      <c r="F153" s="52">
        <f>D153*(($F$128)+1)+(IF(E153&lt;101,E153,IF(E153&lt;201,E153/2,IF(E153&lt;=301,E153/3,E153/4))))</f>
        <v>625.99118399999998</v>
      </c>
      <c r="G153" s="178"/>
      <c r="H153" s="179"/>
      <c r="I153" s="34"/>
      <c r="J153" s="54">
        <f t="shared" si="9"/>
        <v>17527753.151999999</v>
      </c>
      <c r="K153" s="54">
        <f t="shared" si="10"/>
        <v>26127753.151999999</v>
      </c>
      <c r="N153" s="34"/>
    </row>
    <row r="154" spans="1:14" s="35" customFormat="1" x14ac:dyDescent="0.25">
      <c r="A154" s="87" t="s">
        <v>229</v>
      </c>
      <c r="B154" s="88"/>
      <c r="C154" s="88"/>
      <c r="D154" s="88"/>
      <c r="E154" s="88"/>
      <c r="F154" s="88"/>
      <c r="G154" s="88"/>
      <c r="H154" s="89"/>
      <c r="I154" s="34"/>
      <c r="N154" s="34"/>
    </row>
    <row r="155" spans="1:14" s="35" customFormat="1" x14ac:dyDescent="0.25">
      <c r="A155" s="40">
        <v>1</v>
      </c>
      <c r="B155" s="68" t="s">
        <v>180</v>
      </c>
      <c r="C155" s="40" t="s">
        <v>175</v>
      </c>
      <c r="D155" s="49">
        <f>(30.76)*(10.764)</f>
        <v>331.10064</v>
      </c>
      <c r="E155" s="40">
        <v>0</v>
      </c>
      <c r="F155" s="40">
        <f>D155*(($F$128)+1)+(IF(E155&lt;101,E155,IF(E155&lt;201,E155/2,IF(E155&lt;=301,E155/3,E155/4))))</f>
        <v>513.20599200000004</v>
      </c>
      <c r="G155" s="174" t="str">
        <f>A154</f>
        <v>14th Floor (Part Refuge Area)</v>
      </c>
      <c r="H155" s="175"/>
      <c r="I155" s="34"/>
      <c r="N155" s="34"/>
    </row>
    <row r="156" spans="1:14" s="35" customFormat="1" x14ac:dyDescent="0.25">
      <c r="A156" s="40">
        <f t="shared" ref="A156" si="11">A155+1</f>
        <v>2</v>
      </c>
      <c r="B156" s="52" t="s">
        <v>223</v>
      </c>
      <c r="C156" s="40" t="s">
        <v>175</v>
      </c>
      <c r="D156" s="49">
        <f>(38.15)*(10.764)</f>
        <v>410.64659999999998</v>
      </c>
      <c r="E156" s="40">
        <v>0</v>
      </c>
      <c r="F156" s="40">
        <f>D156*(($F$128)+1)+(IF(E156&lt;101,E156,IF(E156&lt;201,E156/2,IF(E156&lt;=301,E156/3,E156/4))))</f>
        <v>636.50222999999994</v>
      </c>
      <c r="G156" s="176"/>
      <c r="H156" s="177"/>
      <c r="I156" s="34">
        <f>3.35*2.6*10.764</f>
        <v>93.754440000000002</v>
      </c>
      <c r="N156" s="34"/>
    </row>
    <row r="157" spans="1:14" s="35" customFormat="1" x14ac:dyDescent="0.25">
      <c r="A157" s="40" t="s">
        <v>198</v>
      </c>
      <c r="B157" s="180" t="s">
        <v>178</v>
      </c>
      <c r="C157" s="181"/>
      <c r="D157" s="181"/>
      <c r="E157" s="181"/>
      <c r="F157" s="182"/>
      <c r="G157" s="176"/>
      <c r="H157" s="177"/>
      <c r="I157" s="34"/>
      <c r="N157" s="34"/>
    </row>
    <row r="158" spans="1:14" s="35" customFormat="1" ht="15.75" customHeight="1" x14ac:dyDescent="0.25">
      <c r="A158" s="40">
        <v>4</v>
      </c>
      <c r="B158" s="69" t="s">
        <v>180</v>
      </c>
      <c r="C158" s="57" t="s">
        <v>176</v>
      </c>
      <c r="D158" s="58">
        <f>(52.01)*(10.764)</f>
        <v>559.8356399999999</v>
      </c>
      <c r="E158" s="57">
        <v>0</v>
      </c>
      <c r="F158" s="57">
        <f>D158*(($F$128)+1)+(IF(E158&lt;101,E158,IF(E158&lt;201,E158/2,IF(E158&lt;=301,E158/3,E158/4))))</f>
        <v>867.74524199999985</v>
      </c>
      <c r="G158" s="178"/>
      <c r="H158" s="179"/>
      <c r="I158" s="66">
        <f>24000000/F158</f>
        <v>27657.887175139364</v>
      </c>
    </row>
    <row r="159" spans="1:14" s="35" customFormat="1" x14ac:dyDescent="0.25">
      <c r="A159" s="87" t="s">
        <v>232</v>
      </c>
      <c r="B159" s="88"/>
      <c r="C159" s="88"/>
      <c r="D159" s="88"/>
      <c r="E159" s="88"/>
      <c r="F159" s="88"/>
      <c r="G159" s="88"/>
      <c r="H159" s="89"/>
      <c r="I159" s="34"/>
    </row>
    <row r="160" spans="1:14" x14ac:dyDescent="0.25">
      <c r="A160" s="52">
        <v>1</v>
      </c>
      <c r="B160" s="68" t="s">
        <v>180</v>
      </c>
      <c r="C160" s="52" t="s">
        <v>175</v>
      </c>
      <c r="D160" s="49">
        <f>(30.76)*(10.764)</f>
        <v>331.10064</v>
      </c>
      <c r="E160" s="52">
        <v>0</v>
      </c>
      <c r="F160" s="52">
        <f>D160*(($F$128)+1)+(IF(E160&lt;101,E160,IF(E160&lt;201,E160/2,IF(E160&lt;=301,E160/3,E160/4))))</f>
        <v>513.20599200000004</v>
      </c>
      <c r="G160" s="174" t="str">
        <f>A159</f>
        <v>19th Floor</v>
      </c>
      <c r="H160" s="175"/>
    </row>
    <row r="161" spans="1:8" x14ac:dyDescent="0.25">
      <c r="A161" s="52">
        <f t="shared" ref="A161:A163" si="12">A160+1</f>
        <v>2</v>
      </c>
      <c r="B161" s="68" t="s">
        <v>180</v>
      </c>
      <c r="C161" s="52" t="s">
        <v>175</v>
      </c>
      <c r="D161" s="49">
        <f>(38.15)*(10.764)</f>
        <v>410.64659999999998</v>
      </c>
      <c r="E161" s="52">
        <v>0</v>
      </c>
      <c r="F161" s="52">
        <f>D161*(($F$128)+1)+(IF(E161&lt;101,E161,IF(E161&lt;201,E161/2,IF(E161&lt;=301,E161/3,E161/4))))</f>
        <v>636.50222999999994</v>
      </c>
      <c r="G161" s="176"/>
      <c r="H161" s="177"/>
    </row>
    <row r="162" spans="1:8" x14ac:dyDescent="0.25">
      <c r="A162" s="52">
        <f t="shared" si="12"/>
        <v>3</v>
      </c>
      <c r="B162" s="68" t="s">
        <v>180</v>
      </c>
      <c r="C162" s="52" t="s">
        <v>176</v>
      </c>
      <c r="D162" s="49">
        <f>(55.27)*(10.764)</f>
        <v>594.92628000000002</v>
      </c>
      <c r="E162" s="52">
        <v>0</v>
      </c>
      <c r="F162" s="52">
        <f>D162*(($F$128)+1)+(IF(E162&lt;101,E162,IF(E162&lt;201,E162/2,IF(E162&lt;=301,E162/3,E162/4))))</f>
        <v>922.13573400000007</v>
      </c>
      <c r="G162" s="176"/>
      <c r="H162" s="177"/>
    </row>
    <row r="163" spans="1:8" x14ac:dyDescent="0.25">
      <c r="A163" s="52">
        <f t="shared" si="12"/>
        <v>4</v>
      </c>
      <c r="B163" s="68" t="s">
        <v>180</v>
      </c>
      <c r="C163" s="52" t="s">
        <v>175</v>
      </c>
      <c r="D163" s="49">
        <f>(37.52)*(10.764)</f>
        <v>403.86527999999998</v>
      </c>
      <c r="E163" s="52">
        <v>0</v>
      </c>
      <c r="F163" s="52">
        <f>D163*(($F$128)+1)+(IF(E163&lt;101,E163,IF(E163&lt;201,E163/2,IF(E163&lt;=301,E163/3,E163/4))))</f>
        <v>625.99118399999998</v>
      </c>
      <c r="G163" s="178"/>
      <c r="H163" s="179"/>
    </row>
    <row r="164" spans="1:8" x14ac:dyDescent="0.25">
      <c r="A164" s="87" t="s">
        <v>230</v>
      </c>
      <c r="B164" s="88"/>
      <c r="C164" s="88"/>
      <c r="D164" s="88"/>
      <c r="E164" s="88"/>
      <c r="F164" s="88"/>
      <c r="G164" s="88"/>
      <c r="H164" s="89"/>
    </row>
    <row r="165" spans="1:8" x14ac:dyDescent="0.25">
      <c r="A165" s="40">
        <v>1</v>
      </c>
      <c r="B165" s="68" t="s">
        <v>180</v>
      </c>
      <c r="C165" s="52" t="s">
        <v>176</v>
      </c>
      <c r="D165" s="49">
        <f>(44.23)*(10.764)</f>
        <v>476.09171999999995</v>
      </c>
      <c r="E165" s="40">
        <v>0</v>
      </c>
      <c r="F165" s="40">
        <f>D165*(($F$128)+1)+(IF(E165&lt;101,E165,IF(E165&lt;201,E165/2,IF(E165&lt;=301,E165/3,E165/4))))</f>
        <v>737.94216599999993</v>
      </c>
      <c r="G165" s="174" t="str">
        <f>A164</f>
        <v>20th Floor For Terrace Area, Society Office &amp; Fitness Center Area</v>
      </c>
      <c r="H165" s="175"/>
    </row>
    <row r="166" spans="1:8" x14ac:dyDescent="0.25">
      <c r="A166" s="40" t="s">
        <v>198</v>
      </c>
      <c r="B166" s="85" t="s">
        <v>231</v>
      </c>
      <c r="C166" s="93"/>
      <c r="D166" s="93"/>
      <c r="E166" s="93"/>
      <c r="F166" s="86"/>
      <c r="G166" s="176"/>
      <c r="H166" s="177"/>
    </row>
    <row r="167" spans="1:8" x14ac:dyDescent="0.25">
      <c r="A167" s="79" t="s">
        <v>66</v>
      </c>
      <c r="B167" s="79"/>
      <c r="C167" s="79"/>
      <c r="D167" s="79"/>
      <c r="E167" s="79"/>
      <c r="F167" s="79"/>
      <c r="G167" s="79"/>
      <c r="H167" s="79"/>
    </row>
    <row r="168" spans="1:8" x14ac:dyDescent="0.25">
      <c r="A168" s="43" t="s">
        <v>150</v>
      </c>
      <c r="B168" s="166" t="s">
        <v>233</v>
      </c>
      <c r="C168" s="167"/>
      <c r="D168" s="167"/>
      <c r="E168" s="167"/>
      <c r="F168" s="167"/>
      <c r="G168" s="167"/>
      <c r="H168" s="168"/>
    </row>
    <row r="169" spans="1:8" x14ac:dyDescent="0.25">
      <c r="A169" s="43" t="s">
        <v>150</v>
      </c>
      <c r="B169" s="163" t="str">
        <f>(IF(F127="Saleable area Loading :","We have considered Saleable area of Flats as per our Calculation.","We considered Saleable area of Flat as per Builder area Sheet."))</f>
        <v>We have considered Saleable area of Flats as per our Calculation.</v>
      </c>
      <c r="C169" s="164"/>
      <c r="D169" s="164"/>
      <c r="E169" s="164"/>
      <c r="F169" s="164"/>
      <c r="G169" s="164"/>
      <c r="H169" s="165"/>
    </row>
    <row r="170" spans="1:8" x14ac:dyDescent="0.25">
      <c r="A170" s="43" t="s">
        <v>150</v>
      </c>
      <c r="B170" s="163" t="str">
        <f>(IF(F114="Saleable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70" s="164"/>
      <c r="D170" s="164"/>
      <c r="E170" s="164"/>
      <c r="F170" s="164"/>
      <c r="G170" s="164"/>
      <c r="H170" s="165"/>
    </row>
    <row r="171" spans="1:8" ht="15" customHeight="1" x14ac:dyDescent="0.25">
      <c r="A171" s="43" t="s">
        <v>150</v>
      </c>
      <c r="B171" s="160" t="s">
        <v>121</v>
      </c>
      <c r="C171" s="161"/>
      <c r="D171" s="161"/>
      <c r="E171" s="161"/>
      <c r="F171" s="161"/>
      <c r="G171" s="161"/>
      <c r="H171" s="162"/>
    </row>
    <row r="172" spans="1:8" x14ac:dyDescent="0.25">
      <c r="A172" s="43" t="s">
        <v>150</v>
      </c>
      <c r="B172" s="160" t="s">
        <v>239</v>
      </c>
      <c r="C172" s="161"/>
      <c r="D172" s="161"/>
      <c r="E172" s="161"/>
      <c r="F172" s="161"/>
      <c r="G172" s="161"/>
      <c r="H172" s="162"/>
    </row>
    <row r="173" spans="1:8" x14ac:dyDescent="0.25">
      <c r="A173" s="43" t="s">
        <v>150</v>
      </c>
      <c r="B173" s="160" t="s">
        <v>149</v>
      </c>
      <c r="C173" s="161"/>
      <c r="D173" s="161"/>
      <c r="E173" s="161"/>
      <c r="F173" s="161"/>
      <c r="G173" s="161"/>
      <c r="H173" s="162"/>
    </row>
    <row r="174" spans="1:8" x14ac:dyDescent="0.25">
      <c r="A174" s="43" t="s">
        <v>150</v>
      </c>
      <c r="B174" s="160" t="s">
        <v>122</v>
      </c>
      <c r="C174" s="161"/>
      <c r="D174" s="161"/>
      <c r="E174" s="161"/>
      <c r="F174" s="161"/>
      <c r="G174" s="161"/>
      <c r="H174" s="162"/>
    </row>
    <row r="175" spans="1:8" ht="35.25" customHeight="1" x14ac:dyDescent="0.25">
      <c r="A175" s="43" t="s">
        <v>150</v>
      </c>
      <c r="B175" s="160" t="s">
        <v>151</v>
      </c>
      <c r="C175" s="161"/>
      <c r="D175" s="161"/>
      <c r="E175" s="161"/>
      <c r="F175" s="161"/>
      <c r="G175" s="161"/>
      <c r="H175" s="162"/>
    </row>
    <row r="176" spans="1:8" x14ac:dyDescent="0.25">
      <c r="A176" s="43" t="s">
        <v>150</v>
      </c>
      <c r="B176" s="160" t="s">
        <v>123</v>
      </c>
      <c r="C176" s="161"/>
      <c r="D176" s="161"/>
      <c r="E176" s="161"/>
      <c r="F176" s="161"/>
      <c r="G176" s="161"/>
      <c r="H176" s="162"/>
    </row>
    <row r="177" spans="1:8" x14ac:dyDescent="0.25">
      <c r="A177" s="43" t="s">
        <v>150</v>
      </c>
      <c r="B177" s="74" t="s">
        <v>211</v>
      </c>
      <c r="C177" s="75"/>
      <c r="D177" s="75"/>
      <c r="E177" s="75"/>
      <c r="F177" s="75"/>
      <c r="G177" s="75"/>
      <c r="H177" s="76"/>
    </row>
    <row r="178" spans="1:8" x14ac:dyDescent="0.25">
      <c r="A178" s="43" t="s">
        <v>150</v>
      </c>
      <c r="B178" s="74" t="s">
        <v>241</v>
      </c>
      <c r="C178" s="75"/>
      <c r="D178" s="75"/>
      <c r="E178" s="75"/>
      <c r="F178" s="75"/>
      <c r="G178" s="75"/>
      <c r="H178" s="76"/>
    </row>
    <row r="179" spans="1:8" x14ac:dyDescent="0.25">
      <c r="A179" s="53" t="s">
        <v>150</v>
      </c>
      <c r="B179" s="197" t="s">
        <v>259</v>
      </c>
      <c r="C179" s="198"/>
      <c r="D179" s="198"/>
      <c r="E179" s="198"/>
      <c r="F179" s="198"/>
      <c r="G179" s="198"/>
      <c r="H179" s="199"/>
    </row>
    <row r="180" spans="1:8" x14ac:dyDescent="0.25">
      <c r="A180" s="146" t="s">
        <v>59</v>
      </c>
      <c r="B180" s="146"/>
      <c r="C180" s="146"/>
      <c r="D180" s="146"/>
      <c r="E180" s="146"/>
      <c r="F180" s="146"/>
      <c r="G180" s="146"/>
      <c r="H180" s="146"/>
    </row>
    <row r="181" spans="1:8" x14ac:dyDescent="0.25">
      <c r="A181" s="70" t="s">
        <v>60</v>
      </c>
      <c r="B181" s="70"/>
      <c r="C181" s="70"/>
      <c r="D181" s="70"/>
      <c r="E181" s="70"/>
      <c r="F181" s="70"/>
      <c r="G181" s="70"/>
      <c r="H181" s="70"/>
    </row>
    <row r="182" spans="1:8" x14ac:dyDescent="0.25">
      <c r="A182" s="173" t="s">
        <v>61</v>
      </c>
      <c r="B182" s="173"/>
      <c r="C182" s="173"/>
      <c r="D182" s="173"/>
      <c r="E182" s="173"/>
      <c r="F182" s="173"/>
      <c r="G182" s="173"/>
      <c r="H182" s="173"/>
    </row>
    <row r="183" spans="1:8" x14ac:dyDescent="0.25">
      <c r="A183" s="70" t="s">
        <v>62</v>
      </c>
      <c r="B183" s="70"/>
      <c r="C183" s="70"/>
      <c r="D183" s="70"/>
      <c r="E183" s="70"/>
      <c r="F183" s="70"/>
      <c r="G183" s="70"/>
      <c r="H183" s="70"/>
    </row>
    <row r="184" spans="1:8" x14ac:dyDescent="0.25">
      <c r="A184" s="70" t="s">
        <v>63</v>
      </c>
      <c r="B184" s="70"/>
      <c r="C184" s="70"/>
      <c r="D184" s="70"/>
      <c r="E184" s="70"/>
      <c r="F184" s="70"/>
      <c r="G184" s="70"/>
      <c r="H184" s="70"/>
    </row>
    <row r="185" spans="1:8" x14ac:dyDescent="0.25">
      <c r="A185" s="70" t="s">
        <v>124</v>
      </c>
      <c r="B185" s="70"/>
      <c r="C185" s="70"/>
      <c r="D185" s="70"/>
      <c r="E185" s="70"/>
      <c r="F185" s="70"/>
      <c r="G185" s="70"/>
      <c r="H185" s="70"/>
    </row>
    <row r="186" spans="1:8" x14ac:dyDescent="0.25">
      <c r="A186" s="118" t="s">
        <v>125</v>
      </c>
      <c r="B186" s="118"/>
      <c r="C186" s="118"/>
      <c r="D186" s="118"/>
      <c r="E186" s="118"/>
      <c r="F186" s="118"/>
      <c r="G186" s="118"/>
      <c r="H186" s="118"/>
    </row>
    <row r="187" spans="1:8" x14ac:dyDescent="0.25">
      <c r="A187" s="158" t="s">
        <v>76</v>
      </c>
      <c r="B187" s="158"/>
      <c r="C187" s="158" t="s">
        <v>207</v>
      </c>
      <c r="D187" s="158"/>
      <c r="E187" s="158" t="s">
        <v>103</v>
      </c>
      <c r="F187" s="158"/>
      <c r="G187" s="158" t="s">
        <v>240</v>
      </c>
      <c r="H187" s="158"/>
    </row>
    <row r="188" spans="1:8" x14ac:dyDescent="0.25">
      <c r="A188" s="157" t="s">
        <v>78</v>
      </c>
      <c r="B188" s="157"/>
      <c r="C188" s="157"/>
      <c r="D188" s="157"/>
      <c r="E188" s="157"/>
      <c r="F188" s="157"/>
      <c r="G188" s="157"/>
      <c r="H188" s="157"/>
    </row>
    <row r="189" spans="1:8" x14ac:dyDescent="0.25">
      <c r="A189" s="157"/>
      <c r="B189" s="157"/>
      <c r="C189" s="157"/>
      <c r="D189" s="157"/>
      <c r="E189" s="157"/>
      <c r="F189" s="157"/>
      <c r="G189" s="157"/>
      <c r="H189" s="157"/>
    </row>
    <row r="190" spans="1:8" x14ac:dyDescent="0.25">
      <c r="A190" s="157"/>
      <c r="B190" s="157"/>
      <c r="C190" s="157"/>
      <c r="D190" s="157"/>
      <c r="E190" s="157"/>
      <c r="F190" s="157"/>
      <c r="G190" s="157"/>
      <c r="H190" s="157"/>
    </row>
    <row r="191" spans="1:8" x14ac:dyDescent="0.25">
      <c r="A191" s="157"/>
      <c r="B191" s="157"/>
      <c r="C191" s="157"/>
      <c r="D191" s="157"/>
      <c r="E191" s="157"/>
      <c r="F191" s="157"/>
      <c r="G191" s="157"/>
      <c r="H191" s="157"/>
    </row>
    <row r="192" spans="1:8" x14ac:dyDescent="0.25">
      <c r="A192" s="36" t="s">
        <v>64</v>
      </c>
      <c r="B192" s="37"/>
      <c r="C192" s="37"/>
      <c r="D192" s="36" t="str">
        <f>E9</f>
        <v>Suraj Eterna</v>
      </c>
      <c r="F192" s="37"/>
      <c r="G192" s="37"/>
      <c r="H192" s="37"/>
    </row>
    <row r="193" spans="1:8" x14ac:dyDescent="0.25">
      <c r="A193" s="37"/>
      <c r="B193" s="37"/>
      <c r="C193" s="37"/>
      <c r="D193" s="37"/>
      <c r="E193" s="37"/>
      <c r="F193" s="37"/>
      <c r="G193" s="37"/>
      <c r="H193" s="37"/>
    </row>
    <row r="194" spans="1:8" x14ac:dyDescent="0.25">
      <c r="A194" s="37"/>
      <c r="B194" s="37"/>
      <c r="C194" s="37"/>
      <c r="D194" s="37"/>
      <c r="E194" s="37"/>
      <c r="F194" s="37"/>
      <c r="G194" s="37"/>
      <c r="H194" s="37"/>
    </row>
    <row r="234" spans="1:9" x14ac:dyDescent="0.25">
      <c r="A234" s="39" t="s">
        <v>194</v>
      </c>
      <c r="I234"/>
    </row>
    <row r="276" spans="1:1" x14ac:dyDescent="0.25">
      <c r="A276" s="39" t="s">
        <v>65</v>
      </c>
    </row>
  </sheetData>
  <mergeCells count="346">
    <mergeCell ref="B179:H179"/>
    <mergeCell ref="D63:E63"/>
    <mergeCell ref="F63:H63"/>
    <mergeCell ref="E77:F86"/>
    <mergeCell ref="A154:H154"/>
    <mergeCell ref="A83:B83"/>
    <mergeCell ref="A76:B76"/>
    <mergeCell ref="A79:B79"/>
    <mergeCell ref="A75:B75"/>
    <mergeCell ref="A114:A115"/>
    <mergeCell ref="C127:C128"/>
    <mergeCell ref="C110:D110"/>
    <mergeCell ref="F95:H95"/>
    <mergeCell ref="E101:F101"/>
    <mergeCell ref="A101:B101"/>
    <mergeCell ref="A116:H116"/>
    <mergeCell ref="A119:H119"/>
    <mergeCell ref="D72:H72"/>
    <mergeCell ref="A70:C70"/>
    <mergeCell ref="D70:H70"/>
    <mergeCell ref="A71:C71"/>
    <mergeCell ref="D71:H71"/>
    <mergeCell ref="A77:B77"/>
    <mergeCell ref="G76:H76"/>
    <mergeCell ref="B166:F166"/>
    <mergeCell ref="A159:H159"/>
    <mergeCell ref="G160:H163"/>
    <mergeCell ref="A109:B109"/>
    <mergeCell ref="C109:D109"/>
    <mergeCell ref="E109:F109"/>
    <mergeCell ref="G109:H109"/>
    <mergeCell ref="B157:F157"/>
    <mergeCell ref="A139:H139"/>
    <mergeCell ref="G140:H143"/>
    <mergeCell ref="B142:F142"/>
    <mergeCell ref="G77:H86"/>
    <mergeCell ref="A85:B85"/>
    <mergeCell ref="A86:B86"/>
    <mergeCell ref="C39:H39"/>
    <mergeCell ref="A103:B103"/>
    <mergeCell ref="C103:D103"/>
    <mergeCell ref="E103:F103"/>
    <mergeCell ref="G103:H103"/>
    <mergeCell ref="A111:B111"/>
    <mergeCell ref="C111:D111"/>
    <mergeCell ref="E111:F111"/>
    <mergeCell ref="G111:H111"/>
    <mergeCell ref="A58:B59"/>
    <mergeCell ref="C58:E58"/>
    <mergeCell ref="G58:H58"/>
    <mergeCell ref="C59:H59"/>
    <mergeCell ref="C54:E54"/>
    <mergeCell ref="G54:H54"/>
    <mergeCell ref="C55:E55"/>
    <mergeCell ref="G55:H55"/>
    <mergeCell ref="C75:H75"/>
    <mergeCell ref="A78:B78"/>
    <mergeCell ref="A80:B80"/>
    <mergeCell ref="E76:F76"/>
    <mergeCell ref="A69:C69"/>
    <mergeCell ref="D69:H69"/>
    <mergeCell ref="A72:C72"/>
    <mergeCell ref="A185:H185"/>
    <mergeCell ref="A182:H182"/>
    <mergeCell ref="A105:B105"/>
    <mergeCell ref="D127:D128"/>
    <mergeCell ref="E127:E128"/>
    <mergeCell ref="G127:H128"/>
    <mergeCell ref="A82:B82"/>
    <mergeCell ref="F88:H88"/>
    <mergeCell ref="G102:H102"/>
    <mergeCell ref="G130:H133"/>
    <mergeCell ref="G135:H138"/>
    <mergeCell ref="G155:H158"/>
    <mergeCell ref="G165:H166"/>
    <mergeCell ref="A144:H144"/>
    <mergeCell ref="G145:H148"/>
    <mergeCell ref="A149:H149"/>
    <mergeCell ref="G150:H153"/>
    <mergeCell ref="B174:H174"/>
    <mergeCell ref="B170:H170"/>
    <mergeCell ref="B172:H172"/>
    <mergeCell ref="B168:H168"/>
    <mergeCell ref="B169:H169"/>
    <mergeCell ref="B173:H173"/>
    <mergeCell ref="B171:H171"/>
    <mergeCell ref="L145:M145"/>
    <mergeCell ref="E43:H43"/>
    <mergeCell ref="A43:D43"/>
    <mergeCell ref="A50:B50"/>
    <mergeCell ref="C50:E50"/>
    <mergeCell ref="C53:E53"/>
    <mergeCell ref="G53:H53"/>
    <mergeCell ref="G50:H50"/>
    <mergeCell ref="G52:H52"/>
    <mergeCell ref="E110:F110"/>
    <mergeCell ref="G110:H110"/>
    <mergeCell ref="A112:H112"/>
    <mergeCell ref="D62:H62"/>
    <mergeCell ref="C52:E52"/>
    <mergeCell ref="A65:C65"/>
    <mergeCell ref="A68:C68"/>
    <mergeCell ref="D68:H68"/>
    <mergeCell ref="A188:H191"/>
    <mergeCell ref="A187:B187"/>
    <mergeCell ref="E187:F187"/>
    <mergeCell ref="C187:D187"/>
    <mergeCell ref="G187:H187"/>
    <mergeCell ref="A100:H100"/>
    <mergeCell ref="A98:E98"/>
    <mergeCell ref="F98:H98"/>
    <mergeCell ref="A99:E99"/>
    <mergeCell ref="F99:H99"/>
    <mergeCell ref="A107:B107"/>
    <mergeCell ref="A102:B102"/>
    <mergeCell ref="A183:H183"/>
    <mergeCell ref="A104:H104"/>
    <mergeCell ref="A186:H186"/>
    <mergeCell ref="A184:H184"/>
    <mergeCell ref="A180:H180"/>
    <mergeCell ref="A181:H181"/>
    <mergeCell ref="E105:F105"/>
    <mergeCell ref="B176:H176"/>
    <mergeCell ref="G124:H124"/>
    <mergeCell ref="G122:H122"/>
    <mergeCell ref="A164:H164"/>
    <mergeCell ref="B175:H175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9:D9"/>
    <mergeCell ref="E9:H9"/>
    <mergeCell ref="A12:D12"/>
    <mergeCell ref="E12:H12"/>
    <mergeCell ref="A5:D5"/>
    <mergeCell ref="E5:H5"/>
    <mergeCell ref="A6:D6"/>
    <mergeCell ref="E6:H6"/>
    <mergeCell ref="A7:D7"/>
    <mergeCell ref="E7:H7"/>
    <mergeCell ref="A17:B17"/>
    <mergeCell ref="A14:D14"/>
    <mergeCell ref="E14:H14"/>
    <mergeCell ref="A15:D15"/>
    <mergeCell ref="A11:D11"/>
    <mergeCell ref="E11:H11"/>
    <mergeCell ref="E15:H15"/>
    <mergeCell ref="A16:B16"/>
    <mergeCell ref="C16:H16"/>
    <mergeCell ref="C17:H17"/>
    <mergeCell ref="A13:D13"/>
    <mergeCell ref="E13:H13"/>
    <mergeCell ref="A18:B18"/>
    <mergeCell ref="C18:H18"/>
    <mergeCell ref="A25:D25"/>
    <mergeCell ref="E25:H25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22:B22"/>
    <mergeCell ref="C22:D22"/>
    <mergeCell ref="E22:F22"/>
    <mergeCell ref="G22:H22"/>
    <mergeCell ref="E27:H27"/>
    <mergeCell ref="A29:D29"/>
    <mergeCell ref="E29:H29"/>
    <mergeCell ref="A26:D26"/>
    <mergeCell ref="E26:H26"/>
    <mergeCell ref="A30:D30"/>
    <mergeCell ref="E30:H30"/>
    <mergeCell ref="A27:D27"/>
    <mergeCell ref="A23:D24"/>
    <mergeCell ref="E23:H24"/>
    <mergeCell ref="A36:B36"/>
    <mergeCell ref="C36:E36"/>
    <mergeCell ref="A31:D31"/>
    <mergeCell ref="E31:H31"/>
    <mergeCell ref="A32:D32"/>
    <mergeCell ref="E32:H32"/>
    <mergeCell ref="A28:D28"/>
    <mergeCell ref="E28:H28"/>
    <mergeCell ref="C33:E33"/>
    <mergeCell ref="F36:H36"/>
    <mergeCell ref="F33:H33"/>
    <mergeCell ref="A34:B34"/>
    <mergeCell ref="A33:B33"/>
    <mergeCell ref="C34:E34"/>
    <mergeCell ref="A35:B35"/>
    <mergeCell ref="C35:E35"/>
    <mergeCell ref="A38:H38"/>
    <mergeCell ref="A37:B37"/>
    <mergeCell ref="C37:E37"/>
    <mergeCell ref="F34:H34"/>
    <mergeCell ref="F35:H35"/>
    <mergeCell ref="A41:H41"/>
    <mergeCell ref="A66:C66"/>
    <mergeCell ref="A67:C67"/>
    <mergeCell ref="D66:H66"/>
    <mergeCell ref="F37:H37"/>
    <mergeCell ref="A39:B39"/>
    <mergeCell ref="A40:B40"/>
    <mergeCell ref="C40:H40"/>
    <mergeCell ref="A42:D42"/>
    <mergeCell ref="E42:H42"/>
    <mergeCell ref="D65:H65"/>
    <mergeCell ref="C51:E51"/>
    <mergeCell ref="A60:B60"/>
    <mergeCell ref="C60:E60"/>
    <mergeCell ref="A51:B51"/>
    <mergeCell ref="A61:H61"/>
    <mergeCell ref="D67:H67"/>
    <mergeCell ref="A44:D44"/>
    <mergeCell ref="E44:H44"/>
    <mergeCell ref="E45:H45"/>
    <mergeCell ref="E46:H46"/>
    <mergeCell ref="E47:H47"/>
    <mergeCell ref="A45:D45"/>
    <mergeCell ref="A46:D46"/>
    <mergeCell ref="A47:D47"/>
    <mergeCell ref="A48:H48"/>
    <mergeCell ref="D64:H64"/>
    <mergeCell ref="A64:C64"/>
    <mergeCell ref="G51:H51"/>
    <mergeCell ref="A52:B53"/>
    <mergeCell ref="A62:C62"/>
    <mergeCell ref="A63:C63"/>
    <mergeCell ref="G60:H60"/>
    <mergeCell ref="A56:B57"/>
    <mergeCell ref="C56:E56"/>
    <mergeCell ref="G56:H56"/>
    <mergeCell ref="C57:E57"/>
    <mergeCell ref="G57:H57"/>
    <mergeCell ref="A54:B55"/>
    <mergeCell ref="A49:B49"/>
    <mergeCell ref="C49:H49"/>
    <mergeCell ref="A73:B73"/>
    <mergeCell ref="C73:H73"/>
    <mergeCell ref="L122:M122"/>
    <mergeCell ref="L121:M121"/>
    <mergeCell ref="L120:M120"/>
    <mergeCell ref="L119:M119"/>
    <mergeCell ref="A84:B84"/>
    <mergeCell ref="C107:D107"/>
    <mergeCell ref="E107:F107"/>
    <mergeCell ref="G107:H107"/>
    <mergeCell ref="A88:E88"/>
    <mergeCell ref="A121:H121"/>
    <mergeCell ref="E114:E115"/>
    <mergeCell ref="G114:H115"/>
    <mergeCell ref="F87:H87"/>
    <mergeCell ref="F92:H92"/>
    <mergeCell ref="A93:E93"/>
    <mergeCell ref="F93:H93"/>
    <mergeCell ref="F90:H90"/>
    <mergeCell ref="A97:E97"/>
    <mergeCell ref="A90:E90"/>
    <mergeCell ref="A87:E87"/>
    <mergeCell ref="G120:H120"/>
    <mergeCell ref="C106:D106"/>
    <mergeCell ref="A94:E94"/>
    <mergeCell ref="C102:D102"/>
    <mergeCell ref="E102:F102"/>
    <mergeCell ref="L115:M115"/>
    <mergeCell ref="L117:M117"/>
    <mergeCell ref="L140:M140"/>
    <mergeCell ref="L142:M142"/>
    <mergeCell ref="L143:M143"/>
    <mergeCell ref="L144:M144"/>
    <mergeCell ref="A106:B106"/>
    <mergeCell ref="F97:H97"/>
    <mergeCell ref="C101:D101"/>
    <mergeCell ref="F96:H96"/>
    <mergeCell ref="F94:H94"/>
    <mergeCell ref="A113:H113"/>
    <mergeCell ref="G101:H101"/>
    <mergeCell ref="A95:E95"/>
    <mergeCell ref="A134:H134"/>
    <mergeCell ref="A110:B110"/>
    <mergeCell ref="B114:B115"/>
    <mergeCell ref="C114:C115"/>
    <mergeCell ref="E106:F106"/>
    <mergeCell ref="G106:H106"/>
    <mergeCell ref="A122:B122"/>
    <mergeCell ref="A123:B123"/>
    <mergeCell ref="A124:B124"/>
    <mergeCell ref="A125:B125"/>
    <mergeCell ref="A92:E92"/>
    <mergeCell ref="L152:M152"/>
    <mergeCell ref="A126:H126"/>
    <mergeCell ref="A127:A128"/>
    <mergeCell ref="L132:M132"/>
    <mergeCell ref="L133:M133"/>
    <mergeCell ref="L134:M134"/>
    <mergeCell ref="L135:M135"/>
    <mergeCell ref="L127:M127"/>
    <mergeCell ref="L128:M128"/>
    <mergeCell ref="L129:M129"/>
    <mergeCell ref="L130:M130"/>
    <mergeCell ref="L137:M137"/>
    <mergeCell ref="L138:M138"/>
    <mergeCell ref="L139:M139"/>
    <mergeCell ref="B127:B128"/>
    <mergeCell ref="L151:M151"/>
    <mergeCell ref="L148:M148"/>
    <mergeCell ref="L149:M149"/>
    <mergeCell ref="L150:M150"/>
    <mergeCell ref="I93:M93"/>
    <mergeCell ref="N93:P93"/>
    <mergeCell ref="I11:N12"/>
    <mergeCell ref="B178:H178"/>
    <mergeCell ref="B177:H177"/>
    <mergeCell ref="A81:B81"/>
    <mergeCell ref="A167:H167"/>
    <mergeCell ref="A108:B108"/>
    <mergeCell ref="C108:D108"/>
    <mergeCell ref="E108:F108"/>
    <mergeCell ref="G108:H108"/>
    <mergeCell ref="F91:H91"/>
    <mergeCell ref="A96:E96"/>
    <mergeCell ref="C105:D105"/>
    <mergeCell ref="G105:H105"/>
    <mergeCell ref="G123:H123"/>
    <mergeCell ref="G125:H125"/>
    <mergeCell ref="A117:H117"/>
    <mergeCell ref="G118:H118"/>
    <mergeCell ref="A129:H129"/>
    <mergeCell ref="F89:H89"/>
    <mergeCell ref="A89:E89"/>
    <mergeCell ref="D114:D115"/>
    <mergeCell ref="A91:E91"/>
  </mergeCells>
  <hyperlinks>
    <hyperlink ref="C40" r:id="rId1"/>
    <hyperlink ref="I69" r:id="rId2"/>
  </hyperlinks>
  <printOptions horizontalCentered="1"/>
  <pageMargins left="0.39370078740157483" right="0.39370078740157483" top="0.82677165354330717" bottom="0.78740157480314965" header="0.15748031496062992" footer="0.19685039370078741"/>
  <pageSetup paperSize="9" scale="97" fitToHeight="0" orientation="portrait" r:id="rId3"/>
  <headerFooter>
    <oddHeader>&amp;C&amp;G</oddHeader>
    <oddFooter>&amp;L&amp;"Times New Roman,Bold"&amp;12Ref No: &amp;F&amp;C&amp;G&amp;R&amp;"Times New Roman,Bold"&amp;12&amp;P</oddFooter>
  </headerFooter>
  <rowBreaks count="6" manualBreakCount="6">
    <brk id="40" max="7" man="1"/>
    <brk id="111" max="7" man="1"/>
    <brk id="158" max="7" man="1"/>
    <brk id="191" max="7" man="1"/>
    <brk id="233" max="7" man="1"/>
    <brk id="275" max="7" man="1"/>
  </rowBreaks>
  <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100" zoomScale="85" zoomScaleNormal="85" workbookViewId="0">
      <selection activeCell="B64" sqref="B64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04" t="s">
        <v>104</v>
      </c>
      <c r="C3" s="204"/>
      <c r="D3" s="204"/>
      <c r="E3" s="204"/>
      <c r="F3" s="204"/>
      <c r="G3" s="204"/>
      <c r="H3" s="204"/>
    </row>
    <row r="4" spans="1:9" x14ac:dyDescent="0.25">
      <c r="A4" s="2"/>
      <c r="B4" s="3" t="s">
        <v>105</v>
      </c>
      <c r="C4" s="3" t="s">
        <v>106</v>
      </c>
      <c r="D4" s="3" t="s">
        <v>67</v>
      </c>
      <c r="E4" s="3" t="s">
        <v>107</v>
      </c>
      <c r="F4" s="3" t="s">
        <v>113</v>
      </c>
      <c r="G4" s="3" t="s">
        <v>114</v>
      </c>
      <c r="H4" s="3" t="s">
        <v>108</v>
      </c>
    </row>
    <row r="5" spans="1:9" ht="15" customHeight="1" x14ac:dyDescent="0.25">
      <c r="A5" s="2"/>
      <c r="B5" s="5" t="s">
        <v>109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109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109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109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109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110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110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111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112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VSJC-06</cp:lastModifiedBy>
  <cp:lastPrinted>2025-10-03T07:38:59Z</cp:lastPrinted>
  <dcterms:created xsi:type="dcterms:W3CDTF">2019-07-16T09:29:46Z</dcterms:created>
  <dcterms:modified xsi:type="dcterms:W3CDTF">2025-10-03T07:46:44Z</dcterms:modified>
</cp:coreProperties>
</file>