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Oct 25\Old\"/>
    </mc:Choice>
  </mc:AlternateContent>
  <bookViews>
    <workbookView xWindow="0" yWindow="0" windowWidth="20490" windowHeight="7755"/>
  </bookViews>
  <sheets>
    <sheet name="Report" sheetId="1" r:id="rId1"/>
    <sheet name="C%" sheetId="4" r:id="rId2"/>
  </sheets>
  <definedNames>
    <definedName name="_xlnm.Print_Area" localSheetId="0">Report!$A$1:$H$423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6" i="1" l="1"/>
  <c r="A275" i="1"/>
  <c r="G28" i="1" l="1"/>
  <c r="I160" i="1" l="1"/>
  <c r="I156" i="1"/>
  <c r="I150" i="1"/>
  <c r="I147" i="1"/>
  <c r="E207" i="1"/>
  <c r="E206" i="1"/>
  <c r="E205" i="1"/>
  <c r="E204" i="1"/>
  <c r="E203" i="1"/>
  <c r="E202" i="1"/>
  <c r="E201" i="1"/>
  <c r="E200" i="1"/>
  <c r="E199" i="1"/>
  <c r="E198" i="1"/>
  <c r="E197" i="1"/>
  <c r="D207" i="1"/>
  <c r="D206" i="1"/>
  <c r="D205" i="1"/>
  <c r="D204" i="1"/>
  <c r="D203" i="1"/>
  <c r="D202" i="1"/>
  <c r="D201" i="1"/>
  <c r="D200" i="1"/>
  <c r="D199" i="1"/>
  <c r="D198" i="1"/>
  <c r="D197" i="1"/>
  <c r="A198" i="1"/>
  <c r="A199" i="1" s="1"/>
  <c r="A200" i="1" s="1"/>
  <c r="A201" i="1" s="1"/>
  <c r="A202" i="1" s="1"/>
  <c r="A203" i="1" s="1"/>
  <c r="A204" i="1" s="1"/>
  <c r="A205" i="1" s="1"/>
  <c r="A206" i="1" s="1"/>
  <c r="A207" i="1" s="1"/>
  <c r="E195" i="1"/>
  <c r="E194" i="1"/>
  <c r="E193" i="1"/>
  <c r="E192" i="1"/>
  <c r="E191" i="1"/>
  <c r="E190" i="1"/>
  <c r="E189" i="1"/>
  <c r="E188" i="1"/>
  <c r="E187" i="1"/>
  <c r="E186" i="1"/>
  <c r="E185" i="1"/>
  <c r="D195" i="1"/>
  <c r="D194" i="1"/>
  <c r="D193" i="1"/>
  <c r="F193" i="1" s="1"/>
  <c r="H193" i="1" s="1"/>
  <c r="D192" i="1"/>
  <c r="D191" i="1"/>
  <c r="D190" i="1"/>
  <c r="D189" i="1"/>
  <c r="D188" i="1"/>
  <c r="D187" i="1"/>
  <c r="D186" i="1"/>
  <c r="D185" i="1"/>
  <c r="A186" i="1"/>
  <c r="A187" i="1" s="1"/>
  <c r="A188" i="1" s="1"/>
  <c r="A189" i="1" s="1"/>
  <c r="A190" i="1" s="1"/>
  <c r="A191" i="1" s="1"/>
  <c r="A192" i="1" s="1"/>
  <c r="A193" i="1" s="1"/>
  <c r="A194" i="1" s="1"/>
  <c r="A195" i="1" s="1"/>
  <c r="D183" i="1"/>
  <c r="F183" i="1" s="1"/>
  <c r="H183" i="1" s="1"/>
  <c r="D182" i="1"/>
  <c r="F182" i="1" s="1"/>
  <c r="H182" i="1" s="1"/>
  <c r="A183" i="1"/>
  <c r="I138" i="1"/>
  <c r="I128" i="1"/>
  <c r="I130" i="1"/>
  <c r="D141" i="1"/>
  <c r="F141" i="1" s="1"/>
  <c r="H141" i="1" s="1"/>
  <c r="D140" i="1"/>
  <c r="F140" i="1" s="1"/>
  <c r="H140" i="1" s="1"/>
  <c r="D139" i="1"/>
  <c r="F139" i="1" s="1"/>
  <c r="H139" i="1" s="1"/>
  <c r="D138" i="1"/>
  <c r="D137" i="1"/>
  <c r="D136" i="1"/>
  <c r="D135" i="1"/>
  <c r="D134" i="1"/>
  <c r="D133" i="1"/>
  <c r="D132" i="1"/>
  <c r="D131" i="1"/>
  <c r="D130" i="1"/>
  <c r="D129" i="1"/>
  <c r="D128" i="1"/>
  <c r="D127" i="1"/>
  <c r="E179" i="1"/>
  <c r="D179" i="1"/>
  <c r="E178" i="1"/>
  <c r="D178" i="1"/>
  <c r="E177" i="1"/>
  <c r="D177" i="1"/>
  <c r="E176" i="1"/>
  <c r="D176" i="1"/>
  <c r="A177" i="1"/>
  <c r="A178" i="1" s="1"/>
  <c r="A179" i="1" s="1"/>
  <c r="D174" i="1"/>
  <c r="F174" i="1" s="1"/>
  <c r="H174" i="1" s="1"/>
  <c r="D173" i="1"/>
  <c r="F173" i="1" s="1"/>
  <c r="H173" i="1" s="1"/>
  <c r="A174" i="1"/>
  <c r="E170" i="1"/>
  <c r="E169" i="1"/>
  <c r="E167" i="1"/>
  <c r="E166" i="1"/>
  <c r="E165" i="1"/>
  <c r="E164" i="1"/>
  <c r="E163" i="1"/>
  <c r="F170" i="1"/>
  <c r="H170" i="1" s="1"/>
  <c r="D170" i="1"/>
  <c r="D169" i="1"/>
  <c r="F169" i="1" s="1"/>
  <c r="H169" i="1" s="1"/>
  <c r="J169" i="1" s="1"/>
  <c r="D168" i="1"/>
  <c r="F168" i="1" s="1"/>
  <c r="H168" i="1" s="1"/>
  <c r="D167" i="1"/>
  <c r="D166" i="1"/>
  <c r="D165" i="1"/>
  <c r="D164" i="1"/>
  <c r="D163" i="1"/>
  <c r="A164" i="1"/>
  <c r="A165" i="1" s="1"/>
  <c r="A166" i="1" s="1"/>
  <c r="A167" i="1" s="1"/>
  <c r="A168" i="1" s="1"/>
  <c r="A169" i="1" s="1"/>
  <c r="A170" i="1" s="1"/>
  <c r="D161" i="1"/>
  <c r="F161" i="1" s="1"/>
  <c r="H161" i="1" s="1"/>
  <c r="D160" i="1"/>
  <c r="F160" i="1" s="1"/>
  <c r="H160" i="1" s="1"/>
  <c r="D159" i="1"/>
  <c r="F159" i="1" s="1"/>
  <c r="H159" i="1" s="1"/>
  <c r="D158" i="1"/>
  <c r="F158" i="1" s="1"/>
  <c r="H158" i="1" s="1"/>
  <c r="D157" i="1"/>
  <c r="D156" i="1"/>
  <c r="F156" i="1" s="1"/>
  <c r="H156" i="1" s="1"/>
  <c r="A157" i="1"/>
  <c r="A158" i="1" s="1"/>
  <c r="A159" i="1" s="1"/>
  <c r="A160" i="1" s="1"/>
  <c r="A161" i="1" s="1"/>
  <c r="E153" i="1"/>
  <c r="E152" i="1"/>
  <c r="E151" i="1"/>
  <c r="E150" i="1"/>
  <c r="D153" i="1"/>
  <c r="D152" i="1"/>
  <c r="D151" i="1"/>
  <c r="D150" i="1"/>
  <c r="F167" i="1" l="1"/>
  <c r="H167" i="1" s="1"/>
  <c r="F203" i="1"/>
  <c r="H203" i="1" s="1"/>
  <c r="F195" i="1"/>
  <c r="H195" i="1" s="1"/>
  <c r="F202" i="1"/>
  <c r="H202" i="1" s="1"/>
  <c r="F192" i="1"/>
  <c r="H192" i="1" s="1"/>
  <c r="F189" i="1"/>
  <c r="H189" i="1" s="1"/>
  <c r="F197" i="1"/>
  <c r="H197" i="1" s="1"/>
  <c r="F205" i="1"/>
  <c r="H205" i="1" s="1"/>
  <c r="F166" i="1"/>
  <c r="H166" i="1" s="1"/>
  <c r="F201" i="1"/>
  <c r="H201" i="1" s="1"/>
  <c r="F187" i="1"/>
  <c r="H187" i="1" s="1"/>
  <c r="F198" i="1"/>
  <c r="H198" i="1" s="1"/>
  <c r="F206" i="1"/>
  <c r="H206" i="1" s="1"/>
  <c r="F165" i="1"/>
  <c r="H165" i="1" s="1"/>
  <c r="F164" i="1"/>
  <c r="H164" i="1" s="1"/>
  <c r="F176" i="1"/>
  <c r="H176" i="1" s="1"/>
  <c r="F178" i="1"/>
  <c r="H178" i="1" s="1"/>
  <c r="F199" i="1"/>
  <c r="H199" i="1" s="1"/>
  <c r="F207" i="1"/>
  <c r="H207" i="1" s="1"/>
  <c r="C116" i="1"/>
  <c r="F163" i="1"/>
  <c r="H163" i="1" s="1"/>
  <c r="F177" i="1"/>
  <c r="H177" i="1" s="1"/>
  <c r="F179" i="1"/>
  <c r="H179" i="1" s="1"/>
  <c r="F157" i="1"/>
  <c r="H157" i="1" s="1"/>
  <c r="C117" i="1"/>
  <c r="C111" i="1"/>
  <c r="F186" i="1"/>
  <c r="H186" i="1" s="1"/>
  <c r="F188" i="1"/>
  <c r="H188" i="1" s="1"/>
  <c r="F190" i="1"/>
  <c r="H190" i="1" s="1"/>
  <c r="F194" i="1"/>
  <c r="H194" i="1" s="1"/>
  <c r="F185" i="1"/>
  <c r="H185" i="1" s="1"/>
  <c r="F191" i="1"/>
  <c r="H191" i="1" s="1"/>
  <c r="C118" i="1"/>
  <c r="F200" i="1"/>
  <c r="H200" i="1" s="1"/>
  <c r="F204" i="1"/>
  <c r="H204" i="1" s="1"/>
  <c r="G116" i="1" l="1"/>
  <c r="G117" i="1"/>
  <c r="E116" i="1"/>
  <c r="G118" i="1"/>
  <c r="E117" i="1"/>
  <c r="E118" i="1"/>
  <c r="F153" i="1"/>
  <c r="H153" i="1" s="1"/>
  <c r="F152" i="1"/>
  <c r="H152" i="1" s="1"/>
  <c r="F151" i="1"/>
  <c r="A151" i="1"/>
  <c r="A152" i="1" s="1"/>
  <c r="A153" i="1" s="1"/>
  <c r="F150" i="1"/>
  <c r="H150" i="1" s="1"/>
  <c r="D148" i="1"/>
  <c r="D147" i="1"/>
  <c r="C115" i="1" s="1"/>
  <c r="C119" i="1" s="1"/>
  <c r="F148" i="1"/>
  <c r="H148" i="1" s="1"/>
  <c r="A148" i="1"/>
  <c r="J95" i="1"/>
  <c r="J94" i="1"/>
  <c r="J93" i="1"/>
  <c r="J92" i="1"/>
  <c r="J81" i="1"/>
  <c r="J80" i="1"/>
  <c r="J79" i="1"/>
  <c r="J78" i="1"/>
  <c r="I40" i="1"/>
  <c r="G41" i="1"/>
  <c r="H71" i="1"/>
  <c r="H85" i="1"/>
  <c r="F147" i="1" l="1"/>
  <c r="H147" i="1" s="1"/>
  <c r="H151" i="1"/>
  <c r="J90" i="1"/>
  <c r="J91" i="1" s="1"/>
  <c r="J96" i="1" s="1"/>
  <c r="J97" i="1" s="1"/>
  <c r="E89" i="1" s="1"/>
  <c r="G88" i="1" s="1"/>
  <c r="J89" i="1"/>
  <c r="J88" i="1"/>
  <c r="F88" i="1"/>
  <c r="F97" i="1"/>
  <c r="F96" i="1"/>
  <c r="F95" i="1"/>
  <c r="F94" i="1"/>
  <c r="F93" i="1"/>
  <c r="F92" i="1"/>
  <c r="F91" i="1"/>
  <c r="F90" i="1"/>
  <c r="J87" i="1"/>
  <c r="J76" i="1"/>
  <c r="J77" i="1" s="1"/>
  <c r="J82" i="1" s="1"/>
  <c r="J83" i="1" s="1"/>
  <c r="J75" i="1"/>
  <c r="J74" i="1"/>
  <c r="F74" i="1"/>
  <c r="F83" i="1"/>
  <c r="F82" i="1"/>
  <c r="F81" i="1"/>
  <c r="F80" i="1"/>
  <c r="F79" i="1"/>
  <c r="F78" i="1"/>
  <c r="F77" i="1"/>
  <c r="F76" i="1"/>
  <c r="F75" i="1"/>
  <c r="G74" i="1"/>
  <c r="J73" i="1"/>
  <c r="F269" i="1"/>
  <c r="A265" i="1"/>
  <c r="A266" i="1" s="1"/>
  <c r="A267" i="1" s="1"/>
  <c r="A268" i="1" s="1"/>
  <c r="A269" i="1" s="1"/>
  <c r="A270" i="1" s="1"/>
  <c r="A271" i="1" s="1"/>
  <c r="A272" i="1" s="1"/>
  <c r="A273" i="1" s="1"/>
  <c r="A274" i="1" s="1"/>
  <c r="A249" i="1"/>
  <c r="A250" i="1" s="1"/>
  <c r="A251" i="1" s="1"/>
  <c r="A252" i="1" s="1"/>
  <c r="A253" i="1" s="1"/>
  <c r="A254" i="1" s="1"/>
  <c r="A255" i="1" s="1"/>
  <c r="A256" i="1" s="1"/>
  <c r="A257" i="1" s="1"/>
  <c r="A258" i="1" s="1"/>
  <c r="A259" i="1" s="1"/>
  <c r="A236" i="1"/>
  <c r="A237" i="1" s="1"/>
  <c r="A238" i="1" s="1"/>
  <c r="A239" i="1" s="1"/>
  <c r="A240" i="1" s="1"/>
  <c r="A241" i="1" s="1"/>
  <c r="A242" i="1" s="1"/>
  <c r="A243" i="1" s="1"/>
  <c r="A244" i="1" s="1"/>
  <c r="A245" i="1" s="1"/>
  <c r="A246" i="1" s="1"/>
  <c r="A223" i="1"/>
  <c r="A224" i="1" s="1"/>
  <c r="A225" i="1" s="1"/>
  <c r="A226" i="1" s="1"/>
  <c r="A227" i="1" s="1"/>
  <c r="A228" i="1" s="1"/>
  <c r="A229" i="1" s="1"/>
  <c r="A230" i="1" s="1"/>
  <c r="A231" i="1" s="1"/>
  <c r="A232" i="1" s="1"/>
  <c r="A233" i="1" s="1"/>
  <c r="A210" i="1"/>
  <c r="A211" i="1" s="1"/>
  <c r="A212" i="1" s="1"/>
  <c r="A213" i="1" s="1"/>
  <c r="A214" i="1" s="1"/>
  <c r="A215" i="1" s="1"/>
  <c r="A216" i="1" s="1"/>
  <c r="A217" i="1" s="1"/>
  <c r="A218" i="1" s="1"/>
  <c r="A219" i="1" s="1"/>
  <c r="A220" i="1" s="1"/>
  <c r="A128" i="1"/>
  <c r="A129" i="1" s="1"/>
  <c r="A130" i="1" s="1"/>
  <c r="A131" i="1" s="1"/>
  <c r="A132" i="1" s="1"/>
  <c r="A133" i="1" s="1"/>
  <c r="A134" i="1" s="1"/>
  <c r="A135" i="1" s="1"/>
  <c r="A136" i="1" s="1"/>
  <c r="A137" i="1" s="1"/>
  <c r="A138" i="1" s="1"/>
  <c r="A139" i="1" s="1"/>
  <c r="A140" i="1" s="1"/>
  <c r="A141" i="1" s="1"/>
  <c r="F259" i="1"/>
  <c r="H259" i="1" s="1"/>
  <c r="F258" i="1"/>
  <c r="H258" i="1" s="1"/>
  <c r="F257" i="1"/>
  <c r="H257" i="1" s="1"/>
  <c r="F256" i="1"/>
  <c r="H256" i="1" s="1"/>
  <c r="F255" i="1"/>
  <c r="H255" i="1" s="1"/>
  <c r="F254" i="1"/>
  <c r="H254" i="1" s="1"/>
  <c r="F253" i="1"/>
  <c r="H253" i="1" s="1"/>
  <c r="F252" i="1"/>
  <c r="H252" i="1" s="1"/>
  <c r="F251" i="1"/>
  <c r="H251" i="1" s="1"/>
  <c r="F250" i="1"/>
  <c r="H250" i="1" s="1"/>
  <c r="F249" i="1"/>
  <c r="H249" i="1" s="1"/>
  <c r="F248" i="1"/>
  <c r="H248" i="1" s="1"/>
  <c r="F246" i="1"/>
  <c r="H246" i="1" s="1"/>
  <c r="F245" i="1"/>
  <c r="H245" i="1" s="1"/>
  <c r="F244" i="1"/>
  <c r="H244" i="1" s="1"/>
  <c r="F243" i="1"/>
  <c r="H243" i="1" s="1"/>
  <c r="F242" i="1"/>
  <c r="H242" i="1" s="1"/>
  <c r="F241" i="1"/>
  <c r="H241" i="1" s="1"/>
  <c r="F240" i="1"/>
  <c r="H240" i="1" s="1"/>
  <c r="F239" i="1"/>
  <c r="H239" i="1" s="1"/>
  <c r="F238" i="1"/>
  <c r="H238" i="1" s="1"/>
  <c r="F237" i="1"/>
  <c r="H237" i="1" s="1"/>
  <c r="F236" i="1"/>
  <c r="H236" i="1" s="1"/>
  <c r="F235" i="1"/>
  <c r="H235" i="1" s="1"/>
  <c r="F233" i="1"/>
  <c r="H233" i="1" s="1"/>
  <c r="F232" i="1"/>
  <c r="H232" i="1" s="1"/>
  <c r="F231" i="1"/>
  <c r="H231" i="1" s="1"/>
  <c r="F230" i="1"/>
  <c r="H230" i="1" s="1"/>
  <c r="F229" i="1"/>
  <c r="H229" i="1" s="1"/>
  <c r="F228" i="1"/>
  <c r="H228" i="1" s="1"/>
  <c r="F227" i="1"/>
  <c r="H227" i="1" s="1"/>
  <c r="F226" i="1"/>
  <c r="H226" i="1" s="1"/>
  <c r="F225" i="1"/>
  <c r="H225" i="1" s="1"/>
  <c r="F224" i="1"/>
  <c r="H224" i="1" s="1"/>
  <c r="F223" i="1"/>
  <c r="H223" i="1" s="1"/>
  <c r="F222" i="1"/>
  <c r="H222" i="1" s="1"/>
  <c r="F128" i="1"/>
  <c r="H128" i="1" s="1"/>
  <c r="F129" i="1"/>
  <c r="F130" i="1"/>
  <c r="H130" i="1" s="1"/>
  <c r="F131" i="1"/>
  <c r="F132" i="1"/>
  <c r="F133" i="1"/>
  <c r="F134" i="1"/>
  <c r="F135" i="1"/>
  <c r="F136" i="1"/>
  <c r="F137" i="1"/>
  <c r="F138" i="1"/>
  <c r="F127" i="1"/>
  <c r="H127" i="1" s="1"/>
  <c r="F220" i="1"/>
  <c r="H220" i="1" s="1"/>
  <c r="F219" i="1"/>
  <c r="H219" i="1" s="1"/>
  <c r="F218" i="1"/>
  <c r="H218" i="1" s="1"/>
  <c r="F217" i="1"/>
  <c r="H217" i="1" s="1"/>
  <c r="F216" i="1"/>
  <c r="H216" i="1" s="1"/>
  <c r="F215" i="1"/>
  <c r="H215" i="1" s="1"/>
  <c r="F214" i="1"/>
  <c r="H214" i="1" s="1"/>
  <c r="F213" i="1"/>
  <c r="H213" i="1" s="1"/>
  <c r="F212" i="1"/>
  <c r="H212" i="1" s="1"/>
  <c r="F211" i="1"/>
  <c r="H211" i="1" s="1"/>
  <c r="F210" i="1"/>
  <c r="H210" i="1" s="1"/>
  <c r="F209" i="1"/>
  <c r="H209" i="1" s="1"/>
  <c r="E115" i="1" l="1"/>
  <c r="E119" i="1" s="1"/>
  <c r="G115" i="1"/>
  <c r="G119" i="1" s="1"/>
  <c r="F89" i="1"/>
  <c r="I84" i="1"/>
  <c r="C86" i="1" s="1"/>
  <c r="I70" i="1"/>
  <c r="C72" i="1" s="1"/>
  <c r="E111" i="1"/>
  <c r="E112" i="1" s="1"/>
  <c r="C112" i="1"/>
  <c r="C120" i="1" s="1"/>
  <c r="E120" i="1" l="1"/>
  <c r="C8" i="1"/>
  <c r="J67" i="1" l="1"/>
  <c r="J66" i="1"/>
  <c r="J65" i="1"/>
  <c r="J64" i="1"/>
  <c r="H57" i="1"/>
  <c r="J61" i="1" l="1"/>
  <c r="J59" i="1"/>
  <c r="F64" i="1"/>
  <c r="F69" i="1"/>
  <c r="F63" i="1"/>
  <c r="J62" i="1"/>
  <c r="J63" i="1" s="1"/>
  <c r="J68" i="1" s="1"/>
  <c r="J69" i="1" s="1"/>
  <c r="F61" i="1"/>
  <c r="G60" i="1"/>
  <c r="F65" i="1"/>
  <c r="F68" i="1"/>
  <c r="F62" i="1"/>
  <c r="F66" i="1"/>
  <c r="F60" i="1"/>
  <c r="F67" i="1"/>
  <c r="J60" i="1"/>
  <c r="I56" i="1" l="1"/>
  <c r="C58" i="1" s="1"/>
  <c r="H129" i="1" l="1"/>
  <c r="H131" i="1"/>
  <c r="H132" i="1"/>
  <c r="H133" i="1"/>
  <c r="H134" i="1"/>
  <c r="H135" i="1"/>
  <c r="H136" i="1"/>
  <c r="H137" i="1"/>
  <c r="H138" i="1"/>
  <c r="G111" i="1" l="1"/>
  <c r="G112" i="1" s="1"/>
  <c r="G42" i="1"/>
  <c r="G120" i="1" l="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77"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54" authorId="0" shapeId="0">
      <text>
        <r>
          <rPr>
            <b/>
            <sz val="9"/>
            <color indexed="81"/>
            <rFont val="Tahoma"/>
            <family val="2"/>
          </rPr>
          <t>RERA Start date</t>
        </r>
      </text>
    </comment>
    <comment ref="F54" authorId="0" shapeId="0">
      <text>
        <r>
          <rPr>
            <b/>
            <sz val="9"/>
            <color indexed="81"/>
            <rFont val="Tahoma"/>
            <family val="2"/>
          </rPr>
          <t>RERA completion date</t>
        </r>
      </text>
    </comment>
    <comment ref="H100" authorId="0" shapeId="0">
      <text>
        <r>
          <rPr>
            <b/>
            <sz val="9"/>
            <color indexed="81"/>
            <rFont val="Tahoma"/>
            <family val="2"/>
          </rPr>
          <t>if multiple buildings are in project and are connected internally</t>
        </r>
      </text>
    </comment>
    <comment ref="C102" authorId="0" shapeId="0">
      <text>
        <r>
          <rPr>
            <b/>
            <sz val="9"/>
            <color indexed="81"/>
            <rFont val="Tahoma"/>
            <family val="2"/>
          </rPr>
          <t>AAC Block or Brick</t>
        </r>
      </text>
    </comment>
    <comment ref="H104"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<sst xmlns="http://schemas.openxmlformats.org/spreadsheetml/2006/main" count="542" uniqueCount="294">
  <si>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</si>
  <si>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</si>
  <si>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</si>
  <si>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</si>
  <si>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</si>
  <si>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</si>
  <si>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</si>
  <si>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</si>
  <si>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</si>
  <si>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</si>
  <si>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</si>
  <si>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</si>
  <si>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</si>
  <si>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</si>
  <si>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</si>
  <si>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</si>
  <si>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</si>
  <si>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</si>
  <si>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</si>
  <si>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</si>
  <si>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</si>
  <si>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Construction/Building Permission</t>
  </si>
  <si>
    <t>NA / Land conversion</t>
  </si>
  <si>
    <t>Other statutory permissions (Fire NOC/ Environmental Clearance/ Airport NOC)</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</si>
  <si>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</si>
  <si>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</si>
  <si>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</si>
  <si>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</si>
  <si>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</si>
  <si>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</si>
  <si>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</si>
  <si>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</si>
  <si>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</si>
  <si>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</si>
  <si>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</si>
  <si>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</si>
  <si>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</si>
  <si>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</si>
  <si>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</si>
  <si>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</si>
  <si>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</si>
  <si>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</si>
  <si>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</si>
  <si>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</si>
  <si>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</si>
  <si>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</si>
  <si>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</si>
  <si>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</si>
  <si>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</si>
  <si>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</si>
  <si>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</si>
  <si>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</si>
  <si>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</si>
  <si>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</si>
  <si>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</si>
  <si>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</si>
  <si>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</si>
  <si>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</si>
  <si>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</si>
  <si>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</si>
  <si>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</si>
  <si>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</si>
  <si>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</si>
  <si>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</si>
  <si>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</si>
  <si>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</si>
  <si>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</si>
  <si>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</si>
  <si>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</si>
  <si>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</si>
  <si>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</si>
  <si>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</si>
  <si>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</si>
  <si>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</si>
  <si>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</si>
  <si>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</si>
  <si>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</si>
  <si>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</si>
  <si>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</si>
  <si>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</si>
  <si>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</si>
  <si>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</si>
  <si>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</si>
  <si>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</si>
  <si>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</si>
  <si>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</si>
  <si>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</si>
  <si>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</si>
  <si>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</si>
  <si>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</si>
  <si>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</si>
  <si>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</si>
  <si>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</si>
  <si>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</si>
  <si>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</si>
  <si>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</si>
  <si>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</si>
  <si>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</si>
  <si>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</si>
  <si>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</si>
  <si>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</si>
  <si>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</si>
  <si>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</si>
  <si>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</si>
  <si>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</si>
  <si>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</si>
  <si>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</si>
  <si>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</si>
  <si>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</si>
  <si>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</si>
  <si>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</si>
  <si>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</si>
  <si>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</si>
  <si>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</si>
  <si>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Validity &amp; area :
mentioned</t>
  </si>
  <si>
    <t xml:space="preserve"> Building No.4 = G + 3rd Floor</t>
  </si>
  <si>
    <t>Recommended Rates of the Property :</t>
  </si>
  <si>
    <t>Recommended rate of the flat Per Sq. Ft. ( on Saleable area)</t>
  </si>
  <si>
    <t>Recommended of Parking ( If Available)</t>
  </si>
  <si>
    <t>1,00,000/-</t>
  </si>
  <si>
    <t>Name of Engineer Visited the property</t>
  </si>
  <si>
    <t xml:space="preserve">Authorized Signatory
Name &amp; Seal of the agency
                                               </t>
  </si>
  <si>
    <t>Photographs Of Property :</t>
  </si>
  <si>
    <t xml:space="preserve">Google Map : </t>
  </si>
  <si>
    <t>Isolated Footing</t>
  </si>
  <si>
    <t>FE415</t>
  </si>
  <si>
    <t>Connectivity</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</si>
  <si>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</si>
  <si>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</si>
  <si>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</si>
  <si>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</si>
  <si>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</si>
  <si>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</si>
  <si>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</si>
  <si>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</si>
  <si>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</si>
  <si>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</si>
  <si>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</si>
  <si>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</si>
  <si>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</si>
  <si>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</si>
  <si>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</si>
  <si>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</si>
  <si>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</si>
  <si>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</si>
  <si>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</si>
  <si>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</si>
  <si>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</si>
  <si>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</si>
  <si>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</si>
  <si>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</si>
  <si>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</si>
  <si>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</si>
  <si>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</si>
  <si>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</si>
  <si>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</si>
  <si>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</si>
  <si>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</si>
  <si>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</si>
  <si>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</si>
  <si>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</si>
  <si>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</si>
  <si>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</si>
  <si>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</si>
  <si>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</si>
  <si>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</si>
  <si>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</si>
  <si>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</si>
  <si>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</si>
  <si>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</si>
  <si>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</si>
  <si>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</si>
  <si>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</si>
  <si>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</si>
  <si>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</si>
  <si>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</si>
  <si>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</si>
  <si>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</si>
  <si>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</si>
  <si>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</si>
  <si>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</si>
  <si>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</si>
  <si>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</si>
  <si>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</si>
  <si>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</si>
  <si>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</si>
  <si>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</si>
  <si>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</si>
  <si>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</si>
  <si>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</si>
  <si>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</si>
  <si>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</si>
  <si>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</si>
  <si>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</si>
  <si>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</si>
  <si>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</si>
  <si>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</si>
  <si>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</si>
  <si>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</si>
  <si>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</si>
  <si>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</si>
  <si>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</si>
  <si>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</si>
  <si>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</si>
  <si>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</si>
  <si>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Total</t>
  </si>
  <si>
    <t>Residential Area Details :</t>
  </si>
  <si>
    <t>Grand Total</t>
  </si>
  <si>
    <t>Approved No. of Floor</t>
  </si>
  <si>
    <t>Proposed No. of Floor</t>
  </si>
  <si>
    <t>Flat No.
(Approved
Plan)</t>
  </si>
  <si>
    <t>Flat No. (Sale Plan)</t>
  </si>
  <si>
    <t>Carpet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</si>
  <si>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</si>
  <si>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</si>
  <si>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</si>
  <si>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</si>
  <si>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</si>
  <si>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</si>
  <si>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</si>
  <si>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</si>
  <si>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</si>
  <si>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</si>
  <si>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</si>
  <si>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</si>
  <si>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</si>
  <si>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Mahindra Rural Housing Finance - Panvel</t>
  </si>
  <si>
    <t>P52000034333</t>
  </si>
  <si>
    <t>Himalaya Gardens</t>
  </si>
  <si>
    <t>Survey No</t>
  </si>
  <si>
    <t>Pashane</t>
  </si>
  <si>
    <t>Internal Road</t>
  </si>
  <si>
    <t>Vangani</t>
  </si>
  <si>
    <t>Tulsi V City</t>
  </si>
  <si>
    <t>19.107824,73.316795</t>
  </si>
  <si>
    <t>https://maps.app.goo.gl/mrBTG7jPaeXd5CiC6</t>
  </si>
  <si>
    <t>Himalaya Builders And Developers LLP</t>
  </si>
  <si>
    <t>Unit No. 215, Commodity Exchange Building, Sector - 19, Vashi, Thane - 400705</t>
  </si>
  <si>
    <t>NA</t>
  </si>
  <si>
    <t>Not Provided</t>
  </si>
  <si>
    <t>Not Found on RERA site also</t>
  </si>
  <si>
    <t>Mr. Mahesh Pawar 9588129999 / 8451948604</t>
  </si>
  <si>
    <t>Collector Of Raigad</t>
  </si>
  <si>
    <t>Apartments + Shops</t>
  </si>
  <si>
    <t>MS/LNA-1/S.R/93/2016
Date - 28/02/2017</t>
  </si>
  <si>
    <t>NA cum CC</t>
  </si>
  <si>
    <t>10619.1 Sq.mt</t>
  </si>
  <si>
    <t>11990 Sq.mt</t>
  </si>
  <si>
    <t>Survey No. 8/1, 8/2A/1 &amp; 9/1B</t>
  </si>
  <si>
    <t>8/1, 8/2A/1 &amp; S No.9/1B</t>
  </si>
  <si>
    <t>4.75M Wide Internal Road</t>
  </si>
  <si>
    <t>Other Plot</t>
  </si>
  <si>
    <t>Open Plot</t>
  </si>
  <si>
    <t>9.00M Wide Existing Road</t>
  </si>
  <si>
    <t>1) 1.6KM from R.Z.P Upper Primary English School
2) 2.7KM from Caliber Convent School
3) 2.4KM from Primary Health Care Vangani
4) 14.6KM from Gurudev Multi Speciality Hospital
5) 0.85KM from Shree Raigad Kirana and Vegetables
6) 3.2KM from Maharashtra Kirana Stores
7) 3.4KM from Green Market
8) 1.4KM from Shiv Mandir
9) 0.80KM from Karav - Vangani Auto Stand
10) 3.2KM from Vangani Railway Station</t>
  </si>
  <si>
    <t>Yes, Approx 18ft</t>
  </si>
  <si>
    <t>Building No. 11 = Gr + 1st + 4th Floor</t>
  </si>
  <si>
    <t>Building No. 12 = Gr + 1st + 4th Floor</t>
  </si>
  <si>
    <t>Building No.10</t>
  </si>
  <si>
    <t>Ground Floor For Residential &amp; Parking</t>
  </si>
  <si>
    <t>WS area + Encl Balcony + CB Area</t>
  </si>
  <si>
    <t>Building No.11</t>
  </si>
  <si>
    <t>1RK</t>
  </si>
  <si>
    <t>Building No.12</t>
  </si>
  <si>
    <t>Building No.13</t>
  </si>
  <si>
    <t>Ground Floor For Commercial, Residential &amp; Parking</t>
  </si>
  <si>
    <t>Building no. 13 Shops</t>
  </si>
  <si>
    <t>Building No.10 Flats</t>
  </si>
  <si>
    <t>Building No.11 Flats</t>
  </si>
  <si>
    <t>Building No.12 Flats</t>
  </si>
  <si>
    <t>Building No.13 Flats</t>
  </si>
  <si>
    <t xml:space="preserve">1st Floor </t>
  </si>
  <si>
    <t xml:space="preserve">2nd, 3rd &amp; 4th Floor </t>
  </si>
  <si>
    <t>1st, 2nd, 3rd &amp; 4th Floor</t>
  </si>
  <si>
    <t>2BHK</t>
  </si>
  <si>
    <t>Naynesh Sunil Lovanshi</t>
  </si>
  <si>
    <t>We considered Gross carpet area = Net carpet + Enclose balcony +  WS Area.</t>
  </si>
  <si>
    <t xml:space="preserve">Date -  Area - </t>
  </si>
  <si>
    <t>CC Renewal Letter Query</t>
  </si>
  <si>
    <t>Building No.10, 11, 12 = G + 1st to 4th Floor (Height = 14.70m)</t>
  </si>
  <si>
    <t>MSH/L.N.A.1(B)/S.R.93/2016                             Date - 28/02/2017
Valid Upto -  Building No. 10, 11, 12 = G + 1st to 4th Floor (B.U.A = 11561.95 Sq.mt)</t>
  </si>
  <si>
    <t>The project has received first CC dated 28/02/2017 but still buildings are under construction. Please provide a CC renewal letter.</t>
  </si>
  <si>
    <t>Building No.10, 11, 12 = G + 1st to 4th Floor</t>
  </si>
  <si>
    <t>Flats - 74</t>
  </si>
  <si>
    <t>As per RERA, the project consists of 10 to 13 buildings; as per bank officers requests, we have done APF for 10 to 12 buildings only.</t>
  </si>
  <si>
    <t>On Site, we meet Mr. Dashrath vele 9403337330.</t>
  </si>
  <si>
    <t>Building No. 10, 11 &amp; 12 = Gr + 1st + 4th Floor</t>
  </si>
  <si>
    <t>Exposure Limit (Proposed)</t>
  </si>
  <si>
    <t xml:space="preserve">Speed of Construction is Slow. </t>
  </si>
  <si>
    <t xml:space="preserve">Very Few Labours found on site at the time of visit. </t>
  </si>
  <si>
    <t>04/10/2025 at 11:27</t>
  </si>
  <si>
    <t>Mr. Sambhaji 9822165022</t>
  </si>
  <si>
    <t>Some flats are occupied by tenants but Construction work same as last visit dtd 12/12/2024 but work is in process. (Lift &amp; Finishing work is Pending).</t>
  </si>
  <si>
    <t>As per RERA, completion period of project Himalaya Gardens is expired on 30/09/2025 but still project is under construction.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</si>
</sst>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20"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
      <sz val="10"/>
      <color rgb="FFFFFF00"/>
      <name val="Times New Roman"/>
      <family val="1"/>
    </font>
    <font>
      <b/>
      <sz val="10"/>
      <color rgb="FFFFFF00"/>
      <name val="Times New Roman"/>
      <family val="1"/>
    </font>
    <font>
      <b/>
      <sz val="16"/>
      <color rgb="FFFF0000"/>
      <name val="Times New Roman"/>
      <family val="1"/>
    </font>
    <font>
      <b/>
      <sz val="10"/>
      <color rgb="FFFF0000"/>
      <name val="Times New Roman"/>
      <family val="1"/>
    </font>
  </fonts>
  <fills count="5">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3">
    <xf numFmtId="0" fontId="0" fillId="0" borderId="0"/>
    <xf numFmtId="0" fontId="2" fillId="0" borderId="0"/>
    <xf numFmtId="0" fontId="15" fillId="0" borderId="0" applyNumberFormat="0" applyFill="0" applyBorder="0" applyAlignment="0" applyProtection="0"/>
  </cellStyleXfs>
  <cellXfs count="214">
    <xf numFmtId="0" fontId="0" fillId="0" borderId="0" xfId="0"/>
    <xf numFmtId="0" fontId="5" fillId="0" borderId="0" xfId="0" applyFont="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1" fontId="5" fillId="3" borderId="4" xfId="0" applyNumberFormat="1" applyFont="1" applyFill="1" applyBorder="1" applyAlignment="1">
      <alignment horizontal="center" vertical="center"/>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1" fillId="4" borderId="14" xfId="1" applyNumberFormat="1" applyFont="1" applyFill="1" applyBorder="1" applyAlignment="1" applyProtection="1">
      <alignment horizontal="left" vertical="center"/>
      <protection hidden="1"/>
    </xf>
    <xf numFmtId="9" fontId="11"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Border="1" applyProtection="1">
      <protection hidden="1"/>
    </xf>
    <xf numFmtId="0" fontId="5" fillId="0" borderId="21" xfId="0" applyFont="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1" fillId="4" borderId="28" xfId="1" applyNumberFormat="1" applyFont="1" applyFill="1" applyBorder="1" applyAlignment="1" applyProtection="1">
      <alignment horizontal="left" vertical="center"/>
      <protection hidden="1"/>
    </xf>
    <xf numFmtId="0" fontId="6" fillId="0" borderId="30" xfId="1" applyFont="1" applyBorder="1" applyProtection="1">
      <protection hidden="1"/>
    </xf>
    <xf numFmtId="0" fontId="6" fillId="0" borderId="31" xfId="1" applyFont="1" applyBorder="1" applyProtection="1">
      <protection hidden="1"/>
    </xf>
    <xf numFmtId="0" fontId="6" fillId="0" borderId="0" xfId="1" applyFont="1" applyProtection="1">
      <protection hidden="1"/>
    </xf>
    <xf numFmtId="0" fontId="6" fillId="0" borderId="3" xfId="1" applyFont="1" applyBorder="1" applyProtection="1">
      <protection hidden="1"/>
    </xf>
    <xf numFmtId="0" fontId="6" fillId="0" borderId="3" xfId="1" applyFont="1" applyBorder="1"/>
    <xf numFmtId="0" fontId="5" fillId="0" borderId="3" xfId="0"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6" fillId="0" borderId="0" xfId="0" applyFont="1"/>
    <xf numFmtId="0" fontId="17" fillId="0" borderId="0" xfId="0" applyFont="1"/>
    <xf numFmtId="2" fontId="6" fillId="0" borderId="0" xfId="0" applyNumberFormat="1" applyFont="1"/>
    <xf numFmtId="1" fontId="6" fillId="0" borderId="0" xfId="0" applyNumberFormat="1" applyFont="1"/>
    <xf numFmtId="0" fontId="18" fillId="0" borderId="0" xfId="0" applyFont="1"/>
    <xf numFmtId="165" fontId="6" fillId="0" borderId="0" xfId="0" applyNumberFormat="1" applyFont="1"/>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0" fontId="1" fillId="0" borderId="4" xfId="0" applyFont="1" applyFill="1" applyBorder="1" applyAlignment="1">
      <alignment horizontal="center" vertical="top" wrapText="1"/>
    </xf>
    <xf numFmtId="0" fontId="1" fillId="0" borderId="4" xfId="0" applyFont="1" applyFill="1" applyBorder="1" applyAlignment="1">
      <alignment horizontal="center" vertical="top"/>
    </xf>
    <xf numFmtId="0" fontId="3" fillId="0" borderId="4" xfId="0" applyFont="1" applyFill="1" applyBorder="1" applyAlignment="1">
      <alignment horizontal="center" vertical="center"/>
    </xf>
    <xf numFmtId="0" fontId="1" fillId="0" borderId="4"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10" xfId="0" applyFont="1" applyFill="1" applyBorder="1" applyAlignment="1">
      <alignment horizontal="left" vertical="center"/>
    </xf>
    <xf numFmtId="0" fontId="1" fillId="0" borderId="4" xfId="0" applyFont="1" applyFill="1" applyBorder="1" applyAlignment="1">
      <alignment horizontal="left" vertical="center" wrapText="1"/>
    </xf>
    <xf numFmtId="164" fontId="8" fillId="0" borderId="4" xfId="1" applyNumberFormat="1" applyFont="1" applyFill="1" applyBorder="1" applyAlignment="1" applyProtection="1">
      <alignment horizontal="left" vertical="center" wrapText="1"/>
      <protection locked="0"/>
    </xf>
    <xf numFmtId="22" fontId="6" fillId="0" borderId="4" xfId="0" applyNumberFormat="1"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9" fillId="0" borderId="7" xfId="0" applyFont="1" applyFill="1" applyBorder="1" applyAlignment="1">
      <alignment horizontal="left" vertical="top" wrapText="1"/>
    </xf>
    <xf numFmtId="0" fontId="9" fillId="0" borderId="10" xfId="0" applyFont="1" applyFill="1" applyBorder="1" applyAlignment="1">
      <alignment horizontal="left" vertical="top" wrapText="1"/>
    </xf>
    <xf numFmtId="0" fontId="10" fillId="0" borderId="4" xfId="0" applyFont="1" applyFill="1" applyBorder="1" applyAlignment="1">
      <alignment vertical="top" wrapText="1"/>
    </xf>
    <xf numFmtId="0" fontId="5" fillId="0" borderId="4" xfId="0" applyFont="1" applyFill="1" applyBorder="1" applyAlignment="1">
      <alignment vertical="top" wrapText="1"/>
    </xf>
    <xf numFmtId="0" fontId="5" fillId="0" borderId="4" xfId="0" applyFont="1" applyFill="1" applyBorder="1" applyAlignment="1">
      <alignment vertical="top"/>
    </xf>
    <xf numFmtId="0" fontId="5" fillId="0" borderId="4" xfId="0" applyFont="1" applyFill="1" applyBorder="1" applyAlignment="1">
      <alignment horizontal="left" vertical="top"/>
    </xf>
    <xf numFmtId="0" fontId="8" fillId="0" borderId="4"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0" xfId="0" applyFont="1" applyFill="1" applyBorder="1" applyAlignment="1">
      <alignment horizontal="left" vertical="top" wrapText="1"/>
    </xf>
    <xf numFmtId="0" fontId="15" fillId="0" borderId="7" xfId="2" applyFill="1" applyBorder="1" applyAlignment="1">
      <alignment horizontal="left" vertical="top" wrapText="1"/>
    </xf>
    <xf numFmtId="0" fontId="6" fillId="0" borderId="4" xfId="0" applyFont="1" applyFill="1" applyBorder="1" applyAlignment="1">
      <alignment vertical="top" wrapText="1"/>
    </xf>
    <xf numFmtId="0" fontId="1" fillId="0" borderId="7" xfId="0" applyFont="1" applyFill="1" applyBorder="1" applyAlignment="1">
      <alignment horizontal="left" vertical="top" wrapText="1"/>
    </xf>
    <xf numFmtId="0" fontId="1" fillId="0" borderId="10" xfId="0" applyFont="1" applyFill="1" applyBorder="1" applyAlignment="1">
      <alignment horizontal="left" vertical="top" wrapText="1"/>
    </xf>
    <xf numFmtId="0" fontId="6" fillId="0" borderId="4" xfId="0" applyFont="1" applyFill="1" applyBorder="1" applyAlignment="1">
      <alignment horizontal="left" vertical="top"/>
    </xf>
    <xf numFmtId="0" fontId="8" fillId="0" borderId="4" xfId="0" applyFont="1" applyFill="1" applyBorder="1" applyAlignment="1">
      <alignment horizontal="left" vertical="top"/>
    </xf>
    <xf numFmtId="0" fontId="5" fillId="0" borderId="7" xfId="0" applyFont="1" applyFill="1" applyBorder="1" applyAlignment="1">
      <alignment horizontal="left" vertical="top"/>
    </xf>
    <xf numFmtId="0" fontId="5" fillId="0" borderId="10" xfId="0" applyFont="1" applyFill="1" applyBorder="1" applyAlignment="1">
      <alignment horizontal="left" vertical="top"/>
    </xf>
    <xf numFmtId="1" fontId="6" fillId="0" borderId="4" xfId="0" applyNumberFormat="1" applyFont="1" applyFill="1" applyBorder="1" applyAlignment="1">
      <alignment horizontal="left" vertical="top"/>
    </xf>
    <xf numFmtId="0" fontId="5" fillId="0" borderId="8" xfId="0" applyFont="1" applyFill="1" applyBorder="1" applyAlignment="1">
      <alignment horizontal="left" vertical="top"/>
    </xf>
    <xf numFmtId="0" fontId="9" fillId="0" borderId="29"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7"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9" fillId="0" borderId="20" xfId="0" applyFont="1" applyFill="1" applyBorder="1" applyAlignment="1">
      <alignment horizontal="left" vertical="top" wrapText="1"/>
    </xf>
    <xf numFmtId="0" fontId="9" fillId="0" borderId="22" xfId="0" applyFont="1" applyFill="1" applyBorder="1" applyAlignment="1">
      <alignment horizontal="left" vertical="top" wrapText="1"/>
    </xf>
    <xf numFmtId="0" fontId="5" fillId="0" borderId="4"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4" xfId="0" applyFont="1" applyFill="1" applyBorder="1" applyAlignment="1">
      <alignment horizontal="left" vertical="top" wrapText="1"/>
    </xf>
    <xf numFmtId="0" fontId="6" fillId="0" borderId="4" xfId="0" applyFont="1" applyFill="1" applyBorder="1" applyAlignment="1">
      <alignment horizontal="left" vertical="center"/>
    </xf>
    <xf numFmtId="0" fontId="6" fillId="0" borderId="4" xfId="0" applyFont="1" applyFill="1" applyBorder="1" applyAlignment="1">
      <alignment horizontal="left" vertical="top" wrapText="1"/>
    </xf>
    <xf numFmtId="0" fontId="9" fillId="0" borderId="4" xfId="0" applyFont="1" applyFill="1" applyBorder="1" applyAlignment="1">
      <alignment horizontal="center" vertical="top" wrapText="1"/>
    </xf>
    <xf numFmtId="0" fontId="9" fillId="0" borderId="2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5" fillId="0" borderId="4" xfId="0" applyFont="1" applyFill="1" applyBorder="1" applyAlignment="1">
      <alignment horizontal="left" vertical="center"/>
    </xf>
    <xf numFmtId="0" fontId="6" fillId="0" borderId="4"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1" fontId="6" fillId="0"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5" fillId="0" borderId="4" xfId="0" applyFont="1" applyFill="1" applyBorder="1" applyAlignment="1">
      <alignment horizontal="left" vertical="top" wrapText="1"/>
    </xf>
    <xf numFmtId="0" fontId="9" fillId="0" borderId="29"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4" xfId="0" applyFont="1" applyFill="1" applyBorder="1" applyAlignment="1">
      <alignment horizontal="left" vertical="center"/>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10" xfId="0" applyFont="1" applyFill="1" applyBorder="1" applyAlignment="1">
      <alignment horizontal="left" vertical="center" wrapText="1"/>
    </xf>
    <xf numFmtId="14" fontId="6" fillId="0" borderId="7"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9" fillId="0" borderId="4" xfId="0" applyFont="1" applyFill="1" applyBorder="1" applyAlignment="1">
      <alignment horizontal="center" vertical="center" wrapText="1"/>
    </xf>
    <xf numFmtId="14" fontId="6" fillId="0" borderId="4" xfId="0" applyNumberFormat="1" applyFont="1" applyFill="1" applyBorder="1" applyAlignment="1">
      <alignment horizontal="left" vertical="center"/>
    </xf>
    <xf numFmtId="0" fontId="7" fillId="0" borderId="14" xfId="1" applyFont="1" applyFill="1" applyBorder="1" applyAlignment="1" applyProtection="1">
      <alignment horizontal="center" vertical="top" wrapText="1"/>
      <protection locked="0"/>
    </xf>
    <xf numFmtId="0" fontId="1" fillId="0" borderId="33" xfId="1" applyFont="1" applyFill="1" applyBorder="1" applyAlignment="1" applyProtection="1">
      <alignment horizontal="left" vertical="top" wrapText="1"/>
      <protection locked="0"/>
    </xf>
    <xf numFmtId="0" fontId="1" fillId="0" borderId="30" xfId="1" applyFont="1" applyFill="1" applyBorder="1" applyAlignment="1" applyProtection="1">
      <alignment horizontal="left" vertical="top" wrapText="1"/>
      <protection locked="0"/>
    </xf>
    <xf numFmtId="0" fontId="1" fillId="0" borderId="34" xfId="1" applyFont="1" applyFill="1" applyBorder="1" applyAlignment="1" applyProtection="1">
      <alignment horizontal="left" vertical="top" wrapText="1"/>
      <protection locked="0"/>
    </xf>
    <xf numFmtId="0" fontId="6" fillId="0" borderId="16" xfId="1" applyFont="1" applyFill="1" applyBorder="1" applyAlignment="1" applyProtection="1">
      <alignment horizontal="center" vertical="center"/>
      <protection locked="0"/>
    </xf>
    <xf numFmtId="0" fontId="6" fillId="0" borderId="17" xfId="1" applyFont="1" applyFill="1" applyBorder="1" applyAlignment="1" applyProtection="1">
      <alignment horizontal="center" vertical="center"/>
      <protection locked="0"/>
    </xf>
    <xf numFmtId="0" fontId="1" fillId="0" borderId="35" xfId="1" applyFont="1" applyFill="1" applyBorder="1" applyAlignment="1" applyProtection="1">
      <alignment horizontal="left" vertical="top" wrapText="1"/>
      <protection locked="0"/>
    </xf>
    <xf numFmtId="0" fontId="1" fillId="0" borderId="21" xfId="1" applyFont="1" applyFill="1" applyBorder="1" applyAlignment="1" applyProtection="1">
      <alignment horizontal="left" vertical="top" wrapText="1"/>
      <protection locked="0"/>
    </xf>
    <xf numFmtId="0" fontId="1" fillId="0" borderId="22" xfId="1" applyFont="1" applyFill="1" applyBorder="1" applyAlignment="1" applyProtection="1">
      <alignment horizontal="left" vertical="top" wrapText="1"/>
      <protection locked="0"/>
    </xf>
    <xf numFmtId="0" fontId="6" fillId="0" borderId="4" xfId="1" applyFont="1" applyFill="1" applyBorder="1" applyAlignment="1" applyProtection="1">
      <alignment horizontal="center" vertical="center"/>
      <protection locked="0"/>
    </xf>
    <xf numFmtId="0" fontId="6" fillId="0" borderId="6" xfId="1" applyFont="1" applyFill="1" applyBorder="1" applyAlignment="1" applyProtection="1">
      <alignment horizontal="center" vertical="center"/>
      <protection locked="0"/>
    </xf>
    <xf numFmtId="0" fontId="1" fillId="0" borderId="5" xfId="0" applyFont="1" applyFill="1" applyBorder="1" applyAlignment="1">
      <alignment horizontal="left" vertical="top"/>
    </xf>
    <xf numFmtId="0" fontId="1" fillId="0" borderId="4" xfId="0" applyFont="1" applyFill="1" applyBorder="1" applyAlignment="1">
      <alignment horizontal="left" vertical="top"/>
    </xf>
    <xf numFmtId="0" fontId="1" fillId="0" borderId="4" xfId="1" applyFont="1" applyFill="1" applyBorder="1" applyAlignment="1" applyProtection="1">
      <alignment horizontal="left" vertical="top" wrapText="1"/>
      <protection locked="0"/>
    </xf>
    <xf numFmtId="0" fontId="1" fillId="0" borderId="6" xfId="1" applyFont="1" applyFill="1" applyBorder="1" applyAlignment="1" applyProtection="1">
      <alignment horizontal="left" vertical="top" wrapText="1"/>
      <protection locked="0"/>
    </xf>
    <xf numFmtId="0" fontId="6" fillId="0" borderId="5"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top" wrapText="1"/>
      <protection locked="0"/>
    </xf>
    <xf numFmtId="0" fontId="6" fillId="0" borderId="4" xfId="0" applyFont="1" applyFill="1" applyBorder="1" applyAlignment="1">
      <alignment horizontal="center"/>
    </xf>
    <xf numFmtId="0" fontId="6" fillId="0" borderId="4" xfId="1" applyFont="1" applyFill="1" applyBorder="1" applyAlignment="1" applyProtection="1">
      <alignment horizontal="center" vertical="top" wrapText="1"/>
      <protection locked="0"/>
    </xf>
    <xf numFmtId="0" fontId="6" fillId="0" borderId="4" xfId="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9" fontId="6" fillId="0" borderId="4" xfId="0" applyNumberFormat="1" applyFont="1" applyFill="1" applyBorder="1" applyAlignment="1">
      <alignment horizontal="center"/>
    </xf>
    <xf numFmtId="0" fontId="6" fillId="0" borderId="4" xfId="1" applyFont="1" applyFill="1" applyBorder="1" applyAlignment="1" applyProtection="1">
      <alignment horizontal="center" wrapText="1"/>
      <protection locked="0"/>
    </xf>
    <xf numFmtId="9" fontId="6" fillId="0" borderId="4" xfId="1" applyNumberFormat="1" applyFont="1" applyFill="1" applyBorder="1" applyAlignment="1" applyProtection="1">
      <alignment horizontal="center" vertical="center" wrapText="1"/>
      <protection hidden="1"/>
    </xf>
    <xf numFmtId="9" fontId="6" fillId="0" borderId="4" xfId="1" applyNumberFormat="1" applyFont="1" applyFill="1" applyBorder="1" applyAlignment="1" applyProtection="1">
      <alignment horizontal="center" vertical="center" wrapText="1"/>
      <protection hidden="1"/>
    </xf>
    <xf numFmtId="9" fontId="6" fillId="0" borderId="6" xfId="1" applyNumberFormat="1" applyFont="1" applyFill="1" applyBorder="1" applyAlignment="1" applyProtection="1">
      <alignment horizontal="center" vertical="center" wrapText="1"/>
      <protection hidden="1"/>
    </xf>
    <xf numFmtId="1" fontId="6" fillId="0" borderId="4" xfId="1" applyNumberFormat="1" applyFont="1" applyFill="1" applyBorder="1" applyAlignment="1" applyProtection="1">
      <alignment horizontal="center" wrapText="1"/>
      <protection locked="0"/>
    </xf>
    <xf numFmtId="0" fontId="6" fillId="0" borderId="11" xfId="1" applyFont="1" applyFill="1" applyBorder="1" applyAlignment="1" applyProtection="1">
      <alignment horizontal="center" vertical="top" wrapText="1"/>
      <protection locked="0"/>
    </xf>
    <xf numFmtId="0" fontId="6" fillId="0" borderId="12" xfId="1" applyFont="1" applyFill="1" applyBorder="1" applyAlignment="1" applyProtection="1">
      <alignment horizontal="center" vertical="top" wrapText="1"/>
      <protection locked="0"/>
    </xf>
    <xf numFmtId="9" fontId="6" fillId="0" borderId="12" xfId="0" applyNumberFormat="1" applyFont="1" applyFill="1" applyBorder="1" applyAlignment="1">
      <alignment horizontal="center"/>
    </xf>
    <xf numFmtId="0" fontId="6" fillId="0" borderId="12" xfId="1" applyFont="1" applyFill="1" applyBorder="1" applyAlignment="1" applyProtection="1">
      <alignment horizontal="center" wrapText="1"/>
      <protection locked="0"/>
    </xf>
    <xf numFmtId="9" fontId="6" fillId="0" borderId="12" xfId="1" applyNumberFormat="1" applyFont="1" applyFill="1" applyBorder="1" applyAlignment="1" applyProtection="1">
      <alignment horizontal="center" vertical="center" wrapText="1"/>
      <protection hidden="1"/>
    </xf>
    <xf numFmtId="9" fontId="6" fillId="0" borderId="12" xfId="1" applyNumberFormat="1" applyFont="1" applyFill="1" applyBorder="1" applyAlignment="1" applyProtection="1">
      <alignment horizontal="center" vertical="center" wrapText="1"/>
      <protection hidden="1"/>
    </xf>
    <xf numFmtId="9" fontId="6" fillId="0" borderId="32" xfId="1" applyNumberFormat="1" applyFont="1" applyFill="1" applyBorder="1" applyAlignment="1" applyProtection="1">
      <alignment horizontal="center" vertical="center" wrapText="1"/>
      <protection hidden="1"/>
    </xf>
    <xf numFmtId="0" fontId="8" fillId="0" borderId="13" xfId="0" applyFont="1" applyFill="1" applyBorder="1" applyAlignment="1">
      <alignment horizontal="left"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1" fontId="5" fillId="0" borderId="7" xfId="0" applyNumberFormat="1" applyFont="1" applyFill="1" applyBorder="1" applyAlignment="1">
      <alignment horizontal="center" vertical="center" wrapText="1"/>
    </xf>
    <xf numFmtId="1" fontId="9" fillId="0" borderId="4" xfId="0" applyNumberFormat="1" applyFont="1" applyFill="1" applyBorder="1" applyAlignment="1">
      <alignment horizontal="center" vertical="center" wrapText="1"/>
    </xf>
    <xf numFmtId="1" fontId="5" fillId="0" borderId="10" xfId="0" applyNumberFormat="1" applyFont="1" applyFill="1" applyBorder="1" applyAlignment="1">
      <alignment horizontal="center" vertical="center" wrapText="1"/>
    </xf>
    <xf numFmtId="1" fontId="9" fillId="0" borderId="7" xfId="0" applyNumberFormat="1" applyFont="1" applyFill="1" applyBorder="1" applyAlignment="1">
      <alignment horizontal="center" vertical="center" wrapText="1"/>
    </xf>
    <xf numFmtId="0" fontId="9" fillId="0" borderId="14" xfId="0" applyFont="1" applyFill="1" applyBorder="1" applyAlignment="1">
      <alignment horizontal="center" vertical="top" wrapText="1"/>
    </xf>
    <xf numFmtId="0" fontId="1" fillId="0" borderId="14" xfId="0" applyFont="1" applyFill="1" applyBorder="1" applyAlignment="1">
      <alignment horizontal="center" vertical="top" wrapText="1"/>
    </xf>
    <xf numFmtId="0" fontId="9" fillId="0" borderId="14" xfId="0" applyFont="1" applyFill="1" applyBorder="1" applyAlignment="1">
      <alignment horizontal="center" vertical="top" wrapText="1"/>
    </xf>
    <xf numFmtId="0" fontId="9" fillId="0" borderId="13" xfId="0" applyFont="1" applyFill="1" applyBorder="1" applyAlignment="1">
      <alignment horizontal="center" vertical="top" wrapText="1"/>
    </xf>
    <xf numFmtId="0" fontId="1" fillId="0" borderId="13" xfId="0" applyFont="1" applyFill="1" applyBorder="1" applyAlignment="1">
      <alignment horizontal="center" vertical="top" wrapText="1"/>
    </xf>
    <xf numFmtId="9" fontId="9" fillId="0" borderId="13" xfId="0" applyNumberFormat="1" applyFont="1" applyFill="1" applyBorder="1" applyAlignment="1">
      <alignment horizontal="center" vertical="top" wrapText="1"/>
    </xf>
    <xf numFmtId="0" fontId="5" fillId="0" borderId="7" xfId="0" applyFont="1" applyFill="1" applyBorder="1" applyAlignment="1">
      <alignment horizontal="center" vertical="center"/>
    </xf>
    <xf numFmtId="0" fontId="5" fillId="0" borderId="10" xfId="0" applyFont="1" applyFill="1" applyBorder="1" applyAlignment="1">
      <alignment horizontal="center" vertical="center"/>
    </xf>
    <xf numFmtId="1" fontId="5" fillId="0" borderId="4"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9"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8" xfId="0" applyFont="1" applyFill="1" applyBorder="1" applyAlignment="1">
      <alignment horizontal="left" vertical="top" wrapText="1"/>
    </xf>
    <xf numFmtId="9" fontId="1" fillId="0" borderId="8" xfId="0" applyNumberFormat="1" applyFont="1" applyFill="1" applyBorder="1" applyAlignment="1">
      <alignment horizontal="left" vertical="top" wrapText="1"/>
    </xf>
    <xf numFmtId="0" fontId="7" fillId="0" borderId="8" xfId="0" applyFont="1" applyFill="1" applyBorder="1" applyAlignment="1">
      <alignment vertical="top" wrapText="1"/>
    </xf>
    <xf numFmtId="0" fontId="7" fillId="0" borderId="10" xfId="0" applyFont="1" applyFill="1" applyBorder="1" applyAlignment="1">
      <alignmen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10"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0" xfId="0" applyFont="1" applyFill="1" applyAlignment="1">
      <alignment horizontal="left" vertical="top" wrapText="1"/>
    </xf>
    <xf numFmtId="0" fontId="7" fillId="0" borderId="19" xfId="0" applyFont="1" applyFill="1" applyBorder="1" applyAlignment="1">
      <alignment horizontal="left" vertical="top" wrapText="1"/>
    </xf>
    <xf numFmtId="0" fontId="9" fillId="0" borderId="4" xfId="0" applyFont="1" applyFill="1" applyBorder="1" applyAlignment="1">
      <alignment horizontal="left" vertical="center" wrapText="1"/>
    </xf>
  </cellXfs>
  <cellStyles count="3">
    <cellStyle name="Hyperlink" xfId="2" builtinId="8"/>
    <cellStyle name="Normal" xfId="0" builtinId="0"/>
    <cellStyle name="Normal 3" xfId="1"/>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2</xdr:col>
      <xdr:colOff>41412</xdr:colOff>
      <xdr:row>329</xdr:row>
      <xdr:rowOff>91109</xdr:rowOff>
    </xdr:from>
    <xdr:to>
      <xdr:col>5</xdr:col>
      <xdr:colOff>421301</xdr:colOff>
      <xdr:row>356</xdr:row>
      <xdr:rowOff>118500</xdr:rowOff>
    </xdr:to>
    <xdr:grpSp>
      <xdr:nvGrpSpPr>
        <xdr:cNvPr id="2" name="Group 1">
          <a:extLst>
            <a:ext uri="{FF2B5EF4-FFF2-40B4-BE49-F238E27FC236}">
              <a16:creationId xmlns:a16="http://schemas.microsoft.com/office/drawing/2014/main" xmlns="" id="{00000000-0008-0000-0000-000002000000}"/>
            </a:ext>
          </a:extLst>
        </xdr:cNvPr>
        <xdr:cNvGrpSpPr/>
      </xdr:nvGrpSpPr>
      <xdr:grpSpPr>
        <a:xfrm>
          <a:off x="1648238" y="40501957"/>
          <a:ext cx="2964063" cy="4500000"/>
          <a:chOff x="1901431" y="293269"/>
          <a:chExt cx="2964063" cy="5796303"/>
        </a:xfrm>
      </xdr:grpSpPr>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901431" y="293269"/>
            <a:ext cx="2880000" cy="5796303"/>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xmlns="" id="{00000000-0008-0000-0000-000005000000}"/>
              </a:ext>
            </a:extLst>
          </xdr:cNvPr>
          <xdr:cNvSpPr/>
        </xdr:nvSpPr>
        <xdr:spPr>
          <a:xfrm rot="2178903">
            <a:off x="2618194" y="4595925"/>
            <a:ext cx="1133379" cy="48042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 name="Rectangle 5">
            <a:extLst>
              <a:ext uri="{FF2B5EF4-FFF2-40B4-BE49-F238E27FC236}">
                <a16:creationId xmlns:a16="http://schemas.microsoft.com/office/drawing/2014/main" xmlns="" id="{00000000-0008-0000-0000-000006000000}"/>
              </a:ext>
            </a:extLst>
          </xdr:cNvPr>
          <xdr:cNvSpPr/>
        </xdr:nvSpPr>
        <xdr:spPr>
          <a:xfrm rot="19632656">
            <a:off x="3685086" y="4624881"/>
            <a:ext cx="439575" cy="33122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Rectangle 6">
            <a:extLst>
              <a:ext uri="{FF2B5EF4-FFF2-40B4-BE49-F238E27FC236}">
                <a16:creationId xmlns:a16="http://schemas.microsoft.com/office/drawing/2014/main" xmlns="" id="{00000000-0008-0000-0000-000007000000}"/>
              </a:ext>
            </a:extLst>
          </xdr:cNvPr>
          <xdr:cNvSpPr/>
        </xdr:nvSpPr>
        <xdr:spPr>
          <a:xfrm rot="2178903">
            <a:off x="3707576" y="3901121"/>
            <a:ext cx="437170" cy="3492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Freeform 7">
            <a:extLst>
              <a:ext uri="{FF2B5EF4-FFF2-40B4-BE49-F238E27FC236}">
                <a16:creationId xmlns:a16="http://schemas.microsoft.com/office/drawing/2014/main" xmlns="" id="{00000000-0008-0000-0000-000008000000}"/>
              </a:ext>
            </a:extLst>
          </xdr:cNvPr>
          <xdr:cNvSpPr/>
        </xdr:nvSpPr>
        <xdr:spPr>
          <a:xfrm>
            <a:off x="4000500" y="4102100"/>
            <a:ext cx="469900" cy="669925"/>
          </a:xfrm>
          <a:custGeom>
            <a:avLst/>
            <a:gdLst>
              <a:gd name="connsiteX0" fmla="*/ 193675 w 469900"/>
              <a:gd name="connsiteY0" fmla="*/ 0 h 669925"/>
              <a:gd name="connsiteX1" fmla="*/ 457200 w 469900"/>
              <a:gd name="connsiteY1" fmla="*/ 263525 h 669925"/>
              <a:gd name="connsiteX2" fmla="*/ 469900 w 469900"/>
              <a:gd name="connsiteY2" fmla="*/ 463550 h 669925"/>
              <a:gd name="connsiteX3" fmla="*/ 161925 w 469900"/>
              <a:gd name="connsiteY3" fmla="*/ 669925 h 669925"/>
              <a:gd name="connsiteX4" fmla="*/ 0 w 469900"/>
              <a:gd name="connsiteY4" fmla="*/ 428625 h 669925"/>
              <a:gd name="connsiteX5" fmla="*/ 120650 w 469900"/>
              <a:gd name="connsiteY5" fmla="*/ 374650 h 669925"/>
              <a:gd name="connsiteX6" fmla="*/ 200025 w 469900"/>
              <a:gd name="connsiteY6" fmla="*/ 355600 h 669925"/>
              <a:gd name="connsiteX7" fmla="*/ 196850 w 469900"/>
              <a:gd name="connsiteY7" fmla="*/ 285750 h 669925"/>
              <a:gd name="connsiteX8" fmla="*/ 107950 w 469900"/>
              <a:gd name="connsiteY8" fmla="*/ 292100 h 669925"/>
              <a:gd name="connsiteX9" fmla="*/ 22225 w 469900"/>
              <a:gd name="connsiteY9" fmla="*/ 241300 h 669925"/>
              <a:gd name="connsiteX10" fmla="*/ 193675 w 469900"/>
              <a:gd name="connsiteY10" fmla="*/ 0 h 669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469900" h="669925">
                <a:moveTo>
                  <a:pt x="193675" y="0"/>
                </a:moveTo>
                <a:lnTo>
                  <a:pt x="457200" y="263525"/>
                </a:lnTo>
                <a:lnTo>
                  <a:pt x="469900" y="463550"/>
                </a:lnTo>
                <a:lnTo>
                  <a:pt x="161925" y="669925"/>
                </a:lnTo>
                <a:lnTo>
                  <a:pt x="0" y="428625"/>
                </a:lnTo>
                <a:lnTo>
                  <a:pt x="120650" y="374650"/>
                </a:lnTo>
                <a:lnTo>
                  <a:pt x="200025" y="355600"/>
                </a:lnTo>
                <a:lnTo>
                  <a:pt x="196850" y="285750"/>
                </a:lnTo>
                <a:lnTo>
                  <a:pt x="107950" y="292100"/>
                </a:lnTo>
                <a:lnTo>
                  <a:pt x="22225" y="241300"/>
                </a:lnTo>
                <a:lnTo>
                  <a:pt x="193675" y="0"/>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TextBox 69">
            <a:extLst>
              <a:ext uri="{FF2B5EF4-FFF2-40B4-BE49-F238E27FC236}">
                <a16:creationId xmlns:a16="http://schemas.microsoft.com/office/drawing/2014/main" xmlns="" id="{00000000-0008-0000-0000-000009000000}"/>
              </a:ext>
            </a:extLst>
          </xdr:cNvPr>
          <xdr:cNvSpPr txBox="1"/>
        </xdr:nvSpPr>
        <xdr:spPr>
          <a:xfrm>
            <a:off x="3568999" y="3326758"/>
            <a:ext cx="532518"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Bldg</a:t>
            </a:r>
          </a:p>
          <a:p>
            <a:r>
              <a:rPr lang="en-US" sz="1000" b="1"/>
              <a:t> No.10</a:t>
            </a:r>
            <a:endParaRPr lang="en-IN" sz="1000" b="1"/>
          </a:p>
        </xdr:txBody>
      </xdr:sp>
      <xdr:sp macro="" textlink="">
        <xdr:nvSpPr>
          <xdr:cNvPr id="10" name="TextBox 70">
            <a:extLst>
              <a:ext uri="{FF2B5EF4-FFF2-40B4-BE49-F238E27FC236}">
                <a16:creationId xmlns:a16="http://schemas.microsoft.com/office/drawing/2014/main" xmlns="" id="{00000000-0008-0000-0000-00000A000000}"/>
              </a:ext>
            </a:extLst>
          </xdr:cNvPr>
          <xdr:cNvSpPr txBox="1"/>
        </xdr:nvSpPr>
        <xdr:spPr>
          <a:xfrm>
            <a:off x="4297710" y="4554711"/>
            <a:ext cx="56778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Bldg </a:t>
            </a:r>
          </a:p>
          <a:p>
            <a:r>
              <a:rPr lang="en-US" sz="1200" b="1"/>
              <a:t>No.11</a:t>
            </a:r>
            <a:endParaRPr lang="en-IN" sz="1200" b="1"/>
          </a:p>
        </xdr:txBody>
      </xdr:sp>
      <xdr:sp macro="" textlink="">
        <xdr:nvSpPr>
          <xdr:cNvPr id="11" name="TextBox 71">
            <a:extLst>
              <a:ext uri="{FF2B5EF4-FFF2-40B4-BE49-F238E27FC236}">
                <a16:creationId xmlns:a16="http://schemas.microsoft.com/office/drawing/2014/main" xmlns="" id="{00000000-0008-0000-0000-00000B000000}"/>
              </a:ext>
            </a:extLst>
          </xdr:cNvPr>
          <xdr:cNvSpPr txBox="1"/>
        </xdr:nvSpPr>
        <xdr:spPr>
          <a:xfrm>
            <a:off x="3722128" y="4964471"/>
            <a:ext cx="88517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Bldg No.12</a:t>
            </a:r>
            <a:endParaRPr lang="en-IN" sz="1200" b="1"/>
          </a:p>
        </xdr:txBody>
      </xdr:sp>
      <xdr:sp macro="" textlink="">
        <xdr:nvSpPr>
          <xdr:cNvPr id="12" name="TextBox 72">
            <a:extLst>
              <a:ext uri="{FF2B5EF4-FFF2-40B4-BE49-F238E27FC236}">
                <a16:creationId xmlns:a16="http://schemas.microsoft.com/office/drawing/2014/main" xmlns="" id="{00000000-0008-0000-0000-00000C000000}"/>
              </a:ext>
            </a:extLst>
          </xdr:cNvPr>
          <xdr:cNvSpPr txBox="1"/>
        </xdr:nvSpPr>
        <xdr:spPr>
          <a:xfrm rot="2112923">
            <a:off x="2435342" y="4875269"/>
            <a:ext cx="88517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Bldg No.13</a:t>
            </a:r>
            <a:endParaRPr lang="en-IN" sz="1200" b="1"/>
          </a:p>
        </xdr:txBody>
      </xdr:sp>
      <xdr:sp macro="" textlink="">
        <xdr:nvSpPr>
          <xdr:cNvPr id="13" name="TextBox 73">
            <a:extLst>
              <a:ext uri="{FF2B5EF4-FFF2-40B4-BE49-F238E27FC236}">
                <a16:creationId xmlns:a16="http://schemas.microsoft.com/office/drawing/2014/main" xmlns="" id="{00000000-0008-0000-0000-00000D000000}"/>
              </a:ext>
            </a:extLst>
          </xdr:cNvPr>
          <xdr:cNvSpPr txBox="1"/>
        </xdr:nvSpPr>
        <xdr:spPr>
          <a:xfrm>
            <a:off x="2447925" y="501800"/>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1</a:t>
            </a:r>
            <a:endParaRPr lang="en-IN" sz="1400" b="1"/>
          </a:p>
        </xdr:txBody>
      </xdr:sp>
      <xdr:sp macro="" textlink="">
        <xdr:nvSpPr>
          <xdr:cNvPr id="14" name="TextBox 74">
            <a:extLst>
              <a:ext uri="{FF2B5EF4-FFF2-40B4-BE49-F238E27FC236}">
                <a16:creationId xmlns:a16="http://schemas.microsoft.com/office/drawing/2014/main" xmlns="" id="{00000000-0008-0000-0000-00000E000000}"/>
              </a:ext>
            </a:extLst>
          </xdr:cNvPr>
          <xdr:cNvSpPr txBox="1"/>
        </xdr:nvSpPr>
        <xdr:spPr>
          <a:xfrm>
            <a:off x="2788400" y="419079"/>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2</a:t>
            </a:r>
            <a:endParaRPr lang="en-IN" sz="1400" b="1"/>
          </a:p>
        </xdr:txBody>
      </xdr:sp>
      <xdr:sp macro="" textlink="">
        <xdr:nvSpPr>
          <xdr:cNvPr id="15" name="TextBox 75">
            <a:extLst>
              <a:ext uri="{FF2B5EF4-FFF2-40B4-BE49-F238E27FC236}">
                <a16:creationId xmlns:a16="http://schemas.microsoft.com/office/drawing/2014/main" xmlns="" id="{00000000-0008-0000-0000-00000F000000}"/>
              </a:ext>
            </a:extLst>
          </xdr:cNvPr>
          <xdr:cNvSpPr txBox="1"/>
        </xdr:nvSpPr>
        <xdr:spPr>
          <a:xfrm>
            <a:off x="3121247" y="310116"/>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3</a:t>
            </a:r>
            <a:endParaRPr lang="en-IN" sz="1400" b="1"/>
          </a:p>
        </xdr:txBody>
      </xdr:sp>
      <xdr:sp macro="" textlink="">
        <xdr:nvSpPr>
          <xdr:cNvPr id="16" name="TextBox 76">
            <a:extLst>
              <a:ext uri="{FF2B5EF4-FFF2-40B4-BE49-F238E27FC236}">
                <a16:creationId xmlns:a16="http://schemas.microsoft.com/office/drawing/2014/main" xmlns="" id="{00000000-0008-0000-0000-000010000000}"/>
              </a:ext>
            </a:extLst>
          </xdr:cNvPr>
          <xdr:cNvSpPr txBox="1"/>
        </xdr:nvSpPr>
        <xdr:spPr>
          <a:xfrm>
            <a:off x="3695413" y="1085290"/>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4</a:t>
            </a:r>
            <a:endParaRPr lang="en-IN" sz="1400" b="1"/>
          </a:p>
        </xdr:txBody>
      </xdr:sp>
      <xdr:sp macro="" textlink="">
        <xdr:nvSpPr>
          <xdr:cNvPr id="17" name="TextBox 77">
            <a:extLst>
              <a:ext uri="{FF2B5EF4-FFF2-40B4-BE49-F238E27FC236}">
                <a16:creationId xmlns:a16="http://schemas.microsoft.com/office/drawing/2014/main" xmlns="" id="{00000000-0008-0000-0000-000011000000}"/>
              </a:ext>
            </a:extLst>
          </xdr:cNvPr>
          <xdr:cNvSpPr txBox="1"/>
        </xdr:nvSpPr>
        <xdr:spPr>
          <a:xfrm>
            <a:off x="2436474" y="1619561"/>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5</a:t>
            </a:r>
            <a:endParaRPr lang="en-IN" sz="1400" b="1"/>
          </a:p>
        </xdr:txBody>
      </xdr:sp>
      <xdr:sp macro="" textlink="">
        <xdr:nvSpPr>
          <xdr:cNvPr id="18" name="TextBox 78">
            <a:extLst>
              <a:ext uri="{FF2B5EF4-FFF2-40B4-BE49-F238E27FC236}">
                <a16:creationId xmlns:a16="http://schemas.microsoft.com/office/drawing/2014/main" xmlns="" id="{00000000-0008-0000-0000-000012000000}"/>
              </a:ext>
            </a:extLst>
          </xdr:cNvPr>
          <xdr:cNvSpPr txBox="1"/>
        </xdr:nvSpPr>
        <xdr:spPr>
          <a:xfrm>
            <a:off x="2537570" y="3089480"/>
            <a:ext cx="2149819" cy="307777"/>
          </a:xfrm>
          <a:prstGeom prst="rect">
            <a:avLst/>
          </a:prstGeom>
          <a:solidFill>
            <a:schemeClr val="bg1">
              <a:lumMod val="8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Himalaya Gardens Phase 3</a:t>
            </a:r>
            <a:endParaRPr lang="en-IN" sz="1400" b="1"/>
          </a:p>
        </xdr:txBody>
      </xdr:sp>
      <xdr:cxnSp macro="">
        <xdr:nvCxnSpPr>
          <xdr:cNvPr id="19" name="Straight Arrow Connector 18">
            <a:extLst>
              <a:ext uri="{FF2B5EF4-FFF2-40B4-BE49-F238E27FC236}">
                <a16:creationId xmlns:a16="http://schemas.microsoft.com/office/drawing/2014/main" xmlns="" id="{00000000-0008-0000-0000-000013000000}"/>
              </a:ext>
            </a:extLst>
          </xdr:cNvPr>
          <xdr:cNvCxnSpPr/>
        </xdr:nvCxnSpPr>
        <xdr:spPr>
          <a:xfrm flipH="1">
            <a:off x="3158629" y="3386444"/>
            <a:ext cx="306237" cy="11113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Straight Arrow Connector 19">
            <a:extLst>
              <a:ext uri="{FF2B5EF4-FFF2-40B4-BE49-F238E27FC236}">
                <a16:creationId xmlns:a16="http://schemas.microsoft.com/office/drawing/2014/main" xmlns="" id="{00000000-0008-0000-0000-000014000000}"/>
              </a:ext>
            </a:extLst>
          </xdr:cNvPr>
          <xdr:cNvCxnSpPr/>
        </xdr:nvCxnSpPr>
        <xdr:spPr>
          <a:xfrm>
            <a:off x="3471972" y="3368239"/>
            <a:ext cx="247028" cy="13318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Straight Arrow Connector 20">
            <a:extLst>
              <a:ext uri="{FF2B5EF4-FFF2-40B4-BE49-F238E27FC236}">
                <a16:creationId xmlns:a16="http://schemas.microsoft.com/office/drawing/2014/main" xmlns="" id="{00000000-0008-0000-0000-000015000000}"/>
              </a:ext>
            </a:extLst>
          </xdr:cNvPr>
          <xdr:cNvCxnSpPr>
            <a:endCxn id="7" idx="0"/>
          </xdr:cNvCxnSpPr>
        </xdr:nvCxnSpPr>
        <xdr:spPr>
          <a:xfrm flipH="1">
            <a:off x="4006452" y="3444693"/>
            <a:ext cx="172876" cy="49034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1">
            <a:extLst>
              <a:ext uri="{FF2B5EF4-FFF2-40B4-BE49-F238E27FC236}">
                <a16:creationId xmlns:a16="http://schemas.microsoft.com/office/drawing/2014/main" xmlns="" id="{00000000-0008-0000-0000-000016000000}"/>
              </a:ext>
            </a:extLst>
          </xdr:cNvPr>
          <xdr:cNvCxnSpPr>
            <a:endCxn id="8" idx="1"/>
          </xdr:cNvCxnSpPr>
        </xdr:nvCxnSpPr>
        <xdr:spPr>
          <a:xfrm>
            <a:off x="4380350" y="3461135"/>
            <a:ext cx="77350" cy="9044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TextBox 97">
            <a:extLst>
              <a:ext uri="{FF2B5EF4-FFF2-40B4-BE49-F238E27FC236}">
                <a16:creationId xmlns:a16="http://schemas.microsoft.com/office/drawing/2014/main" xmlns="" id="{00000000-0008-0000-0000-000017000000}"/>
              </a:ext>
            </a:extLst>
          </xdr:cNvPr>
          <xdr:cNvSpPr txBox="1"/>
        </xdr:nvSpPr>
        <xdr:spPr>
          <a:xfrm>
            <a:off x="2971517" y="1485433"/>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6</a:t>
            </a:r>
            <a:endParaRPr lang="en-IN" sz="1400" b="1"/>
          </a:p>
        </xdr:txBody>
      </xdr:sp>
      <xdr:sp macro="" textlink="">
        <xdr:nvSpPr>
          <xdr:cNvPr id="24" name="TextBox 98">
            <a:extLst>
              <a:ext uri="{FF2B5EF4-FFF2-40B4-BE49-F238E27FC236}">
                <a16:creationId xmlns:a16="http://schemas.microsoft.com/office/drawing/2014/main" xmlns="" id="{00000000-0008-0000-0000-000018000000}"/>
              </a:ext>
            </a:extLst>
          </xdr:cNvPr>
          <xdr:cNvSpPr txBox="1"/>
        </xdr:nvSpPr>
        <xdr:spPr>
          <a:xfrm>
            <a:off x="3370572" y="1461450"/>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7</a:t>
            </a:r>
            <a:endParaRPr lang="en-IN" sz="1400" b="1"/>
          </a:p>
        </xdr:txBody>
      </xdr:sp>
      <xdr:sp macro="" textlink="">
        <xdr:nvSpPr>
          <xdr:cNvPr id="25" name="TextBox 99">
            <a:extLst>
              <a:ext uri="{FF2B5EF4-FFF2-40B4-BE49-F238E27FC236}">
                <a16:creationId xmlns:a16="http://schemas.microsoft.com/office/drawing/2014/main" xmlns="" id="{00000000-0008-0000-0000-000019000000}"/>
              </a:ext>
            </a:extLst>
          </xdr:cNvPr>
          <xdr:cNvSpPr txBox="1"/>
        </xdr:nvSpPr>
        <xdr:spPr>
          <a:xfrm>
            <a:off x="3263645" y="2046478"/>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8</a:t>
            </a:r>
            <a:endParaRPr lang="en-IN" sz="1400" b="1"/>
          </a:p>
        </xdr:txBody>
      </xdr:sp>
      <xdr:sp macro="" textlink="">
        <xdr:nvSpPr>
          <xdr:cNvPr id="26" name="TextBox 100">
            <a:extLst>
              <a:ext uri="{FF2B5EF4-FFF2-40B4-BE49-F238E27FC236}">
                <a16:creationId xmlns:a16="http://schemas.microsoft.com/office/drawing/2014/main" xmlns="" id="{00000000-0008-0000-0000-00001A000000}"/>
              </a:ext>
            </a:extLst>
          </xdr:cNvPr>
          <xdr:cNvSpPr txBox="1"/>
        </xdr:nvSpPr>
        <xdr:spPr>
          <a:xfrm>
            <a:off x="2833498" y="2325548"/>
            <a:ext cx="27603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9</a:t>
            </a:r>
            <a:endParaRPr lang="en-IN" sz="1400" b="1"/>
          </a:p>
        </xdr:txBody>
      </xdr:sp>
      <xdr:sp macro="" textlink="">
        <xdr:nvSpPr>
          <xdr:cNvPr id="27" name="Freeform 26">
            <a:extLst>
              <a:ext uri="{FF2B5EF4-FFF2-40B4-BE49-F238E27FC236}">
                <a16:creationId xmlns:a16="http://schemas.microsoft.com/office/drawing/2014/main" xmlns="" id="{00000000-0008-0000-0000-00001B000000}"/>
              </a:ext>
            </a:extLst>
          </xdr:cNvPr>
          <xdr:cNvSpPr/>
        </xdr:nvSpPr>
        <xdr:spPr>
          <a:xfrm>
            <a:off x="2447925" y="1438275"/>
            <a:ext cx="1504950" cy="1609725"/>
          </a:xfrm>
          <a:custGeom>
            <a:avLst/>
            <a:gdLst>
              <a:gd name="connsiteX0" fmla="*/ 0 w 1504950"/>
              <a:gd name="connsiteY0" fmla="*/ 266700 h 1609725"/>
              <a:gd name="connsiteX1" fmla="*/ 238125 w 1504950"/>
              <a:gd name="connsiteY1" fmla="*/ 1609725 h 1609725"/>
              <a:gd name="connsiteX2" fmla="*/ 1504950 w 1504950"/>
              <a:gd name="connsiteY2" fmla="*/ 904875 h 1609725"/>
              <a:gd name="connsiteX3" fmla="*/ 1285875 w 1504950"/>
              <a:gd name="connsiteY3" fmla="*/ 0 h 1609725"/>
              <a:gd name="connsiteX4" fmla="*/ 0 w 1504950"/>
              <a:gd name="connsiteY4" fmla="*/ 266700 h 16097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04950" h="1609725">
                <a:moveTo>
                  <a:pt x="0" y="266700"/>
                </a:moveTo>
                <a:lnTo>
                  <a:pt x="238125" y="1609725"/>
                </a:lnTo>
                <a:lnTo>
                  <a:pt x="1504950" y="904875"/>
                </a:lnTo>
                <a:lnTo>
                  <a:pt x="1285875" y="0"/>
                </a:lnTo>
                <a:lnTo>
                  <a:pt x="0" y="266700"/>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TextBox 102">
            <a:extLst>
              <a:ext uri="{FF2B5EF4-FFF2-40B4-BE49-F238E27FC236}">
                <a16:creationId xmlns:a16="http://schemas.microsoft.com/office/drawing/2014/main" xmlns="" id="{00000000-0008-0000-0000-00001C000000}"/>
              </a:ext>
            </a:extLst>
          </xdr:cNvPr>
          <xdr:cNvSpPr txBox="1"/>
        </xdr:nvSpPr>
        <xdr:spPr>
          <a:xfrm>
            <a:off x="4022890" y="1164486"/>
            <a:ext cx="758541" cy="307777"/>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Phase 1</a:t>
            </a:r>
            <a:endParaRPr lang="en-IN" sz="1400" b="1"/>
          </a:p>
        </xdr:txBody>
      </xdr:sp>
      <xdr:cxnSp macro="">
        <xdr:nvCxnSpPr>
          <xdr:cNvPr id="29" name="Straight Arrow Connector 28">
            <a:extLst>
              <a:ext uri="{FF2B5EF4-FFF2-40B4-BE49-F238E27FC236}">
                <a16:creationId xmlns:a16="http://schemas.microsoft.com/office/drawing/2014/main" xmlns="" id="{00000000-0008-0000-0000-00001D000000}"/>
              </a:ext>
            </a:extLst>
          </xdr:cNvPr>
          <xdr:cNvCxnSpPr/>
        </xdr:nvCxnSpPr>
        <xdr:spPr>
          <a:xfrm flipH="1">
            <a:off x="3878418" y="1472263"/>
            <a:ext cx="579282" cy="42720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0" name="Freeform 29">
            <a:extLst>
              <a:ext uri="{FF2B5EF4-FFF2-40B4-BE49-F238E27FC236}">
                <a16:creationId xmlns:a16="http://schemas.microsoft.com/office/drawing/2014/main" xmlns="" id="{00000000-0008-0000-0000-00001E000000}"/>
              </a:ext>
            </a:extLst>
          </xdr:cNvPr>
          <xdr:cNvSpPr/>
        </xdr:nvSpPr>
        <xdr:spPr>
          <a:xfrm>
            <a:off x="2425700" y="450850"/>
            <a:ext cx="1371600" cy="1162050"/>
          </a:xfrm>
          <a:custGeom>
            <a:avLst/>
            <a:gdLst>
              <a:gd name="connsiteX0" fmla="*/ 0 w 1371600"/>
              <a:gd name="connsiteY0" fmla="*/ 400050 h 1162050"/>
              <a:gd name="connsiteX1" fmla="*/ 82550 w 1371600"/>
              <a:gd name="connsiteY1" fmla="*/ 831850 h 1162050"/>
              <a:gd name="connsiteX2" fmla="*/ 939800 w 1371600"/>
              <a:gd name="connsiteY2" fmla="*/ 571500 h 1162050"/>
              <a:gd name="connsiteX3" fmla="*/ 952500 w 1371600"/>
              <a:gd name="connsiteY3" fmla="*/ 781050 h 1162050"/>
              <a:gd name="connsiteX4" fmla="*/ 533400 w 1371600"/>
              <a:gd name="connsiteY4" fmla="*/ 869950 h 1162050"/>
              <a:gd name="connsiteX5" fmla="*/ 609600 w 1371600"/>
              <a:gd name="connsiteY5" fmla="*/ 1162050 h 1162050"/>
              <a:gd name="connsiteX6" fmla="*/ 1371600 w 1371600"/>
              <a:gd name="connsiteY6" fmla="*/ 958850 h 1162050"/>
              <a:gd name="connsiteX7" fmla="*/ 1231900 w 1371600"/>
              <a:gd name="connsiteY7" fmla="*/ 0 h 1162050"/>
              <a:gd name="connsiteX8" fmla="*/ 0 w 1371600"/>
              <a:gd name="connsiteY8" fmla="*/ 400050 h 1162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71600" h="1162050">
                <a:moveTo>
                  <a:pt x="0" y="400050"/>
                </a:moveTo>
                <a:lnTo>
                  <a:pt x="82550" y="831850"/>
                </a:lnTo>
                <a:lnTo>
                  <a:pt x="939800" y="571500"/>
                </a:lnTo>
                <a:lnTo>
                  <a:pt x="952500" y="781050"/>
                </a:lnTo>
                <a:lnTo>
                  <a:pt x="533400" y="869950"/>
                </a:lnTo>
                <a:lnTo>
                  <a:pt x="609600" y="1162050"/>
                </a:lnTo>
                <a:lnTo>
                  <a:pt x="1371600" y="958850"/>
                </a:lnTo>
                <a:lnTo>
                  <a:pt x="1231900" y="0"/>
                </a:lnTo>
                <a:lnTo>
                  <a:pt x="0" y="400050"/>
                </a:lnTo>
                <a:close/>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1" name="TextBox 107">
            <a:extLst>
              <a:ext uri="{FF2B5EF4-FFF2-40B4-BE49-F238E27FC236}">
                <a16:creationId xmlns:a16="http://schemas.microsoft.com/office/drawing/2014/main" xmlns="" id="{00000000-0008-0000-0000-00001F000000}"/>
              </a:ext>
            </a:extLst>
          </xdr:cNvPr>
          <xdr:cNvSpPr txBox="1"/>
        </xdr:nvSpPr>
        <xdr:spPr>
          <a:xfrm>
            <a:off x="3878418" y="397319"/>
            <a:ext cx="758541" cy="307777"/>
          </a:xfrm>
          <a:prstGeom prst="rect">
            <a:avLst/>
          </a:prstGeom>
          <a:solidFill>
            <a:schemeClr val="bg1">
              <a:lumMod val="9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Phase 2</a:t>
            </a:r>
            <a:endParaRPr lang="en-IN" sz="1400" b="1"/>
          </a:p>
        </xdr:txBody>
      </xdr:sp>
      <xdr:cxnSp macro="">
        <xdr:nvCxnSpPr>
          <xdr:cNvPr id="32" name="Straight Arrow Connector 31">
            <a:extLst>
              <a:ext uri="{FF2B5EF4-FFF2-40B4-BE49-F238E27FC236}">
                <a16:creationId xmlns:a16="http://schemas.microsoft.com/office/drawing/2014/main" xmlns="" id="{00000000-0008-0000-0000-000020000000}"/>
              </a:ext>
            </a:extLst>
          </xdr:cNvPr>
          <xdr:cNvCxnSpPr>
            <a:stCxn id="31" idx="2"/>
          </xdr:cNvCxnSpPr>
        </xdr:nvCxnSpPr>
        <xdr:spPr>
          <a:xfrm flipH="1">
            <a:off x="3765971" y="705096"/>
            <a:ext cx="491718" cy="32677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2</xdr:col>
      <xdr:colOff>677551</xdr:colOff>
      <xdr:row>358</xdr:row>
      <xdr:rowOff>67911</xdr:rowOff>
    </xdr:from>
    <xdr:to>
      <xdr:col>4</xdr:col>
      <xdr:colOff>754768</xdr:colOff>
      <xdr:row>368</xdr:row>
      <xdr:rowOff>123797</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284377" y="63901976"/>
          <a:ext cx="1800000" cy="1712409"/>
        </a:xfrm>
        <a:prstGeom prst="rect">
          <a:avLst/>
        </a:prstGeom>
        <a:ln>
          <a:solidFill>
            <a:schemeClr val="tx1"/>
          </a:solidFill>
        </a:ln>
      </xdr:spPr>
    </xdr:pic>
    <xdr:clientData/>
  </xdr:twoCellAnchor>
  <xdr:twoCellAnchor editAs="oneCell">
    <xdr:from>
      <xdr:col>1</xdr:col>
      <xdr:colOff>367777</xdr:colOff>
      <xdr:row>378</xdr:row>
      <xdr:rowOff>24848</xdr:rowOff>
    </xdr:from>
    <xdr:to>
      <xdr:col>6</xdr:col>
      <xdr:colOff>438799</xdr:colOff>
      <xdr:row>394</xdr:row>
      <xdr:rowOff>123505</xdr:rowOff>
    </xdr:to>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71190" y="68000218"/>
          <a:ext cx="4320000" cy="2749091"/>
        </a:xfrm>
        <a:prstGeom prst="rect">
          <a:avLst/>
        </a:prstGeom>
        <a:ln>
          <a:solidFill>
            <a:schemeClr val="tx1"/>
          </a:solidFill>
        </a:ln>
      </xdr:spPr>
    </xdr:pic>
    <xdr:clientData/>
  </xdr:twoCellAnchor>
  <xdr:twoCellAnchor>
    <xdr:from>
      <xdr:col>1</xdr:col>
      <xdr:colOff>41414</xdr:colOff>
      <xdr:row>396</xdr:row>
      <xdr:rowOff>65998</xdr:rowOff>
    </xdr:from>
    <xdr:to>
      <xdr:col>7</xdr:col>
      <xdr:colOff>151044</xdr:colOff>
      <xdr:row>417</xdr:row>
      <xdr:rowOff>7303</xdr:rowOff>
    </xdr:to>
    <xdr:grpSp>
      <xdr:nvGrpSpPr>
        <xdr:cNvPr id="34" name="Group 33">
          <a:extLst>
            <a:ext uri="{FF2B5EF4-FFF2-40B4-BE49-F238E27FC236}">
              <a16:creationId xmlns:a16="http://schemas.microsoft.com/office/drawing/2014/main" xmlns="" id="{00000000-0008-0000-0000-000022000000}"/>
            </a:ext>
          </a:extLst>
        </xdr:cNvPr>
        <xdr:cNvGrpSpPr/>
      </xdr:nvGrpSpPr>
      <xdr:grpSpPr>
        <a:xfrm>
          <a:off x="844827" y="51575541"/>
          <a:ext cx="5220000" cy="3420001"/>
          <a:chOff x="1623325" y="3715065"/>
          <a:chExt cx="3683000" cy="2844801"/>
        </a:xfrm>
      </xdr:grpSpPr>
      <xdr:pic>
        <xdr:nvPicPr>
          <xdr:cNvPr id="35" name="Picture 34">
            <a:extLst>
              <a:ext uri="{FF2B5EF4-FFF2-40B4-BE49-F238E27FC236}">
                <a16:creationId xmlns:a16="http://schemas.microsoft.com/office/drawing/2014/main" xmlns="" id="{00000000-0008-0000-0000-000023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623325" y="3715065"/>
            <a:ext cx="3683000" cy="2844801"/>
          </a:xfrm>
          <a:prstGeom prst="rect">
            <a:avLst/>
          </a:prstGeom>
          <a:ln>
            <a:solidFill>
              <a:schemeClr val="tx1"/>
            </a:solidFill>
          </a:ln>
        </xdr:spPr>
      </xdr:pic>
      <xdr:sp macro="" textlink="">
        <xdr:nvSpPr>
          <xdr:cNvPr id="36" name="Freeform 35">
            <a:extLst>
              <a:ext uri="{FF2B5EF4-FFF2-40B4-BE49-F238E27FC236}">
                <a16:creationId xmlns:a16="http://schemas.microsoft.com/office/drawing/2014/main" xmlns="" id="{00000000-0008-0000-0000-000024000000}"/>
              </a:ext>
            </a:extLst>
          </xdr:cNvPr>
          <xdr:cNvSpPr/>
        </xdr:nvSpPr>
        <xdr:spPr>
          <a:xfrm>
            <a:off x="3101975" y="4181475"/>
            <a:ext cx="1492250" cy="1352550"/>
          </a:xfrm>
          <a:custGeom>
            <a:avLst/>
            <a:gdLst>
              <a:gd name="connsiteX0" fmla="*/ 663575 w 1492250"/>
              <a:gd name="connsiteY0" fmla="*/ 949325 h 1352550"/>
              <a:gd name="connsiteX1" fmla="*/ 612775 w 1492250"/>
              <a:gd name="connsiteY1" fmla="*/ 1352550 h 1352550"/>
              <a:gd name="connsiteX2" fmla="*/ 187325 w 1492250"/>
              <a:gd name="connsiteY2" fmla="*/ 1235075 h 1352550"/>
              <a:gd name="connsiteX3" fmla="*/ 0 w 1492250"/>
              <a:gd name="connsiteY3" fmla="*/ 866775 h 1352550"/>
              <a:gd name="connsiteX4" fmla="*/ 1127125 w 1492250"/>
              <a:gd name="connsiteY4" fmla="*/ 0 h 1352550"/>
              <a:gd name="connsiteX5" fmla="*/ 1492250 w 1492250"/>
              <a:gd name="connsiteY5" fmla="*/ 342900 h 1352550"/>
              <a:gd name="connsiteX6" fmla="*/ 1041400 w 1492250"/>
              <a:gd name="connsiteY6" fmla="*/ 752475 h 1352550"/>
              <a:gd name="connsiteX7" fmla="*/ 708025 w 1492250"/>
              <a:gd name="connsiteY7" fmla="*/ 673100 h 1352550"/>
              <a:gd name="connsiteX8" fmla="*/ 663575 w 1492250"/>
              <a:gd name="connsiteY8" fmla="*/ 949325 h 13525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492250" h="1352550">
                <a:moveTo>
                  <a:pt x="663575" y="949325"/>
                </a:moveTo>
                <a:lnTo>
                  <a:pt x="612775" y="1352550"/>
                </a:lnTo>
                <a:lnTo>
                  <a:pt x="187325" y="1235075"/>
                </a:lnTo>
                <a:lnTo>
                  <a:pt x="0" y="866775"/>
                </a:lnTo>
                <a:lnTo>
                  <a:pt x="1127125" y="0"/>
                </a:lnTo>
                <a:lnTo>
                  <a:pt x="1492250" y="342900"/>
                </a:lnTo>
                <a:lnTo>
                  <a:pt x="1041400" y="752475"/>
                </a:lnTo>
                <a:lnTo>
                  <a:pt x="708025" y="673100"/>
                </a:lnTo>
                <a:lnTo>
                  <a:pt x="663575" y="949325"/>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TextBox 124">
            <a:extLst>
              <a:ext uri="{FF2B5EF4-FFF2-40B4-BE49-F238E27FC236}">
                <a16:creationId xmlns:a16="http://schemas.microsoft.com/office/drawing/2014/main" xmlns="" id="{00000000-0008-0000-0000-000025000000}"/>
              </a:ext>
            </a:extLst>
          </xdr:cNvPr>
          <xdr:cNvSpPr txBox="1"/>
        </xdr:nvSpPr>
        <xdr:spPr>
          <a:xfrm>
            <a:off x="3730383" y="5114925"/>
            <a:ext cx="32893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10</a:t>
            </a:r>
            <a:endParaRPr lang="en-IN" sz="1100" b="1">
              <a:solidFill>
                <a:srgbClr val="FFFF00"/>
              </a:solidFill>
            </a:endParaRPr>
          </a:p>
        </xdr:txBody>
      </xdr:sp>
      <xdr:sp macro="" textlink="">
        <xdr:nvSpPr>
          <xdr:cNvPr id="38" name="TextBox 125">
            <a:extLst>
              <a:ext uri="{FF2B5EF4-FFF2-40B4-BE49-F238E27FC236}">
                <a16:creationId xmlns:a16="http://schemas.microsoft.com/office/drawing/2014/main" xmlns="" id="{00000000-0008-0000-0000-000026000000}"/>
              </a:ext>
            </a:extLst>
          </xdr:cNvPr>
          <xdr:cNvSpPr txBox="1"/>
        </xdr:nvSpPr>
        <xdr:spPr>
          <a:xfrm>
            <a:off x="3688601" y="5351160"/>
            <a:ext cx="32893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11</a:t>
            </a:r>
            <a:endParaRPr lang="en-IN" sz="1100" b="1">
              <a:solidFill>
                <a:srgbClr val="FFFF00"/>
              </a:solidFill>
            </a:endParaRPr>
          </a:p>
        </xdr:txBody>
      </xdr:sp>
      <xdr:sp macro="" textlink="">
        <xdr:nvSpPr>
          <xdr:cNvPr id="39" name="TextBox 126">
            <a:extLst>
              <a:ext uri="{FF2B5EF4-FFF2-40B4-BE49-F238E27FC236}">
                <a16:creationId xmlns:a16="http://schemas.microsoft.com/office/drawing/2014/main" xmlns="" id="{00000000-0008-0000-0000-000027000000}"/>
              </a:ext>
            </a:extLst>
          </xdr:cNvPr>
          <xdr:cNvSpPr txBox="1"/>
        </xdr:nvSpPr>
        <xdr:spPr>
          <a:xfrm>
            <a:off x="3185364" y="5135497"/>
            <a:ext cx="32893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12</a:t>
            </a:r>
            <a:endParaRPr lang="en-IN" sz="1100" b="1">
              <a:solidFill>
                <a:srgbClr val="FFFF00"/>
              </a:solidFill>
            </a:endParaRPr>
          </a:p>
        </xdr:txBody>
      </xdr:sp>
      <xdr:sp macro="" textlink="">
        <xdr:nvSpPr>
          <xdr:cNvPr id="40" name="TextBox 127">
            <a:extLst>
              <a:ext uri="{FF2B5EF4-FFF2-40B4-BE49-F238E27FC236}">
                <a16:creationId xmlns:a16="http://schemas.microsoft.com/office/drawing/2014/main" xmlns="" id="{00000000-0008-0000-0000-000028000000}"/>
              </a:ext>
            </a:extLst>
          </xdr:cNvPr>
          <xdr:cNvSpPr txBox="1"/>
        </xdr:nvSpPr>
        <xdr:spPr>
          <a:xfrm>
            <a:off x="3109129" y="4990916"/>
            <a:ext cx="328936"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13</a:t>
            </a:r>
            <a:endParaRPr lang="en-IN" sz="1100" b="1">
              <a:solidFill>
                <a:srgbClr val="FFFF00"/>
              </a:solidFill>
            </a:endParaRPr>
          </a:p>
        </xdr:txBody>
      </xdr:sp>
      <xdr:sp macro="" textlink="">
        <xdr:nvSpPr>
          <xdr:cNvPr id="41" name="TextBox 128">
            <a:extLst>
              <a:ext uri="{FF2B5EF4-FFF2-40B4-BE49-F238E27FC236}">
                <a16:creationId xmlns:a16="http://schemas.microsoft.com/office/drawing/2014/main" xmlns="" id="{00000000-0008-0000-0000-000029000000}"/>
              </a:ext>
            </a:extLst>
          </xdr:cNvPr>
          <xdr:cNvSpPr txBox="1"/>
        </xdr:nvSpPr>
        <xdr:spPr>
          <a:xfrm>
            <a:off x="4180046" y="4050670"/>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1</a:t>
            </a:r>
            <a:endParaRPr lang="en-IN" sz="1100" b="1">
              <a:solidFill>
                <a:srgbClr val="FFFF00"/>
              </a:solidFill>
            </a:endParaRPr>
          </a:p>
        </xdr:txBody>
      </xdr:sp>
      <xdr:sp macro="" textlink="">
        <xdr:nvSpPr>
          <xdr:cNvPr id="42" name="TextBox 129">
            <a:extLst>
              <a:ext uri="{FF2B5EF4-FFF2-40B4-BE49-F238E27FC236}">
                <a16:creationId xmlns:a16="http://schemas.microsoft.com/office/drawing/2014/main" xmlns="" id="{00000000-0008-0000-0000-00002A000000}"/>
              </a:ext>
            </a:extLst>
          </xdr:cNvPr>
          <xdr:cNvSpPr txBox="1"/>
        </xdr:nvSpPr>
        <xdr:spPr>
          <a:xfrm>
            <a:off x="4352554" y="4157847"/>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2</a:t>
            </a:r>
            <a:endParaRPr lang="en-IN" sz="1100" b="1">
              <a:solidFill>
                <a:srgbClr val="FFFF00"/>
              </a:solidFill>
            </a:endParaRPr>
          </a:p>
        </xdr:txBody>
      </xdr:sp>
      <xdr:sp macro="" textlink="">
        <xdr:nvSpPr>
          <xdr:cNvPr id="43" name="TextBox 130">
            <a:extLst>
              <a:ext uri="{FF2B5EF4-FFF2-40B4-BE49-F238E27FC236}">
                <a16:creationId xmlns:a16="http://schemas.microsoft.com/office/drawing/2014/main" xmlns="" id="{00000000-0008-0000-0000-00002B000000}"/>
              </a:ext>
            </a:extLst>
          </xdr:cNvPr>
          <xdr:cNvSpPr txBox="1"/>
        </xdr:nvSpPr>
        <xdr:spPr>
          <a:xfrm>
            <a:off x="4470256" y="4261094"/>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3</a:t>
            </a:r>
            <a:endParaRPr lang="en-IN" sz="1100" b="1">
              <a:solidFill>
                <a:srgbClr val="FFFF00"/>
              </a:solidFill>
            </a:endParaRPr>
          </a:p>
        </xdr:txBody>
      </xdr:sp>
      <xdr:sp macro="" textlink="">
        <xdr:nvSpPr>
          <xdr:cNvPr id="44" name="TextBox 131">
            <a:extLst>
              <a:ext uri="{FF2B5EF4-FFF2-40B4-BE49-F238E27FC236}">
                <a16:creationId xmlns:a16="http://schemas.microsoft.com/office/drawing/2014/main" xmlns="" id="{00000000-0008-0000-0000-00002C000000}"/>
              </a:ext>
            </a:extLst>
          </xdr:cNvPr>
          <xdr:cNvSpPr txBox="1"/>
        </xdr:nvSpPr>
        <xdr:spPr>
          <a:xfrm>
            <a:off x="4413393" y="4575471"/>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4</a:t>
            </a:r>
            <a:endParaRPr lang="en-IN" sz="1100" b="1">
              <a:solidFill>
                <a:srgbClr val="FFFF00"/>
              </a:solidFill>
            </a:endParaRPr>
          </a:p>
        </xdr:txBody>
      </xdr:sp>
      <xdr:sp macro="" textlink="">
        <xdr:nvSpPr>
          <xdr:cNvPr id="45" name="TextBox 132">
            <a:extLst>
              <a:ext uri="{FF2B5EF4-FFF2-40B4-BE49-F238E27FC236}">
                <a16:creationId xmlns:a16="http://schemas.microsoft.com/office/drawing/2014/main" xmlns="" id="{00000000-0008-0000-0000-00002D000000}"/>
              </a:ext>
            </a:extLst>
          </xdr:cNvPr>
          <xdr:cNvSpPr txBox="1"/>
        </xdr:nvSpPr>
        <xdr:spPr>
          <a:xfrm>
            <a:off x="3601686" y="4651256"/>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9</a:t>
            </a:r>
            <a:endParaRPr lang="en-IN" sz="1100" b="1">
              <a:solidFill>
                <a:srgbClr val="FFFF00"/>
              </a:solidFill>
            </a:endParaRPr>
          </a:p>
        </xdr:txBody>
      </xdr:sp>
      <xdr:sp macro="" textlink="">
        <xdr:nvSpPr>
          <xdr:cNvPr id="46" name="TextBox 133">
            <a:extLst>
              <a:ext uri="{FF2B5EF4-FFF2-40B4-BE49-F238E27FC236}">
                <a16:creationId xmlns:a16="http://schemas.microsoft.com/office/drawing/2014/main" xmlns="" id="{00000000-0008-0000-0000-00002E000000}"/>
              </a:ext>
            </a:extLst>
          </xdr:cNvPr>
          <xdr:cNvSpPr txBox="1"/>
        </xdr:nvSpPr>
        <xdr:spPr>
          <a:xfrm>
            <a:off x="3884167" y="4840628"/>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8</a:t>
            </a:r>
            <a:endParaRPr lang="en-IN" sz="1100" b="1">
              <a:solidFill>
                <a:srgbClr val="FFFF00"/>
              </a:solidFill>
            </a:endParaRPr>
          </a:p>
        </xdr:txBody>
      </xdr:sp>
      <xdr:sp macro="" textlink="">
        <xdr:nvSpPr>
          <xdr:cNvPr id="47" name="TextBox 134">
            <a:extLst>
              <a:ext uri="{FF2B5EF4-FFF2-40B4-BE49-F238E27FC236}">
                <a16:creationId xmlns:a16="http://schemas.microsoft.com/office/drawing/2014/main" xmlns="" id="{00000000-0008-0000-0000-00002F000000}"/>
              </a:ext>
            </a:extLst>
          </xdr:cNvPr>
          <xdr:cNvSpPr txBox="1"/>
        </xdr:nvSpPr>
        <xdr:spPr>
          <a:xfrm>
            <a:off x="3755766" y="4244299"/>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5</a:t>
            </a:r>
            <a:endParaRPr lang="en-IN" sz="1100" b="1">
              <a:solidFill>
                <a:srgbClr val="FFFF00"/>
              </a:solidFill>
            </a:endParaRPr>
          </a:p>
        </xdr:txBody>
      </xdr:sp>
      <xdr:sp macro="" textlink="">
        <xdr:nvSpPr>
          <xdr:cNvPr id="48" name="TextBox 135">
            <a:extLst>
              <a:ext uri="{FF2B5EF4-FFF2-40B4-BE49-F238E27FC236}">
                <a16:creationId xmlns:a16="http://schemas.microsoft.com/office/drawing/2014/main" xmlns="" id="{00000000-0008-0000-0000-000030000000}"/>
              </a:ext>
            </a:extLst>
          </xdr:cNvPr>
          <xdr:cNvSpPr txBox="1"/>
        </xdr:nvSpPr>
        <xdr:spPr>
          <a:xfrm>
            <a:off x="3917617" y="4485983"/>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6</a:t>
            </a:r>
            <a:endParaRPr lang="en-IN" sz="1100" b="1">
              <a:solidFill>
                <a:srgbClr val="FFFF00"/>
              </a:solidFill>
            </a:endParaRPr>
          </a:p>
        </xdr:txBody>
      </xdr:sp>
      <xdr:sp macro="" textlink="">
        <xdr:nvSpPr>
          <xdr:cNvPr id="49" name="TextBox 136">
            <a:extLst>
              <a:ext uri="{FF2B5EF4-FFF2-40B4-BE49-F238E27FC236}">
                <a16:creationId xmlns:a16="http://schemas.microsoft.com/office/drawing/2014/main" xmlns="" id="{00000000-0008-0000-0000-000031000000}"/>
              </a:ext>
            </a:extLst>
          </xdr:cNvPr>
          <xdr:cNvSpPr txBox="1"/>
        </xdr:nvSpPr>
        <xdr:spPr>
          <a:xfrm>
            <a:off x="4020339" y="4610556"/>
            <a:ext cx="256802"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7</a:t>
            </a:r>
            <a:endParaRPr lang="en-IN" sz="1100" b="1">
              <a:solidFill>
                <a:srgbClr val="FFFF00"/>
              </a:solidFill>
            </a:endParaRPr>
          </a:p>
        </xdr:txBody>
      </xdr:sp>
    </xdr:grpSp>
    <xdr:clientData/>
  </xdr:twoCellAnchor>
  <xdr:twoCellAnchor>
    <xdr:from>
      <xdr:col>4</xdr:col>
      <xdr:colOff>356152</xdr:colOff>
      <xdr:row>354</xdr:row>
      <xdr:rowOff>115956</xdr:rowOff>
    </xdr:from>
    <xdr:to>
      <xdr:col>4</xdr:col>
      <xdr:colOff>612913</xdr:colOff>
      <xdr:row>355</xdr:row>
      <xdr:rowOff>124239</xdr:rowOff>
    </xdr:to>
    <xdr:sp macro="" textlink="">
      <xdr:nvSpPr>
        <xdr:cNvPr id="50" name="Right Arrow 49">
          <a:extLst>
            <a:ext uri="{FF2B5EF4-FFF2-40B4-BE49-F238E27FC236}">
              <a16:creationId xmlns:a16="http://schemas.microsoft.com/office/drawing/2014/main" xmlns="" id="{00000000-0008-0000-0000-000032000000}"/>
            </a:ext>
          </a:extLst>
        </xdr:cNvPr>
        <xdr:cNvSpPr/>
      </xdr:nvSpPr>
      <xdr:spPr>
        <a:xfrm rot="12424893">
          <a:off x="3685761" y="63453065"/>
          <a:ext cx="256761" cy="17393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oneCellAnchor>
    <xdr:from>
      <xdr:col>4</xdr:col>
      <xdr:colOff>612913</xdr:colOff>
      <xdr:row>354</xdr:row>
      <xdr:rowOff>157369</xdr:rowOff>
    </xdr:from>
    <xdr:ext cx="275717" cy="264560"/>
    <xdr:sp macro="" textlink="">
      <xdr:nvSpPr>
        <xdr:cNvPr id="51" name="TextBox 50">
          <a:extLst>
            <a:ext uri="{FF2B5EF4-FFF2-40B4-BE49-F238E27FC236}">
              <a16:creationId xmlns:a16="http://schemas.microsoft.com/office/drawing/2014/main" xmlns="" id="{00000000-0008-0000-0000-000033000000}"/>
            </a:ext>
          </a:extLst>
        </xdr:cNvPr>
        <xdr:cNvSpPr txBox="1"/>
      </xdr:nvSpPr>
      <xdr:spPr>
        <a:xfrm>
          <a:off x="3942522" y="63494478"/>
          <a:ext cx="27571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N</a:t>
          </a:r>
        </a:p>
      </xdr:txBody>
    </xdr:sp>
    <xdr:clientData/>
  </xdr:oneCellAnchor>
  <xdr:twoCellAnchor editAs="oneCell">
    <xdr:from>
      <xdr:col>8</xdr:col>
      <xdr:colOff>853108</xdr:colOff>
      <xdr:row>46</xdr:row>
      <xdr:rowOff>124241</xdr:rowOff>
    </xdr:from>
    <xdr:to>
      <xdr:col>13</xdr:col>
      <xdr:colOff>91272</xdr:colOff>
      <xdr:row>50</xdr:row>
      <xdr:rowOff>38611</xdr:rowOff>
    </xdr:to>
    <xdr:pic>
      <xdr:nvPicPr>
        <xdr:cNvPr id="53" name="Picture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628282" y="12796632"/>
          <a:ext cx="2617468" cy="900000"/>
        </a:xfrm>
        <a:prstGeom prst="rect">
          <a:avLst/>
        </a:prstGeom>
        <a:ln>
          <a:solidFill>
            <a:schemeClr val="tx1"/>
          </a:solidFill>
        </a:ln>
      </xdr:spPr>
    </xdr:pic>
    <xdr:clientData/>
  </xdr:twoCellAnchor>
  <xdr:twoCellAnchor editAs="oneCell">
    <xdr:from>
      <xdr:col>9</xdr:col>
      <xdr:colOff>347870</xdr:colOff>
      <xdr:row>147</xdr:row>
      <xdr:rowOff>41413</xdr:rowOff>
    </xdr:from>
    <xdr:to>
      <xdr:col>13</xdr:col>
      <xdr:colOff>56218</xdr:colOff>
      <xdr:row>155</xdr:row>
      <xdr:rowOff>32221</xdr:rowOff>
    </xdr:to>
    <xdr:pic>
      <xdr:nvPicPr>
        <xdr:cNvPr id="65" name="Picture 64">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6"/>
        <a:stretch>
          <a:fillRect/>
        </a:stretch>
      </xdr:blipFill>
      <xdr:spPr>
        <a:xfrm>
          <a:off x="8050696" y="36261261"/>
          <a:ext cx="2160000" cy="1316027"/>
        </a:xfrm>
        <a:prstGeom prst="rect">
          <a:avLst/>
        </a:prstGeom>
        <a:ln>
          <a:solidFill>
            <a:schemeClr val="tx1"/>
          </a:solidFill>
        </a:ln>
      </xdr:spPr>
    </xdr:pic>
    <xdr:clientData/>
  </xdr:twoCellAnchor>
  <xdr:twoCellAnchor editAs="oneCell">
    <xdr:from>
      <xdr:col>9</xdr:col>
      <xdr:colOff>248478</xdr:colOff>
      <xdr:row>142</xdr:row>
      <xdr:rowOff>49695</xdr:rowOff>
    </xdr:from>
    <xdr:to>
      <xdr:col>13</xdr:col>
      <xdr:colOff>158731</xdr:colOff>
      <xdr:row>146</xdr:row>
      <xdr:rowOff>151020</xdr:rowOff>
    </xdr:to>
    <xdr:pic>
      <xdr:nvPicPr>
        <xdr:cNvPr id="66" name="Picture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7"/>
        <a:stretch>
          <a:fillRect/>
        </a:stretch>
      </xdr:blipFill>
      <xdr:spPr>
        <a:xfrm>
          <a:off x="7951304" y="35109978"/>
          <a:ext cx="2361905" cy="1095238"/>
        </a:xfrm>
        <a:prstGeom prst="rect">
          <a:avLst/>
        </a:prstGeom>
        <a:ln>
          <a:solidFill>
            <a:schemeClr val="tx1"/>
          </a:solidFill>
        </a:ln>
      </xdr:spPr>
    </xdr:pic>
    <xdr:clientData/>
  </xdr:twoCellAnchor>
  <xdr:twoCellAnchor editAs="oneCell">
    <xdr:from>
      <xdr:col>11</xdr:col>
      <xdr:colOff>33132</xdr:colOff>
      <xdr:row>168</xdr:row>
      <xdr:rowOff>107674</xdr:rowOff>
    </xdr:from>
    <xdr:to>
      <xdr:col>14</xdr:col>
      <xdr:colOff>354393</xdr:colOff>
      <xdr:row>174</xdr:row>
      <xdr:rowOff>138578</xdr:rowOff>
    </xdr:to>
    <xdr:pic>
      <xdr:nvPicPr>
        <xdr:cNvPr id="67" name="Picture 66">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8"/>
        <a:stretch>
          <a:fillRect/>
        </a:stretch>
      </xdr:blipFill>
      <xdr:spPr>
        <a:xfrm>
          <a:off x="8961784" y="32269044"/>
          <a:ext cx="2160000" cy="1024817"/>
        </a:xfrm>
        <a:prstGeom prst="rect">
          <a:avLst/>
        </a:prstGeom>
        <a:ln>
          <a:solidFill>
            <a:schemeClr val="tx1"/>
          </a:solidFill>
        </a:ln>
      </xdr:spPr>
    </xdr:pic>
    <xdr:clientData/>
  </xdr:twoCellAnchor>
  <xdr:twoCellAnchor editAs="oneCell">
    <xdr:from>
      <xdr:col>8</xdr:col>
      <xdr:colOff>314739</xdr:colOff>
      <xdr:row>175</xdr:row>
      <xdr:rowOff>1</xdr:rowOff>
    </xdr:from>
    <xdr:to>
      <xdr:col>11</xdr:col>
      <xdr:colOff>321261</xdr:colOff>
      <xdr:row>262</xdr:row>
      <xdr:rowOff>81499</xdr:rowOff>
    </xdr:to>
    <xdr:pic>
      <xdr:nvPicPr>
        <xdr:cNvPr id="68" name="Picture 67">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9"/>
        <a:stretch>
          <a:fillRect/>
        </a:stretch>
      </xdr:blipFill>
      <xdr:spPr>
        <a:xfrm>
          <a:off x="7089913" y="40858110"/>
          <a:ext cx="2160000" cy="1274195"/>
        </a:xfrm>
        <a:prstGeom prst="rect">
          <a:avLst/>
        </a:prstGeom>
        <a:ln>
          <a:solidFill>
            <a:schemeClr val="tx1"/>
          </a:solidFill>
        </a:ln>
      </xdr:spPr>
    </xdr:pic>
    <xdr:clientData/>
  </xdr:twoCellAnchor>
  <xdr:twoCellAnchor editAs="oneCell">
    <xdr:from>
      <xdr:col>8</xdr:col>
      <xdr:colOff>323021</xdr:colOff>
      <xdr:row>183</xdr:row>
      <xdr:rowOff>82826</xdr:rowOff>
    </xdr:from>
    <xdr:to>
      <xdr:col>12</xdr:col>
      <xdr:colOff>436630</xdr:colOff>
      <xdr:row>267</xdr:row>
      <xdr:rowOff>45587</xdr:rowOff>
    </xdr:to>
    <xdr:pic>
      <xdr:nvPicPr>
        <xdr:cNvPr id="69" name="Picture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10"/>
        <a:stretch>
          <a:fillRect/>
        </a:stretch>
      </xdr:blipFill>
      <xdr:spPr>
        <a:xfrm>
          <a:off x="7098195" y="42266152"/>
          <a:ext cx="2880000" cy="1594435"/>
        </a:xfrm>
        <a:prstGeom prst="rect">
          <a:avLst/>
        </a:prstGeom>
        <a:ln>
          <a:solidFill>
            <a:schemeClr val="tx1"/>
          </a:solidFill>
        </a:ln>
      </xdr:spPr>
    </xdr:pic>
    <xdr:clientData/>
  </xdr:twoCellAnchor>
  <xdr:twoCellAnchor editAs="oneCell">
    <xdr:from>
      <xdr:col>9</xdr:col>
      <xdr:colOff>521804</xdr:colOff>
      <xdr:row>266</xdr:row>
      <xdr:rowOff>24847</xdr:rowOff>
    </xdr:from>
    <xdr:to>
      <xdr:col>13</xdr:col>
      <xdr:colOff>230152</xdr:colOff>
      <xdr:row>275</xdr:row>
      <xdr:rowOff>230404</xdr:rowOff>
    </xdr:to>
    <xdr:pic>
      <xdr:nvPicPr>
        <xdr:cNvPr id="70" name="Picture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8224630" y="35201086"/>
          <a:ext cx="2160000" cy="2243078"/>
        </a:xfrm>
        <a:prstGeom prst="rect">
          <a:avLst/>
        </a:prstGeom>
        <a:ln>
          <a:solidFill>
            <a:schemeClr val="tx1"/>
          </a:solidFill>
        </a:ln>
      </xdr:spPr>
    </xdr:pic>
    <xdr:clientData/>
  </xdr:twoCellAnchor>
  <xdr:twoCellAnchor editAs="oneCell">
    <xdr:from>
      <xdr:col>9</xdr:col>
      <xdr:colOff>107674</xdr:colOff>
      <xdr:row>37</xdr:row>
      <xdr:rowOff>1200978</xdr:rowOff>
    </xdr:from>
    <xdr:to>
      <xdr:col>12</xdr:col>
      <xdr:colOff>428935</xdr:colOff>
      <xdr:row>46</xdr:row>
      <xdr:rowOff>87569</xdr:rowOff>
    </xdr:to>
    <xdr:pic>
      <xdr:nvPicPr>
        <xdr:cNvPr id="71" name="Picture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810500" y="10552043"/>
          <a:ext cx="2160000" cy="2042264"/>
        </a:xfrm>
        <a:prstGeom prst="rect">
          <a:avLst/>
        </a:prstGeom>
        <a:ln>
          <a:solidFill>
            <a:schemeClr val="tx1"/>
          </a:solidFill>
        </a:ln>
      </xdr:spPr>
    </xdr:pic>
    <xdr:clientData/>
  </xdr:twoCellAnchor>
  <xdr:twoCellAnchor>
    <xdr:from>
      <xdr:col>0</xdr:col>
      <xdr:colOff>64604</xdr:colOff>
      <xdr:row>277</xdr:row>
      <xdr:rowOff>74542</xdr:rowOff>
    </xdr:from>
    <xdr:to>
      <xdr:col>7</xdr:col>
      <xdr:colOff>872877</xdr:colOff>
      <xdr:row>322</xdr:row>
      <xdr:rowOff>54560</xdr:rowOff>
    </xdr:to>
    <xdr:grpSp>
      <xdr:nvGrpSpPr>
        <xdr:cNvPr id="75" name="Group 74"/>
        <xdr:cNvGrpSpPr/>
      </xdr:nvGrpSpPr>
      <xdr:grpSpPr>
        <a:xfrm>
          <a:off x="64604" y="31714107"/>
          <a:ext cx="6722056" cy="7434366"/>
          <a:chOff x="64604" y="31192303"/>
          <a:chExt cx="6722056" cy="7434366"/>
        </a:xfrm>
      </xdr:grpSpPr>
      <xdr:grpSp>
        <xdr:nvGrpSpPr>
          <xdr:cNvPr id="58" name="Group 57"/>
          <xdr:cNvGrpSpPr/>
        </xdr:nvGrpSpPr>
        <xdr:grpSpPr>
          <a:xfrm>
            <a:off x="64604" y="31205555"/>
            <a:ext cx="6722056" cy="7421114"/>
            <a:chOff x="64604" y="31205555"/>
            <a:chExt cx="6722056" cy="7421114"/>
          </a:xfrm>
        </xdr:grpSpPr>
        <xdr:pic>
          <xdr:nvPicPr>
            <xdr:cNvPr id="102" name="Picture 101" descr="https://vsjcllp.vsjadon.com/upload/insp-249965-152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5168347" y="3646004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3" name="Picture 102" descr="https://vsjcllp.vsjadon.com/upload/insp-249965-849.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772479" y="3646335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4" name="Picture 103" descr="https://vsjcllp.vsjadon.com/upload/insp-249965-86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479235" y="31207211"/>
              <a:ext cx="2080081" cy="27763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5" name="Picture 104" descr="https://vsjcllp.vsjadon.com/upload/insp-249965-86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150743" y="31210525"/>
              <a:ext cx="2080081" cy="27763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6" name="Picture 105" descr="https://vsjcllp.vsjadon.com/upload/insp-249965-87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307534" y="31205555"/>
              <a:ext cx="2080081" cy="27763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7" name="Picture 106" descr="https://vsjcllp.vsjadon.com/upload/insp-249965-877.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221936" y="34058086"/>
              <a:ext cx="1735054" cy="23158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8" name="Picture 107" descr="https://vsjcllp.vsjadon.com/upload/insp-249965-940.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5039140" y="34061400"/>
              <a:ext cx="1735054" cy="23158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9" name="Picture 108" descr="https://vsjcllp.vsjadon.com/upload/insp-249965-1022.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64604" y="3646666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0" name="Picture 109" descr="https://vsjcllp.vsjadon.com/upload/insp-249965-928.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74544" y="34060778"/>
              <a:ext cx="3084897" cy="231581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1" name="Picture 110" descr="https://vsjcllp.vsjadon.com/upload/insp-249965-1512.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3472067" y="364617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12" name="TextBox 29">
            <a:extLst>
              <a:ext uri="{FF2B5EF4-FFF2-40B4-BE49-F238E27FC236}">
                <a16:creationId xmlns:a16="http://schemas.microsoft.com/office/drawing/2014/main" xmlns="" id="{7C1AC3FD-A0B5-ED69-3ED3-69802103B116}"/>
              </a:ext>
            </a:extLst>
          </xdr:cNvPr>
          <xdr:cNvSpPr txBox="1"/>
        </xdr:nvSpPr>
        <xdr:spPr>
          <a:xfrm>
            <a:off x="1356691" y="31255250"/>
            <a:ext cx="473186"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a:t>
            </a:r>
            <a:endParaRPr lang="en-IN" b="1">
              <a:solidFill>
                <a:srgbClr val="FF0000"/>
              </a:solidFill>
            </a:endParaRPr>
          </a:p>
        </xdr:txBody>
      </xdr:sp>
      <xdr:sp macro="" textlink="">
        <xdr:nvSpPr>
          <xdr:cNvPr id="113" name="TextBox 29">
            <a:extLst>
              <a:ext uri="{FF2B5EF4-FFF2-40B4-BE49-F238E27FC236}">
                <a16:creationId xmlns:a16="http://schemas.microsoft.com/office/drawing/2014/main" xmlns="" id="{7C1AC3FD-A0B5-ED69-3ED3-69802103B116}"/>
              </a:ext>
            </a:extLst>
          </xdr:cNvPr>
          <xdr:cNvSpPr txBox="1"/>
        </xdr:nvSpPr>
        <xdr:spPr>
          <a:xfrm>
            <a:off x="4573656" y="31192303"/>
            <a:ext cx="473186"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12</a:t>
            </a:r>
            <a:endParaRPr lang="en-IN" b="1">
              <a:solidFill>
                <a:srgbClr val="FF0000"/>
              </a:solidFill>
            </a:endParaRPr>
          </a:p>
        </xdr:txBody>
      </xdr:sp>
      <xdr:sp macro="" textlink="">
        <xdr:nvSpPr>
          <xdr:cNvPr id="114" name="TextBox 29">
            <a:extLst>
              <a:ext uri="{FF2B5EF4-FFF2-40B4-BE49-F238E27FC236}">
                <a16:creationId xmlns:a16="http://schemas.microsoft.com/office/drawing/2014/main" xmlns="" id="{7C1AC3FD-A0B5-ED69-3ED3-69802103B116}"/>
              </a:ext>
            </a:extLst>
          </xdr:cNvPr>
          <xdr:cNvSpPr txBox="1"/>
        </xdr:nvSpPr>
        <xdr:spPr>
          <a:xfrm>
            <a:off x="2556013" y="31203899"/>
            <a:ext cx="473186"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11</a:t>
            </a:r>
            <a:endParaRPr lang="en-IN" b="1">
              <a:solidFill>
                <a:srgbClr val="FF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rBTG7jPaeXd5CiC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23"/>
  <sheetViews>
    <sheetView tabSelected="1" view="pageBreakPreview" zoomScale="115" zoomScaleNormal="115" zoomScaleSheetLayoutView="115" workbookViewId="0">
      <selection activeCell="K11" sqref="K11"/>
    </sheetView>
  </sheetViews>
  <sheetFormatPr defaultColWidth="9.140625" defaultRowHeight="12.75" x14ac:dyDescent="0.2"/>
  <cols>
    <col min="1" max="2" width="12" style="6" customWidth="1"/>
    <col min="3" max="7" width="12.85546875" style="6" customWidth="1"/>
    <col min="8" max="8" width="13.5703125" style="6" customWidth="1"/>
    <col min="9" max="9" width="13.85546875" style="6" customWidth="1"/>
    <col min="10" max="16384" width="9.140625" style="6"/>
  </cols>
  <sheetData>
    <row r="1" spans="1:20" ht="41.25" customHeight="1" x14ac:dyDescent="0.35">
      <c r="A1" s="59" t="s">
        <v>147</v>
      </c>
      <c r="B1" s="59"/>
      <c r="C1" s="60"/>
      <c r="D1" s="60"/>
      <c r="E1" s="60"/>
      <c r="F1" s="60"/>
      <c r="G1" s="60"/>
      <c r="H1" s="60"/>
      <c r="I1" s="45" t="s">
        <v>278</v>
      </c>
    </row>
    <row r="2" spans="1:20" ht="13.9" x14ac:dyDescent="0.25">
      <c r="A2" s="61" t="s">
        <v>87</v>
      </c>
      <c r="B2" s="61"/>
      <c r="C2" s="61"/>
      <c r="D2" s="61"/>
      <c r="E2" s="61"/>
      <c r="F2" s="61"/>
      <c r="G2" s="61"/>
      <c r="H2" s="61"/>
    </row>
    <row r="3" spans="1:20" ht="25.5" x14ac:dyDescent="0.2">
      <c r="A3" s="62" t="s">
        <v>104</v>
      </c>
      <c r="B3" s="62"/>
      <c r="C3" s="63" t="s">
        <v>110</v>
      </c>
      <c r="D3" s="64"/>
      <c r="E3" s="65"/>
      <c r="F3" s="66" t="s">
        <v>105</v>
      </c>
      <c r="G3" s="67">
        <v>45933</v>
      </c>
      <c r="H3" s="67"/>
    </row>
    <row r="4" spans="1:20" ht="25.5" x14ac:dyDescent="0.2">
      <c r="A4" s="62" t="s">
        <v>108</v>
      </c>
      <c r="B4" s="62"/>
      <c r="C4" s="63" t="s">
        <v>226</v>
      </c>
      <c r="D4" s="64"/>
      <c r="E4" s="65"/>
      <c r="F4" s="66" t="s">
        <v>106</v>
      </c>
      <c r="G4" s="68" t="s">
        <v>290</v>
      </c>
      <c r="H4" s="68"/>
    </row>
    <row r="5" spans="1:20" ht="39.6" x14ac:dyDescent="0.25">
      <c r="A5" s="69" t="s">
        <v>109</v>
      </c>
      <c r="B5" s="70"/>
      <c r="C5" s="63" t="s">
        <v>291</v>
      </c>
      <c r="D5" s="64"/>
      <c r="E5" s="65"/>
      <c r="F5" s="66" t="s">
        <v>107</v>
      </c>
      <c r="G5" s="67" t="str">
        <f ca="1">TEXT(TODAY(),"DD/MM/YYYY")</f>
        <v>04/10/2025</v>
      </c>
      <c r="H5" s="67"/>
    </row>
    <row r="6" spans="1:20" ht="13.9" x14ac:dyDescent="0.25">
      <c r="A6" s="61" t="s">
        <v>103</v>
      </c>
      <c r="B6" s="61"/>
      <c r="C6" s="61"/>
      <c r="D6" s="61"/>
      <c r="E6" s="61"/>
      <c r="F6" s="61"/>
      <c r="G6" s="61"/>
      <c r="H6" s="61"/>
    </row>
    <row r="7" spans="1:20" ht="14.25" x14ac:dyDescent="0.2">
      <c r="A7" s="71" t="s">
        <v>0</v>
      </c>
      <c r="B7" s="72"/>
      <c r="C7" s="73" t="s">
        <v>228</v>
      </c>
      <c r="D7" s="73"/>
      <c r="E7" s="73"/>
      <c r="F7" s="73"/>
      <c r="G7" s="73"/>
      <c r="H7" s="73"/>
    </row>
    <row r="8" spans="1:20" ht="25.5" customHeight="1" x14ac:dyDescent="0.25">
      <c r="A8" s="71" t="s">
        <v>1</v>
      </c>
      <c r="B8" s="72"/>
      <c r="C8" s="74" t="str">
        <f>CONCATENATE((IF(OR(C7="",C7="NA"),"",C7)),", ",(IF(OR(A9="",A9="NA"),"",A9)),".",(IF(OR(C9="",C9="NA"),"",C9)),", near ",(IF(OR(C17="",C17="NA"),"",C17)),", ",(IF(OR(C11="",C11="NA"),"",C11)),", ",(IF(OR(C10="",C10="NA"),"",C10)),", ",(IF(OR(C12="",C12="NA"),"",C12)),", ",(IF(OR(C13="",C13="NA"),"",C13)),", ",(IF(OR(C14="",C14="NA"),"",C14))," - ",(IF(OR(C15="",C15="NA"),"",C15)),".")</f>
        <v>Himalaya Gardens, Survey No.8/1, 8/2A/1 &amp; S No.9/1B, near Tulsi V City, Internal Road, Pashane, Vangani, Karjat, Raigad - 410101.</v>
      </c>
      <c r="D8" s="74"/>
      <c r="E8" s="74"/>
      <c r="F8" s="74"/>
      <c r="G8" s="74"/>
      <c r="H8" s="74"/>
      <c r="P8" s="40" t="s">
        <v>151</v>
      </c>
      <c r="Q8" s="40" t="s">
        <v>152</v>
      </c>
      <c r="R8" s="40" t="s">
        <v>153</v>
      </c>
      <c r="S8" s="40" t="s">
        <v>154</v>
      </c>
      <c r="T8" s="40" t="s">
        <v>155</v>
      </c>
    </row>
    <row r="9" spans="1:20" ht="14.45" x14ac:dyDescent="0.25">
      <c r="A9" s="71" t="s">
        <v>229</v>
      </c>
      <c r="B9" s="72"/>
      <c r="C9" s="74" t="s">
        <v>249</v>
      </c>
      <c r="D9" s="74"/>
      <c r="E9" s="74"/>
      <c r="F9" s="74"/>
      <c r="G9" s="74"/>
      <c r="H9" s="74"/>
      <c r="P9" s="40" t="s">
        <v>156</v>
      </c>
      <c r="Q9" s="40" t="s">
        <v>157</v>
      </c>
      <c r="R9" s="40" t="s">
        <v>158</v>
      </c>
      <c r="S9" s="40" t="s">
        <v>159</v>
      </c>
      <c r="T9" s="40" t="s">
        <v>160</v>
      </c>
    </row>
    <row r="10" spans="1:20" ht="14.45" x14ac:dyDescent="0.25">
      <c r="A10" s="71" t="s">
        <v>6</v>
      </c>
      <c r="B10" s="72"/>
      <c r="C10" s="75" t="s">
        <v>230</v>
      </c>
      <c r="D10" s="75"/>
      <c r="E10" s="75"/>
      <c r="F10" s="75"/>
      <c r="G10" s="75"/>
      <c r="H10" s="75"/>
      <c r="P10" s="40" t="s">
        <v>161</v>
      </c>
      <c r="Q10" s="40" t="s">
        <v>162</v>
      </c>
      <c r="R10" s="40" t="s">
        <v>163</v>
      </c>
      <c r="S10" s="40" t="s">
        <v>164</v>
      </c>
      <c r="T10" s="40" t="s">
        <v>165</v>
      </c>
    </row>
    <row r="11" spans="1:20" ht="14.45" x14ac:dyDescent="0.25">
      <c r="A11" s="71" t="s">
        <v>149</v>
      </c>
      <c r="B11" s="72"/>
      <c r="C11" s="75" t="s">
        <v>231</v>
      </c>
      <c r="D11" s="75"/>
      <c r="E11" s="75"/>
      <c r="F11" s="75"/>
      <c r="G11" s="75"/>
      <c r="H11" s="75"/>
      <c r="P11" s="40" t="s">
        <v>166</v>
      </c>
      <c r="Q11" s="40" t="s">
        <v>167</v>
      </c>
      <c r="R11" s="40" t="s">
        <v>168</v>
      </c>
      <c r="S11" s="40" t="s">
        <v>169</v>
      </c>
      <c r="T11" s="40" t="s">
        <v>170</v>
      </c>
    </row>
    <row r="12" spans="1:20" ht="14.45" x14ac:dyDescent="0.25">
      <c r="A12" s="71" t="s">
        <v>150</v>
      </c>
      <c r="B12" s="72"/>
      <c r="C12" s="75" t="s">
        <v>232</v>
      </c>
      <c r="D12" s="75"/>
      <c r="E12" s="75"/>
      <c r="F12" s="75"/>
      <c r="G12" s="75"/>
      <c r="H12" s="75"/>
      <c r="P12" s="40" t="s">
        <v>171</v>
      </c>
      <c r="Q12" s="40" t="s">
        <v>172</v>
      </c>
      <c r="R12" s="40" t="s">
        <v>153</v>
      </c>
      <c r="S12" s="40" t="s">
        <v>173</v>
      </c>
      <c r="T12" s="40" t="s">
        <v>174</v>
      </c>
    </row>
    <row r="13" spans="1:20" ht="14.45" x14ac:dyDescent="0.25">
      <c r="A13" s="71" t="s">
        <v>136</v>
      </c>
      <c r="B13" s="72"/>
      <c r="C13" s="75" t="s">
        <v>173</v>
      </c>
      <c r="D13" s="75"/>
      <c r="E13" s="75"/>
      <c r="F13" s="75"/>
      <c r="G13" s="75"/>
      <c r="H13" s="75"/>
      <c r="P13" s="40" t="s">
        <v>175</v>
      </c>
      <c r="Q13" s="40" t="s">
        <v>152</v>
      </c>
      <c r="R13" s="40"/>
      <c r="S13" s="40" t="s">
        <v>176</v>
      </c>
      <c r="T13" s="40" t="s">
        <v>177</v>
      </c>
    </row>
    <row r="14" spans="1:20" ht="14.45" x14ac:dyDescent="0.25">
      <c r="A14" s="71" t="s">
        <v>137</v>
      </c>
      <c r="B14" s="72"/>
      <c r="C14" s="75" t="s">
        <v>154</v>
      </c>
      <c r="D14" s="75"/>
      <c r="E14" s="75"/>
      <c r="F14" s="75"/>
      <c r="G14" s="75"/>
      <c r="H14" s="75"/>
      <c r="P14" s="40" t="s">
        <v>178</v>
      </c>
      <c r="Q14" s="40" t="s">
        <v>179</v>
      </c>
      <c r="R14" s="40"/>
      <c r="S14" s="40" t="s">
        <v>180</v>
      </c>
      <c r="T14" s="40" t="s">
        <v>181</v>
      </c>
    </row>
    <row r="15" spans="1:20" ht="14.45" x14ac:dyDescent="0.25">
      <c r="A15" s="71" t="s">
        <v>138</v>
      </c>
      <c r="B15" s="72"/>
      <c r="C15" s="76">
        <v>410101</v>
      </c>
      <c r="D15" s="76"/>
      <c r="E15" s="76"/>
      <c r="F15" s="76"/>
      <c r="G15" s="76"/>
      <c r="H15" s="76"/>
      <c r="P15" s="40" t="s">
        <v>182</v>
      </c>
      <c r="Q15" s="40" t="s">
        <v>183</v>
      </c>
      <c r="R15" s="40"/>
      <c r="S15" s="40" t="s">
        <v>184</v>
      </c>
      <c r="T15" s="40" t="s">
        <v>185</v>
      </c>
    </row>
    <row r="16" spans="1:20" ht="15" x14ac:dyDescent="0.2">
      <c r="A16" s="71" t="s">
        <v>50</v>
      </c>
      <c r="B16" s="72"/>
      <c r="C16" s="74" t="s">
        <v>227</v>
      </c>
      <c r="D16" s="74"/>
      <c r="E16" s="74"/>
      <c r="F16" s="74"/>
      <c r="G16" s="74"/>
      <c r="H16" s="74"/>
      <c r="P16" s="40"/>
      <c r="Q16" s="40"/>
      <c r="R16" s="40"/>
      <c r="S16" s="40" t="s">
        <v>186</v>
      </c>
      <c r="T16" s="40" t="s">
        <v>187</v>
      </c>
    </row>
    <row r="17" spans="1:20" ht="14.45" x14ac:dyDescent="0.25">
      <c r="A17" s="71" t="s">
        <v>92</v>
      </c>
      <c r="B17" s="72"/>
      <c r="C17" s="77" t="s">
        <v>233</v>
      </c>
      <c r="D17" s="77"/>
      <c r="E17" s="77"/>
      <c r="F17" s="77"/>
      <c r="G17" s="77"/>
      <c r="H17" s="77"/>
      <c r="P17" s="40"/>
      <c r="Q17" s="40"/>
      <c r="R17" s="40"/>
      <c r="S17" s="40" t="s">
        <v>188</v>
      </c>
      <c r="T17" s="40" t="s">
        <v>189</v>
      </c>
    </row>
    <row r="18" spans="1:20" ht="14.45" x14ac:dyDescent="0.25">
      <c r="A18" s="71" t="s">
        <v>91</v>
      </c>
      <c r="B18" s="72"/>
      <c r="C18" s="78" t="s">
        <v>148</v>
      </c>
      <c r="D18" s="79"/>
      <c r="E18" s="80"/>
      <c r="F18" s="78" t="s">
        <v>234</v>
      </c>
      <c r="G18" s="79"/>
      <c r="H18" s="80"/>
      <c r="P18" s="40"/>
      <c r="Q18" s="40"/>
      <c r="R18" s="40"/>
      <c r="S18" s="40" t="s">
        <v>190</v>
      </c>
      <c r="T18" s="40" t="s">
        <v>191</v>
      </c>
    </row>
    <row r="19" spans="1:20" ht="14.45" x14ac:dyDescent="0.25">
      <c r="A19" s="71" t="s">
        <v>139</v>
      </c>
      <c r="B19" s="72"/>
      <c r="C19" s="81" t="s">
        <v>235</v>
      </c>
      <c r="D19" s="79"/>
      <c r="E19" s="79"/>
      <c r="F19" s="79"/>
      <c r="G19" s="79"/>
      <c r="H19" s="80"/>
      <c r="P19" s="40"/>
      <c r="Q19" s="40"/>
      <c r="R19" s="40"/>
      <c r="S19" s="40" t="s">
        <v>192</v>
      </c>
      <c r="T19" s="40" t="s">
        <v>193</v>
      </c>
    </row>
    <row r="20" spans="1:20" ht="14.45" x14ac:dyDescent="0.25">
      <c r="A20" s="71" t="s">
        <v>2</v>
      </c>
      <c r="B20" s="72"/>
      <c r="C20" s="74" t="s">
        <v>236</v>
      </c>
      <c r="D20" s="74"/>
      <c r="E20" s="74"/>
      <c r="F20" s="74"/>
      <c r="G20" s="74"/>
      <c r="H20" s="74"/>
      <c r="P20" s="40"/>
      <c r="Q20" s="40"/>
      <c r="R20" s="40"/>
      <c r="S20" s="40" t="s">
        <v>194</v>
      </c>
      <c r="T20" s="40" t="s">
        <v>195</v>
      </c>
    </row>
    <row r="21" spans="1:20" ht="14.45" x14ac:dyDescent="0.25">
      <c r="A21" s="71" t="s">
        <v>3</v>
      </c>
      <c r="B21" s="72"/>
      <c r="C21" s="82" t="s">
        <v>237</v>
      </c>
      <c r="D21" s="82"/>
      <c r="E21" s="82"/>
      <c r="F21" s="82"/>
      <c r="G21" s="82"/>
      <c r="H21" s="82"/>
      <c r="P21" s="40"/>
      <c r="Q21" s="40"/>
      <c r="R21" s="40"/>
      <c r="S21" s="40" t="s">
        <v>196</v>
      </c>
      <c r="T21" s="40" t="s">
        <v>197</v>
      </c>
    </row>
    <row r="22" spans="1:20" ht="15" customHeight="1" x14ac:dyDescent="0.25">
      <c r="A22" s="71" t="s">
        <v>111</v>
      </c>
      <c r="B22" s="72"/>
      <c r="C22" s="76" t="s">
        <v>54</v>
      </c>
      <c r="D22" s="76"/>
      <c r="E22" s="76"/>
      <c r="F22" s="76"/>
      <c r="G22" s="76"/>
      <c r="H22" s="76"/>
      <c r="P22" s="40"/>
      <c r="Q22" s="40"/>
      <c r="R22" s="40"/>
      <c r="S22" s="40" t="s">
        <v>198</v>
      </c>
      <c r="T22" s="40" t="s">
        <v>199</v>
      </c>
    </row>
    <row r="23" spans="1:20" ht="12.75" customHeight="1" x14ac:dyDescent="0.25">
      <c r="A23" s="71" t="s">
        <v>4</v>
      </c>
      <c r="B23" s="72"/>
      <c r="C23" s="75" t="s">
        <v>239</v>
      </c>
      <c r="D23" s="75"/>
      <c r="E23" s="75"/>
      <c r="F23" s="75"/>
      <c r="G23" s="75"/>
      <c r="H23" s="75"/>
      <c r="I23" s="41" t="s">
        <v>240</v>
      </c>
    </row>
    <row r="24" spans="1:20" ht="13.15" x14ac:dyDescent="0.25">
      <c r="A24" s="71" t="s">
        <v>5</v>
      </c>
      <c r="B24" s="72"/>
      <c r="C24" s="75" t="s">
        <v>241</v>
      </c>
      <c r="D24" s="75"/>
      <c r="E24" s="75"/>
      <c r="F24" s="75"/>
      <c r="G24" s="75"/>
      <c r="H24" s="75"/>
    </row>
    <row r="25" spans="1:20" ht="27.75" customHeight="1" x14ac:dyDescent="0.25">
      <c r="A25" s="71" t="s">
        <v>89</v>
      </c>
      <c r="B25" s="72"/>
      <c r="C25" s="75" t="s">
        <v>242</v>
      </c>
      <c r="D25" s="75"/>
      <c r="E25" s="75"/>
      <c r="F25" s="75"/>
      <c r="G25" s="75"/>
      <c r="H25" s="75"/>
    </row>
    <row r="26" spans="1:20" ht="38.25" customHeight="1" x14ac:dyDescent="0.25">
      <c r="A26" s="83" t="s">
        <v>90</v>
      </c>
      <c r="B26" s="84"/>
      <c r="C26" s="85" t="s">
        <v>243</v>
      </c>
      <c r="D26" s="85"/>
      <c r="E26" s="85"/>
      <c r="F26" s="85"/>
      <c r="G26" s="85"/>
      <c r="H26" s="85"/>
    </row>
    <row r="27" spans="1:20" ht="26.25" customHeight="1" x14ac:dyDescent="0.25">
      <c r="A27" s="71" t="s">
        <v>94</v>
      </c>
      <c r="B27" s="72"/>
      <c r="C27" s="78">
        <v>3</v>
      </c>
      <c r="D27" s="80"/>
      <c r="E27" s="71" t="s">
        <v>7</v>
      </c>
      <c r="F27" s="72"/>
      <c r="G27" s="86" t="s">
        <v>93</v>
      </c>
      <c r="H27" s="86"/>
    </row>
    <row r="28" spans="1:20" ht="26.25" customHeight="1" x14ac:dyDescent="0.25">
      <c r="A28" s="71" t="s">
        <v>8</v>
      </c>
      <c r="B28" s="72"/>
      <c r="C28" s="87" t="s">
        <v>283</v>
      </c>
      <c r="D28" s="88"/>
      <c r="E28" s="71" t="s">
        <v>287</v>
      </c>
      <c r="F28" s="72"/>
      <c r="G28" s="89">
        <f>0.15*74</f>
        <v>11.1</v>
      </c>
      <c r="H28" s="89"/>
    </row>
    <row r="29" spans="1:20" ht="13.15" x14ac:dyDescent="0.25">
      <c r="A29" s="71" t="s">
        <v>208</v>
      </c>
      <c r="B29" s="72"/>
      <c r="C29" s="78" t="s">
        <v>282</v>
      </c>
      <c r="D29" s="79"/>
      <c r="E29" s="90"/>
      <c r="F29" s="90"/>
      <c r="G29" s="90"/>
      <c r="H29" s="88"/>
    </row>
    <row r="30" spans="1:20" ht="13.15" x14ac:dyDescent="0.25">
      <c r="A30" s="71" t="s">
        <v>209</v>
      </c>
      <c r="B30" s="72"/>
      <c r="C30" s="78" t="s">
        <v>282</v>
      </c>
      <c r="D30" s="79"/>
      <c r="E30" s="90"/>
      <c r="F30" s="90"/>
      <c r="G30" s="90"/>
      <c r="H30" s="88"/>
    </row>
    <row r="31" spans="1:20" ht="12.75" customHeight="1" x14ac:dyDescent="0.2">
      <c r="A31" s="91" t="s">
        <v>9</v>
      </c>
      <c r="B31" s="92"/>
      <c r="C31" s="93" t="s">
        <v>95</v>
      </c>
      <c r="D31" s="94"/>
      <c r="E31" s="95" t="s">
        <v>12</v>
      </c>
      <c r="F31" s="95" t="s">
        <v>13</v>
      </c>
      <c r="G31" s="95" t="s">
        <v>14</v>
      </c>
      <c r="H31" s="95" t="s">
        <v>15</v>
      </c>
    </row>
    <row r="32" spans="1:20" ht="12.75" customHeight="1" x14ac:dyDescent="0.2">
      <c r="A32" s="96"/>
      <c r="B32" s="97"/>
      <c r="C32" s="93" t="s">
        <v>10</v>
      </c>
      <c r="D32" s="94"/>
      <c r="E32" s="98" t="s">
        <v>238</v>
      </c>
      <c r="F32" s="98" t="s">
        <v>238</v>
      </c>
      <c r="G32" s="98" t="s">
        <v>238</v>
      </c>
      <c r="H32" s="98" t="s">
        <v>238</v>
      </c>
    </row>
    <row r="33" spans="1:9" ht="30.75" customHeight="1" x14ac:dyDescent="0.2">
      <c r="A33" s="96"/>
      <c r="B33" s="97"/>
      <c r="C33" s="93" t="s">
        <v>88</v>
      </c>
      <c r="D33" s="94"/>
      <c r="E33" s="98" t="s">
        <v>250</v>
      </c>
      <c r="F33" s="99" t="s">
        <v>251</v>
      </c>
      <c r="G33" s="99" t="s">
        <v>251</v>
      </c>
      <c r="H33" s="98" t="s">
        <v>253</v>
      </c>
    </row>
    <row r="34" spans="1:9" ht="12.75" customHeight="1" x14ac:dyDescent="0.2">
      <c r="A34" s="100"/>
      <c r="B34" s="101"/>
      <c r="C34" s="93" t="s">
        <v>11</v>
      </c>
      <c r="D34" s="94"/>
      <c r="E34" s="98" t="s">
        <v>231</v>
      </c>
      <c r="F34" s="98" t="s">
        <v>252</v>
      </c>
      <c r="G34" s="98" t="s">
        <v>252</v>
      </c>
      <c r="H34" s="98" t="s">
        <v>231</v>
      </c>
    </row>
    <row r="35" spans="1:9" ht="26.25" customHeight="1" x14ac:dyDescent="0.25">
      <c r="A35" s="71" t="s">
        <v>16</v>
      </c>
      <c r="B35" s="72"/>
      <c r="C35" s="102" t="s">
        <v>248</v>
      </c>
      <c r="D35" s="102"/>
      <c r="E35" s="102"/>
      <c r="F35" s="102"/>
      <c r="G35" s="102"/>
      <c r="H35" s="102"/>
    </row>
    <row r="36" spans="1:9" ht="38.25" customHeight="1" x14ac:dyDescent="0.25">
      <c r="A36" s="71" t="s">
        <v>133</v>
      </c>
      <c r="B36" s="72"/>
      <c r="C36" s="103" t="s">
        <v>247</v>
      </c>
      <c r="D36" s="104"/>
      <c r="E36" s="105" t="s">
        <v>134</v>
      </c>
      <c r="F36" s="105"/>
      <c r="G36" s="106" t="s">
        <v>246</v>
      </c>
      <c r="H36" s="106"/>
    </row>
    <row r="37" spans="1:9" ht="13.15" x14ac:dyDescent="0.25">
      <c r="A37" s="71" t="s">
        <v>17</v>
      </c>
      <c r="B37" s="72"/>
      <c r="C37" s="106" t="s">
        <v>255</v>
      </c>
      <c r="D37" s="106"/>
      <c r="E37" s="106"/>
      <c r="F37" s="106"/>
      <c r="G37" s="106"/>
      <c r="H37" s="106"/>
    </row>
    <row r="38" spans="1:9" ht="130.5" customHeight="1" x14ac:dyDescent="0.25">
      <c r="A38" s="71" t="s">
        <v>126</v>
      </c>
      <c r="B38" s="72"/>
      <c r="C38" s="107" t="s">
        <v>254</v>
      </c>
      <c r="D38" s="107"/>
      <c r="E38" s="85"/>
      <c r="F38" s="85"/>
      <c r="G38" s="85"/>
      <c r="H38" s="85"/>
    </row>
    <row r="39" spans="1:9" ht="13.15" x14ac:dyDescent="0.25">
      <c r="A39" s="108" t="s">
        <v>96</v>
      </c>
      <c r="B39" s="108"/>
      <c r="C39" s="108"/>
      <c r="D39" s="108"/>
      <c r="E39" s="108"/>
      <c r="F39" s="108"/>
      <c r="G39" s="108"/>
      <c r="H39" s="108"/>
    </row>
    <row r="40" spans="1:9" ht="12.75" customHeight="1" x14ac:dyDescent="0.2">
      <c r="A40" s="109" t="s">
        <v>19</v>
      </c>
      <c r="B40" s="110"/>
      <c r="C40" s="111" t="s">
        <v>97</v>
      </c>
      <c r="D40" s="111"/>
      <c r="E40" s="111"/>
      <c r="F40" s="111"/>
      <c r="G40" s="112">
        <v>10619.1</v>
      </c>
      <c r="H40" s="112"/>
      <c r="I40" s="46">
        <f>11561.95/10619.1</f>
        <v>1.0887881270540818</v>
      </c>
    </row>
    <row r="41" spans="1:9" x14ac:dyDescent="0.2">
      <c r="A41" s="113"/>
      <c r="B41" s="114"/>
      <c r="C41" s="111" t="s">
        <v>98</v>
      </c>
      <c r="D41" s="111"/>
      <c r="E41" s="111"/>
      <c r="F41" s="111"/>
      <c r="G41" s="112">
        <f>11681.01/G40</f>
        <v>1.1000000000000001</v>
      </c>
      <c r="H41" s="112"/>
    </row>
    <row r="42" spans="1:9" x14ac:dyDescent="0.2">
      <c r="A42" s="113"/>
      <c r="B42" s="114"/>
      <c r="C42" s="111" t="s">
        <v>99</v>
      </c>
      <c r="D42" s="111"/>
      <c r="E42" s="111"/>
      <c r="F42" s="111"/>
      <c r="G42" s="115">
        <f>G45/G40-G41</f>
        <v>-1.12118729459183E-2</v>
      </c>
      <c r="H42" s="115"/>
    </row>
    <row r="43" spans="1:9" x14ac:dyDescent="0.2">
      <c r="A43" s="113"/>
      <c r="B43" s="114"/>
      <c r="C43" s="111" t="s">
        <v>100</v>
      </c>
      <c r="D43" s="111"/>
      <c r="E43" s="111"/>
      <c r="F43" s="111"/>
      <c r="G43" s="116">
        <f>G41+G42</f>
        <v>1.0887881270540818</v>
      </c>
      <c r="H43" s="116"/>
    </row>
    <row r="44" spans="1:9" x14ac:dyDescent="0.2">
      <c r="A44" s="113"/>
      <c r="B44" s="114"/>
      <c r="C44" s="111" t="s">
        <v>131</v>
      </c>
      <c r="D44" s="111"/>
      <c r="E44" s="111"/>
      <c r="F44" s="111"/>
      <c r="G44" s="112">
        <v>11681.01</v>
      </c>
      <c r="H44" s="112"/>
    </row>
    <row r="45" spans="1:9" x14ac:dyDescent="0.2">
      <c r="A45" s="117"/>
      <c r="B45" s="118"/>
      <c r="C45" s="111" t="s">
        <v>101</v>
      </c>
      <c r="D45" s="111"/>
      <c r="E45" s="111"/>
      <c r="F45" s="111"/>
      <c r="G45" s="112">
        <v>11561.95</v>
      </c>
      <c r="H45" s="112"/>
    </row>
    <row r="46" spans="1:9" ht="27" customHeight="1" x14ac:dyDescent="0.25">
      <c r="A46" s="71" t="s">
        <v>102</v>
      </c>
      <c r="B46" s="72"/>
      <c r="C46" s="102" t="s">
        <v>244</v>
      </c>
      <c r="D46" s="102"/>
      <c r="E46" s="102"/>
      <c r="F46" s="102"/>
      <c r="G46" s="102"/>
      <c r="H46" s="102"/>
    </row>
    <row r="47" spans="1:9" ht="24.75" customHeight="1" x14ac:dyDescent="0.25">
      <c r="A47" s="71" t="s">
        <v>20</v>
      </c>
      <c r="B47" s="72"/>
      <c r="C47" s="78" t="s">
        <v>279</v>
      </c>
      <c r="D47" s="79"/>
      <c r="E47" s="90"/>
      <c r="F47" s="90"/>
      <c r="G47" s="90"/>
      <c r="H47" s="88"/>
    </row>
    <row r="48" spans="1:9" ht="27" customHeight="1" x14ac:dyDescent="0.25">
      <c r="A48" s="71" t="s">
        <v>21</v>
      </c>
      <c r="B48" s="72"/>
      <c r="C48" s="119" t="s">
        <v>280</v>
      </c>
      <c r="D48" s="119"/>
      <c r="E48" s="119"/>
      <c r="F48" s="119"/>
      <c r="G48" s="119"/>
      <c r="H48" s="119"/>
      <c r="I48" s="42" t="s">
        <v>245</v>
      </c>
    </row>
    <row r="49" spans="1:10" x14ac:dyDescent="0.2">
      <c r="A49" s="120" t="s">
        <v>22</v>
      </c>
      <c r="B49" s="121"/>
      <c r="C49" s="122" t="s">
        <v>112</v>
      </c>
      <c r="D49" s="123"/>
      <c r="E49" s="124" t="s">
        <v>238</v>
      </c>
      <c r="F49" s="124"/>
      <c r="G49" s="124"/>
      <c r="H49" s="124"/>
    </row>
    <row r="50" spans="1:10" x14ac:dyDescent="0.2">
      <c r="A50" s="125"/>
      <c r="B50" s="126"/>
      <c r="C50" s="122" t="s">
        <v>113</v>
      </c>
      <c r="D50" s="123"/>
      <c r="E50" s="124" t="s">
        <v>238</v>
      </c>
      <c r="F50" s="124"/>
      <c r="G50" s="124"/>
      <c r="H50" s="124"/>
    </row>
    <row r="51" spans="1:10" ht="26.25" customHeight="1" x14ac:dyDescent="0.2">
      <c r="A51" s="127"/>
      <c r="B51" s="128"/>
      <c r="C51" s="122" t="s">
        <v>114</v>
      </c>
      <c r="D51" s="123"/>
      <c r="E51" s="124" t="s">
        <v>277</v>
      </c>
      <c r="F51" s="124"/>
      <c r="G51" s="124"/>
      <c r="H51" s="124"/>
    </row>
    <row r="52" spans="1:10" ht="43.5" customHeight="1" x14ac:dyDescent="0.25">
      <c r="A52" s="129" t="s">
        <v>23</v>
      </c>
      <c r="B52" s="130"/>
      <c r="C52" s="77" t="s">
        <v>238</v>
      </c>
      <c r="D52" s="77"/>
      <c r="E52" s="77"/>
      <c r="F52" s="77"/>
      <c r="G52" s="77"/>
      <c r="H52" s="77"/>
    </row>
    <row r="53" spans="1:10" ht="13.15" x14ac:dyDescent="0.25">
      <c r="A53" s="131" t="s">
        <v>24</v>
      </c>
      <c r="B53" s="131"/>
      <c r="C53" s="131"/>
      <c r="D53" s="131"/>
      <c r="E53" s="131"/>
      <c r="F53" s="131"/>
      <c r="G53" s="131"/>
      <c r="H53" s="131"/>
    </row>
    <row r="54" spans="1:10" ht="26.45" x14ac:dyDescent="0.25">
      <c r="A54" s="132" t="s">
        <v>25</v>
      </c>
      <c r="B54" s="133"/>
      <c r="C54" s="134">
        <v>44655</v>
      </c>
      <c r="D54" s="135"/>
      <c r="E54" s="136" t="s">
        <v>26</v>
      </c>
      <c r="F54" s="137">
        <v>45930</v>
      </c>
      <c r="G54" s="137"/>
      <c r="H54" s="137"/>
    </row>
    <row r="55" spans="1:10" ht="13.5" customHeight="1" thickBot="1" x14ac:dyDescent="0.3">
      <c r="A55" s="138" t="s">
        <v>59</v>
      </c>
      <c r="B55" s="138"/>
      <c r="C55" s="138"/>
      <c r="D55" s="138"/>
      <c r="E55" s="138"/>
      <c r="F55" s="138"/>
      <c r="G55" s="138"/>
      <c r="H55" s="138"/>
    </row>
    <row r="56" spans="1:10" ht="12.75" customHeight="1" x14ac:dyDescent="0.2">
      <c r="A56" s="139" t="s">
        <v>286</v>
      </c>
      <c r="B56" s="140"/>
      <c r="C56" s="140"/>
      <c r="D56" s="141"/>
      <c r="E56" s="142" t="s">
        <v>60</v>
      </c>
      <c r="F56" s="142" t="s">
        <v>61</v>
      </c>
      <c r="G56" s="142" t="s">
        <v>62</v>
      </c>
      <c r="H56" s="143" t="s">
        <v>48</v>
      </c>
      <c r="I56" s="30" t="str">
        <f ca="1">(IF(G60&gt;99%,"All work completed. Please provide OC.",IF(G60&gt;89.8%,"Plinth, RCC, Brick, Plaster, Flooring, Painting work Completed. Finishing work is in process.",IF(G60&lt;94%,(IF(E60=0,"Work not yet Started.",IF(F60=25%,"Piling work in process",IF(F60=50%,"Excavation work in process",IF(F60=100%,"Excavation work Completed. ","0")))&amp;(IF(E61=0%,"",IF(E61=J62,"Footing work is process",IF(E61=J63,"Footing work Completed",IF(E61=J64,"1st Basement Completed",IF(E61=J65,"1st &amp; 2nd Basement Completed",IF(E61=J66,"1st to 3rd Basement Completed",IF(E61=J67,"1st to 4th Basement Completed",IF(E61=J68,"Plinth work is process",IF(E61=J69,"Plinth work completed","0")))))))))))&amp;(IF(E62=(F57+G57+H57),", RCC Slab",IF(E62&gt;0,", RCC upto "&amp;E62&amp;" Slab",""))&amp;(IF(E63=H57,", Brickwork",IF(E63&gt;0,", Brickwork upto "&amp;E63&amp;" Floor",""))&amp;(IF(E64=H57,", Internal Plaster",IF(E64&gt;0,", Internal Plaster upto "&amp;E64&amp;" Floor",""))&amp;(IF(E65=H57,", External Plaster",IF(E65&gt;0,", External Plaster upto "&amp;E65&amp;" Floor",""))&amp;(IF(E66=H57,", Flooring",IF(E66&gt;0,", Flooring upto "&amp;E66&amp;" Floor",""))&amp;(IF(E67=H57,", Painting",IF(E67&gt;0,", Painting upto "&amp;E67&amp;" Floor",""))&amp;(IF(E68&gt;0,", Finishing upto "&amp;E68&amp;" Floor","")&amp;(IF(E62&gt;0.5," Completed",""))))))))))))))</f>
        <v>Plinth, RCC, Brick, Plaster, Flooring, Painting work Completed. Finishing work is in process.</v>
      </c>
      <c r="J56" s="31"/>
    </row>
    <row r="57" spans="1:10" x14ac:dyDescent="0.2">
      <c r="A57" s="144"/>
      <c r="B57" s="145"/>
      <c r="C57" s="145"/>
      <c r="D57" s="146"/>
      <c r="E57" s="147">
        <v>0</v>
      </c>
      <c r="F57" s="147">
        <v>1</v>
      </c>
      <c r="G57" s="147">
        <v>0</v>
      </c>
      <c r="H57" s="148">
        <f ca="1">--TRIM(RIGHT(SUBSTITUTE(LEFT(A56,_xlfn.AGGREGATE(16,6,FIND({0,1,2,3,4,5,6,7,8,9},A56,ROW(INDIRECT("1:"&amp;LEN(A56)))),1))," ",REPT(" ",LEN(A56))),LEN(A56)))</f>
        <v>4</v>
      </c>
      <c r="I57" s="32"/>
      <c r="J57" s="33"/>
    </row>
    <row r="58" spans="1:10" ht="13.15" x14ac:dyDescent="0.25">
      <c r="A58" s="149" t="s">
        <v>140</v>
      </c>
      <c r="B58" s="150"/>
      <c r="C58" s="151" t="str">
        <f ca="1">I56</f>
        <v>Plinth, RCC, Brick, Plaster, Flooring, Painting work Completed. Finishing work is in process.</v>
      </c>
      <c r="D58" s="151"/>
      <c r="E58" s="151"/>
      <c r="F58" s="151"/>
      <c r="G58" s="151"/>
      <c r="H58" s="152"/>
      <c r="I58" s="32" t="s">
        <v>141</v>
      </c>
      <c r="J58" s="33"/>
    </row>
    <row r="59" spans="1:10" ht="13.15" x14ac:dyDescent="0.25">
      <c r="A59" s="153" t="s">
        <v>63</v>
      </c>
      <c r="B59" s="154"/>
      <c r="C59" s="155" t="s">
        <v>142</v>
      </c>
      <c r="D59" s="155"/>
      <c r="E59" s="156" t="s">
        <v>64</v>
      </c>
      <c r="F59" s="156" t="s">
        <v>65</v>
      </c>
      <c r="G59" s="157" t="s">
        <v>58</v>
      </c>
      <c r="H59" s="158"/>
      <c r="I59" s="1" t="s">
        <v>66</v>
      </c>
      <c r="J59" s="34">
        <f ca="1">H57*25%</f>
        <v>1</v>
      </c>
    </row>
    <row r="60" spans="1:10" ht="15" customHeight="1" x14ac:dyDescent="0.2">
      <c r="A60" s="153" t="s">
        <v>67</v>
      </c>
      <c r="B60" s="154"/>
      <c r="C60" s="159">
        <v>0</v>
      </c>
      <c r="D60" s="159"/>
      <c r="E60" s="160">
        <v>4</v>
      </c>
      <c r="F60" s="161">
        <f ca="1">((100/H57)*E60)/100</f>
        <v>1</v>
      </c>
      <c r="G60" s="162">
        <f ca="1">(((E61/H57*10)+(40/(F57+G57+H57)*E62)+(15/(H57)*E63)+(5/(H57)*E64)+(5/H57*E65)+(10/H57*E66)+(5/H57*E67)+(5/H57*E68)+(5/H57*E69))/100)</f>
        <v>0.91249999999999998</v>
      </c>
      <c r="H60" s="163"/>
      <c r="I60" s="1" t="s">
        <v>68</v>
      </c>
      <c r="J60" s="35">
        <f ca="1">H57*50%</f>
        <v>2</v>
      </c>
    </row>
    <row r="61" spans="1:10" ht="15" customHeight="1" x14ac:dyDescent="0.2">
      <c r="A61" s="153" t="s">
        <v>69</v>
      </c>
      <c r="B61" s="154"/>
      <c r="C61" s="159">
        <v>0.1</v>
      </c>
      <c r="D61" s="159"/>
      <c r="E61" s="164">
        <v>4</v>
      </c>
      <c r="F61" s="161">
        <f ca="1">((100/H57)*E61)/100</f>
        <v>1</v>
      </c>
      <c r="G61" s="162"/>
      <c r="H61" s="163"/>
      <c r="I61" s="1" t="s">
        <v>70</v>
      </c>
      <c r="J61" s="35">
        <f ca="1">H57</f>
        <v>4</v>
      </c>
    </row>
    <row r="62" spans="1:10" ht="15" customHeight="1" x14ac:dyDescent="0.2">
      <c r="A62" s="153" t="s">
        <v>71</v>
      </c>
      <c r="B62" s="154"/>
      <c r="C62" s="159">
        <v>0.4</v>
      </c>
      <c r="D62" s="159"/>
      <c r="E62" s="164">
        <v>5</v>
      </c>
      <c r="F62" s="161">
        <f ca="1">((100/(F57+G57+H57))*E62)/100</f>
        <v>1</v>
      </c>
      <c r="G62" s="162"/>
      <c r="H62" s="163"/>
      <c r="I62" s="1" t="s">
        <v>72</v>
      </c>
      <c r="J62" s="36">
        <f ca="1">(IF(E57&gt;1,(H57/(E57+2)),H57/4))</f>
        <v>1</v>
      </c>
    </row>
    <row r="63" spans="1:10" ht="15" customHeight="1" x14ac:dyDescent="0.2">
      <c r="A63" s="153" t="s">
        <v>73</v>
      </c>
      <c r="B63" s="154"/>
      <c r="C63" s="159">
        <v>0.15</v>
      </c>
      <c r="D63" s="159"/>
      <c r="E63" s="160">
        <v>4</v>
      </c>
      <c r="F63" s="161">
        <f ca="1">((100/H57)*E63)/100</f>
        <v>1</v>
      </c>
      <c r="G63" s="162"/>
      <c r="H63" s="163"/>
      <c r="I63" s="1" t="s">
        <v>74</v>
      </c>
      <c r="J63" s="36">
        <f ca="1">(IF(E57&gt;1,(H57/(E57+2)+J62),H57/4+J62))</f>
        <v>2</v>
      </c>
    </row>
    <row r="64" spans="1:10" ht="15" customHeight="1" x14ac:dyDescent="0.2">
      <c r="A64" s="153" t="s">
        <v>75</v>
      </c>
      <c r="B64" s="154"/>
      <c r="C64" s="159">
        <v>0.05</v>
      </c>
      <c r="D64" s="159"/>
      <c r="E64" s="160">
        <v>4</v>
      </c>
      <c r="F64" s="161">
        <f ca="1">((100/H57)*E64)/100</f>
        <v>1</v>
      </c>
      <c r="G64" s="162"/>
      <c r="H64" s="163"/>
      <c r="I64" s="1" t="s">
        <v>76</v>
      </c>
      <c r="J64" s="36">
        <f>(IF(E57&gt;1,(H57/(E57+2)+J63),0))</f>
        <v>0</v>
      </c>
    </row>
    <row r="65" spans="1:10" ht="15" customHeight="1" x14ac:dyDescent="0.2">
      <c r="A65" s="153" t="s">
        <v>77</v>
      </c>
      <c r="B65" s="154"/>
      <c r="C65" s="159">
        <v>0.05</v>
      </c>
      <c r="D65" s="159"/>
      <c r="E65" s="160">
        <v>4</v>
      </c>
      <c r="F65" s="161">
        <f ca="1">((100/(H57))*E65)/100</f>
        <v>1</v>
      </c>
      <c r="G65" s="162"/>
      <c r="H65" s="163"/>
      <c r="I65" s="1" t="s">
        <v>78</v>
      </c>
      <c r="J65" s="36">
        <f>(IF(E57&gt;2,(H57/(E57+2)+J64),0))</f>
        <v>0</v>
      </c>
    </row>
    <row r="66" spans="1:10" ht="15" customHeight="1" x14ac:dyDescent="0.2">
      <c r="A66" s="153" t="s">
        <v>79</v>
      </c>
      <c r="B66" s="154"/>
      <c r="C66" s="159">
        <v>0.1</v>
      </c>
      <c r="D66" s="159"/>
      <c r="E66" s="160">
        <v>4</v>
      </c>
      <c r="F66" s="161">
        <f ca="1">((100/H57)*E66)/100</f>
        <v>1</v>
      </c>
      <c r="G66" s="162"/>
      <c r="H66" s="163"/>
      <c r="I66" s="1" t="s">
        <v>80</v>
      </c>
      <c r="J66" s="37">
        <f>(IF(E57&gt;3,(H57/(E57+2)+J65),0))</f>
        <v>0</v>
      </c>
    </row>
    <row r="67" spans="1:10" ht="15" customHeight="1" x14ac:dyDescent="0.2">
      <c r="A67" s="153" t="s">
        <v>81</v>
      </c>
      <c r="B67" s="154"/>
      <c r="C67" s="159">
        <v>0.05</v>
      </c>
      <c r="D67" s="159"/>
      <c r="E67" s="160">
        <v>3</v>
      </c>
      <c r="F67" s="161">
        <f ca="1">((100/H57)*E67)/100</f>
        <v>0.75</v>
      </c>
      <c r="G67" s="162"/>
      <c r="H67" s="163"/>
      <c r="I67" s="1" t="s">
        <v>82</v>
      </c>
      <c r="J67" s="36">
        <f>(IF(E57&gt;4,(H57/(E57+2)+J66),0))</f>
        <v>0</v>
      </c>
    </row>
    <row r="68" spans="1:10" ht="15" customHeight="1" x14ac:dyDescent="0.2">
      <c r="A68" s="153" t="s">
        <v>83</v>
      </c>
      <c r="B68" s="154"/>
      <c r="C68" s="159">
        <v>0.05</v>
      </c>
      <c r="D68" s="159"/>
      <c r="E68" s="160">
        <v>2</v>
      </c>
      <c r="F68" s="161">
        <f ca="1">((100/(H57))*E68)/100</f>
        <v>0.5</v>
      </c>
      <c r="G68" s="162"/>
      <c r="H68" s="163"/>
      <c r="I68" s="1" t="s">
        <v>84</v>
      </c>
      <c r="J68" s="36">
        <f ca="1">(IF(E57=1,(H57/(E57+3)+J63),IF(E57=0,(H57/4+J63),IF(E57&gt;1,0))))</f>
        <v>3</v>
      </c>
    </row>
    <row r="69" spans="1:10" ht="15.75" customHeight="1" thickBot="1" x14ac:dyDescent="0.25">
      <c r="A69" s="165" t="s">
        <v>85</v>
      </c>
      <c r="B69" s="166"/>
      <c r="C69" s="167">
        <v>0.05</v>
      </c>
      <c r="D69" s="167"/>
      <c r="E69" s="168">
        <v>0</v>
      </c>
      <c r="F69" s="169">
        <f ca="1">((100/(H57))*E69)/100</f>
        <v>0</v>
      </c>
      <c r="G69" s="170"/>
      <c r="H69" s="171"/>
      <c r="I69" s="38" t="s">
        <v>86</v>
      </c>
      <c r="J69" s="39">
        <f ca="1">(IF(E57&gt;1.5,(H57/(E57+2)+J63+MAX(0,J64-J63)+MAX(0,J65-J64)+MAX(0,J66-J65)+MAX(0,J67-J66)+MAX(0,J68-J67)),IF(E57=1,(H57/(E57+3)+J68),IF(E57=0,H57/4+J68))))</f>
        <v>4</v>
      </c>
    </row>
    <row r="70" spans="1:10" ht="12.75" hidden="1" customHeight="1" x14ac:dyDescent="0.25">
      <c r="A70" s="139" t="s">
        <v>256</v>
      </c>
      <c r="B70" s="140"/>
      <c r="C70" s="140"/>
      <c r="D70" s="141"/>
      <c r="E70" s="142" t="s">
        <v>60</v>
      </c>
      <c r="F70" s="142" t="s">
        <v>61</v>
      </c>
      <c r="G70" s="142" t="s">
        <v>62</v>
      </c>
      <c r="H70" s="143" t="s">
        <v>48</v>
      </c>
      <c r="I70" s="30" t="str">
        <f ca="1">(IF(G74&gt;99%,"All work completed. Please provide OC.",IF(G74&gt;89.8%,"Plinth, RCC, Brick, Plaster, Flooring, Painting work Completed. Finishing work is in process.",IF(G74&lt;94%,(IF(E74=0,"Work not yet Started.",IF(F74=25%,"Piling work in process",IF(F74=50%,"Excavation work in process",IF(F74=100%,"Excavation work Completed. ","0")))&amp;(IF(E75=0%,"",IF(E75=J76,"Footing work is process",IF(E75=J77,"Footing work Completed",IF(E75=J78,"1st Basement Completed",IF(E75=J79,"1st &amp; 2nd Basement Completed",IF(E75=J80,"1st to 3rd Basement Completed",IF(E75=J81,"1st to 4th Basement Completed",IF(E75=J82,"Plinth work is process",IF(E75=J83,"Plinth work completed","0")))))))))))&amp;(IF(E76=(F71+G71+H71),", RCC Slab",IF(E76&gt;0,", RCC upto "&amp;E76&amp;" Slab",""))&amp;(IF(E77=H71,", Brickwork",IF(E77&gt;0,", Brickwork upto "&amp;E77&amp;" Floor",""))&amp;(IF(E78=H71,", Internal Plaster",IF(E78&gt;0,", Internal Plaster upto "&amp;E78&amp;" Floor",""))&amp;(IF(E79=H71,", External Plaster",IF(E79&gt;0,", External Plaster upto "&amp;E79&amp;" Floor",""))&amp;(IF(E80=H71,", Flooring",IF(E80&gt;0,", Flooring upto "&amp;E80&amp;" Floor",""))&amp;(IF(E81=H71,", Painting",IF(E81&gt;0,", Painting upto "&amp;E81&amp;" Floor",""))&amp;(IF(E82&gt;0,", Finishing upto "&amp;E82&amp;" Floor","")&amp;(IF(E76&gt;0.5," Completed",""))))))))))))))</f>
        <v>Excavation work Completed. Plinth work completed, RCC Slab, Brickwork, Internal Plaster, External Plaster, Flooring, Painting upto 3 Floor Completed</v>
      </c>
      <c r="J70" s="31"/>
    </row>
    <row r="71" spans="1:10" ht="13.15" hidden="1" x14ac:dyDescent="0.25">
      <c r="A71" s="144"/>
      <c r="B71" s="145"/>
      <c r="C71" s="145"/>
      <c r="D71" s="146"/>
      <c r="E71" s="147">
        <v>0</v>
      </c>
      <c r="F71" s="147">
        <v>1</v>
      </c>
      <c r="G71" s="147">
        <v>0</v>
      </c>
      <c r="H71" s="148">
        <f ca="1">--TRIM(RIGHT(SUBSTITUTE(LEFT(A70,_xlfn.AGGREGATE(16,6,FIND({0,1,2,3,4,5,6,7,8,9},A70,ROW(INDIRECT("1:"&amp;LEN(A70)))),1))," ",REPT(" ",LEN(A70))),LEN(A70)))</f>
        <v>4</v>
      </c>
      <c r="I71" s="32"/>
      <c r="J71" s="33"/>
    </row>
    <row r="72" spans="1:10" ht="26.25" hidden="1" customHeight="1" x14ac:dyDescent="0.25">
      <c r="A72" s="149" t="s">
        <v>140</v>
      </c>
      <c r="B72" s="150"/>
      <c r="C72" s="151" t="str">
        <f ca="1">I70</f>
        <v>Excavation work Completed. Plinth work completed, RCC Slab, Brickwork, Internal Plaster, External Plaster, Flooring, Painting upto 3 Floor Completed</v>
      </c>
      <c r="D72" s="151"/>
      <c r="E72" s="151"/>
      <c r="F72" s="151"/>
      <c r="G72" s="151"/>
      <c r="H72" s="152"/>
      <c r="I72" s="32" t="s">
        <v>141</v>
      </c>
      <c r="J72" s="33"/>
    </row>
    <row r="73" spans="1:10" ht="13.15" hidden="1" x14ac:dyDescent="0.25">
      <c r="A73" s="153" t="s">
        <v>63</v>
      </c>
      <c r="B73" s="154"/>
      <c r="C73" s="155" t="s">
        <v>142</v>
      </c>
      <c r="D73" s="155"/>
      <c r="E73" s="156" t="s">
        <v>64</v>
      </c>
      <c r="F73" s="156" t="s">
        <v>65</v>
      </c>
      <c r="G73" s="157" t="s">
        <v>58</v>
      </c>
      <c r="H73" s="158"/>
      <c r="I73" s="1" t="s">
        <v>66</v>
      </c>
      <c r="J73" s="34">
        <f ca="1">H71*25%</f>
        <v>1</v>
      </c>
    </row>
    <row r="74" spans="1:10" ht="15" hidden="1" customHeight="1" x14ac:dyDescent="0.25">
      <c r="A74" s="153" t="s">
        <v>67</v>
      </c>
      <c r="B74" s="154"/>
      <c r="C74" s="159">
        <v>0</v>
      </c>
      <c r="D74" s="159"/>
      <c r="E74" s="160">
        <v>4</v>
      </c>
      <c r="F74" s="161">
        <f ca="1">((100/H71)*E74)/100</f>
        <v>1</v>
      </c>
      <c r="G74" s="162">
        <f ca="1">(((E75/H71*10)+(40/(F71+G71+H71)*E76)+(15/(H71)*E77)+(5/(H71)*E78)+(5/H71*E79)+(10/H71*E80)+(5/H71*E81)+(5/H71*E82)+(5/H71*E83))/100)</f>
        <v>0.88749999999999996</v>
      </c>
      <c r="H74" s="163"/>
      <c r="I74" s="1" t="s">
        <v>68</v>
      </c>
      <c r="J74" s="35">
        <f ca="1">H71*50%</f>
        <v>2</v>
      </c>
    </row>
    <row r="75" spans="1:10" ht="15" hidden="1" customHeight="1" x14ac:dyDescent="0.25">
      <c r="A75" s="153" t="s">
        <v>69</v>
      </c>
      <c r="B75" s="154"/>
      <c r="C75" s="159">
        <v>0.1</v>
      </c>
      <c r="D75" s="159"/>
      <c r="E75" s="164">
        <v>4</v>
      </c>
      <c r="F75" s="161">
        <f ca="1">((100/H71)*E75)/100</f>
        <v>1</v>
      </c>
      <c r="G75" s="162"/>
      <c r="H75" s="163"/>
      <c r="I75" s="1" t="s">
        <v>70</v>
      </c>
      <c r="J75" s="35">
        <f ca="1">H71</f>
        <v>4</v>
      </c>
    </row>
    <row r="76" spans="1:10" ht="15" hidden="1" customHeight="1" x14ac:dyDescent="0.25">
      <c r="A76" s="153" t="s">
        <v>71</v>
      </c>
      <c r="B76" s="154"/>
      <c r="C76" s="159">
        <v>0.4</v>
      </c>
      <c r="D76" s="159"/>
      <c r="E76" s="164">
        <v>5</v>
      </c>
      <c r="F76" s="161">
        <f ca="1">((100/(F71+G71+H71))*E76)/100</f>
        <v>1</v>
      </c>
      <c r="G76" s="162"/>
      <c r="H76" s="163"/>
      <c r="I76" s="1" t="s">
        <v>72</v>
      </c>
      <c r="J76" s="36">
        <f ca="1">(IF(E71&gt;1,(H71/(E71+2)),H71/4))</f>
        <v>1</v>
      </c>
    </row>
    <row r="77" spans="1:10" ht="15" hidden="1" customHeight="1" x14ac:dyDescent="0.25">
      <c r="A77" s="153" t="s">
        <v>73</v>
      </c>
      <c r="B77" s="154"/>
      <c r="C77" s="159">
        <v>0.15</v>
      </c>
      <c r="D77" s="159"/>
      <c r="E77" s="160">
        <v>4</v>
      </c>
      <c r="F77" s="161">
        <f ca="1">((100/H71)*E77)/100</f>
        <v>1</v>
      </c>
      <c r="G77" s="162"/>
      <c r="H77" s="163"/>
      <c r="I77" s="1" t="s">
        <v>74</v>
      </c>
      <c r="J77" s="36">
        <f ca="1">(IF(E71&gt;1,(H71/(E71+2)+J76),H71/4+J76))</f>
        <v>2</v>
      </c>
    </row>
    <row r="78" spans="1:10" ht="15" hidden="1" customHeight="1" x14ac:dyDescent="0.25">
      <c r="A78" s="153" t="s">
        <v>75</v>
      </c>
      <c r="B78" s="154"/>
      <c r="C78" s="159">
        <v>0.05</v>
      </c>
      <c r="D78" s="159"/>
      <c r="E78" s="160">
        <v>4</v>
      </c>
      <c r="F78" s="161">
        <f ca="1">((100/H71)*E78)/100</f>
        <v>1</v>
      </c>
      <c r="G78" s="162"/>
      <c r="H78" s="163"/>
      <c r="I78" s="1" t="s">
        <v>76</v>
      </c>
      <c r="J78" s="36">
        <f>(IF(E71&gt;1,(H71/(E71+2)+J77),0))</f>
        <v>0</v>
      </c>
    </row>
    <row r="79" spans="1:10" ht="15" hidden="1" customHeight="1" x14ac:dyDescent="0.25">
      <c r="A79" s="153" t="s">
        <v>77</v>
      </c>
      <c r="B79" s="154"/>
      <c r="C79" s="159">
        <v>0.05</v>
      </c>
      <c r="D79" s="159"/>
      <c r="E79" s="160">
        <v>4</v>
      </c>
      <c r="F79" s="161">
        <f ca="1">((100/(H71))*E79)/100</f>
        <v>1</v>
      </c>
      <c r="G79" s="162"/>
      <c r="H79" s="163"/>
      <c r="I79" s="1" t="s">
        <v>78</v>
      </c>
      <c r="J79" s="36">
        <f>(IF(E71&gt;2,(H71/(E71+2)+J78),0))</f>
        <v>0</v>
      </c>
    </row>
    <row r="80" spans="1:10" ht="15" hidden="1" customHeight="1" x14ac:dyDescent="0.25">
      <c r="A80" s="153" t="s">
        <v>79</v>
      </c>
      <c r="B80" s="154"/>
      <c r="C80" s="159">
        <v>0.1</v>
      </c>
      <c r="D80" s="159"/>
      <c r="E80" s="160">
        <v>4</v>
      </c>
      <c r="F80" s="161">
        <f ca="1">((100/H71)*E80)/100</f>
        <v>1</v>
      </c>
      <c r="G80" s="162"/>
      <c r="H80" s="163"/>
      <c r="I80" s="1" t="s">
        <v>80</v>
      </c>
      <c r="J80" s="37">
        <f>(IF(E71&gt;3,(H71/(E71+2)+J79),0))</f>
        <v>0</v>
      </c>
    </row>
    <row r="81" spans="1:10" ht="15" hidden="1" customHeight="1" x14ac:dyDescent="0.25">
      <c r="A81" s="153" t="s">
        <v>81</v>
      </c>
      <c r="B81" s="154"/>
      <c r="C81" s="159">
        <v>0.05</v>
      </c>
      <c r="D81" s="159"/>
      <c r="E81" s="160">
        <v>3</v>
      </c>
      <c r="F81" s="161">
        <f ca="1">((100/H71)*E81)/100</f>
        <v>0.75</v>
      </c>
      <c r="G81" s="162"/>
      <c r="H81" s="163"/>
      <c r="I81" s="1" t="s">
        <v>82</v>
      </c>
      <c r="J81" s="36">
        <f>(IF(E71&gt;4,(H71/(E71+2)+J80),0))</f>
        <v>0</v>
      </c>
    </row>
    <row r="82" spans="1:10" ht="15" hidden="1" customHeight="1" x14ac:dyDescent="0.25">
      <c r="A82" s="153" t="s">
        <v>83</v>
      </c>
      <c r="B82" s="154"/>
      <c r="C82" s="159">
        <v>0.05</v>
      </c>
      <c r="D82" s="159"/>
      <c r="E82" s="160">
        <v>0</v>
      </c>
      <c r="F82" s="161">
        <f ca="1">((100/(H71))*E82)/100</f>
        <v>0</v>
      </c>
      <c r="G82" s="162"/>
      <c r="H82" s="163"/>
      <c r="I82" s="1" t="s">
        <v>84</v>
      </c>
      <c r="J82" s="36">
        <f ca="1">(IF(E71=1,(H71/(E71+3)+J77),IF(E71=0,(H71/4+J77),IF(E71&gt;1,0))))</f>
        <v>3</v>
      </c>
    </row>
    <row r="83" spans="1:10" ht="15.75" hidden="1" customHeight="1" thickBot="1" x14ac:dyDescent="0.3">
      <c r="A83" s="165" t="s">
        <v>85</v>
      </c>
      <c r="B83" s="166"/>
      <c r="C83" s="167">
        <v>0.05</v>
      </c>
      <c r="D83" s="167"/>
      <c r="E83" s="168">
        <v>0</v>
      </c>
      <c r="F83" s="169">
        <f ca="1">((100/(H71))*E83)/100</f>
        <v>0</v>
      </c>
      <c r="G83" s="170"/>
      <c r="H83" s="171"/>
      <c r="I83" s="38" t="s">
        <v>86</v>
      </c>
      <c r="J83" s="39">
        <f ca="1">(IF(E71&gt;1.5,(H71/(E71+2)+J77+MAX(0,J78-J77)+MAX(0,J79-J78)+MAX(0,J80-J79)+MAX(0,J81-J80)+MAX(0,J82-J81)),IF(E71=1,(H71/(E71+3)+J82),IF(E71=0,H71/4+J82))))</f>
        <v>4</v>
      </c>
    </row>
    <row r="84" spans="1:10" ht="12.75" hidden="1" customHeight="1" x14ac:dyDescent="0.25">
      <c r="A84" s="139" t="s">
        <v>257</v>
      </c>
      <c r="B84" s="140"/>
      <c r="C84" s="140"/>
      <c r="D84" s="141"/>
      <c r="E84" s="142" t="s">
        <v>60</v>
      </c>
      <c r="F84" s="142" t="s">
        <v>61</v>
      </c>
      <c r="G84" s="142" t="s">
        <v>62</v>
      </c>
      <c r="H84" s="143" t="s">
        <v>48</v>
      </c>
      <c r="I84" s="30" t="str">
        <f ca="1">(IF(G88&gt;99%,"All work completed. Please provide OC.",IF(G88&gt;89.8%,"Plinth, RCC, Brick, Plaster, Flooring, Painting work Completed. Finishing work is in process.",IF(G88&lt;94%,(IF(E88=0,"Work not yet Started.",IF(F88=25%,"Piling work in process",IF(F88=50%,"Excavation work in process",IF(F88=100%,"Excavation work Completed. ","0")))&amp;(IF(E89=0%,"",IF(E89=J90,"Footing work is process",IF(E89=J91,"Footing work Completed",IF(E89=J92,"1st Basement Completed",IF(E89=J93,"1st &amp; 2nd Basement Completed",IF(E89=J94,"1st to 3rd Basement Completed",IF(E89=J95,"1st to 4th Basement Completed",IF(E89=J96,"Plinth work is process",IF(E89=J97,"Plinth work completed","0")))))))))))&amp;(IF(E90=(F85+G85+H85),", RCC Slab",IF(E90&gt;0,", RCC upto "&amp;E90&amp;" Slab",""))&amp;(IF(E91=H85,", Brickwork",IF(E91&gt;0,", Brickwork upto "&amp;E91&amp;" Floor",""))&amp;(IF(E92=H85,", Internal Plaster",IF(E92&gt;0,", Internal Plaster upto "&amp;E92&amp;" Floor",""))&amp;(IF(E93=H85,", External Plaster",IF(E93&gt;0,", External Plaster upto "&amp;E93&amp;" Floor",""))&amp;(IF(E94=H85,", Flooring",IF(E94&gt;0,", Flooring upto "&amp;E94&amp;" Floor",""))&amp;(IF(E95=H85,", Painting",IF(E95&gt;0,", Painting upto "&amp;E95&amp;" Floor",""))&amp;(IF(E96&gt;0,", Finishing upto "&amp;E96&amp;" Floor","")&amp;(IF(E90&gt;0.5," Completed",""))))))))))))))</f>
        <v>Excavation work Completed. Plinth work completed, RCC Slab, Brickwork, Internal Plaster, External Plaster, Flooring, Painting upto 3 Floor Completed</v>
      </c>
      <c r="J84" s="31"/>
    </row>
    <row r="85" spans="1:10" ht="18.75" hidden="1" customHeight="1" x14ac:dyDescent="0.25">
      <c r="A85" s="144"/>
      <c r="B85" s="145"/>
      <c r="C85" s="145"/>
      <c r="D85" s="146"/>
      <c r="E85" s="147">
        <v>0</v>
      </c>
      <c r="F85" s="147">
        <v>1</v>
      </c>
      <c r="G85" s="147">
        <v>0</v>
      </c>
      <c r="H85" s="148">
        <f ca="1">--TRIM(RIGHT(SUBSTITUTE(LEFT(A84,_xlfn.AGGREGATE(16,6,FIND({0,1,2,3,4,5,6,7,8,9},A84,ROW(INDIRECT("1:"&amp;LEN(A84)))),1))," ",REPT(" ",LEN(A84))),LEN(A84)))</f>
        <v>4</v>
      </c>
      <c r="I85" s="32"/>
      <c r="J85" s="33"/>
    </row>
    <row r="86" spans="1:10" ht="26.25" hidden="1" customHeight="1" x14ac:dyDescent="0.25">
      <c r="A86" s="149" t="s">
        <v>140</v>
      </c>
      <c r="B86" s="150"/>
      <c r="C86" s="151" t="str">
        <f ca="1">I84</f>
        <v>Excavation work Completed. Plinth work completed, RCC Slab, Brickwork, Internal Plaster, External Plaster, Flooring, Painting upto 3 Floor Completed</v>
      </c>
      <c r="D86" s="151"/>
      <c r="E86" s="151"/>
      <c r="F86" s="151"/>
      <c r="G86" s="151"/>
      <c r="H86" s="152"/>
      <c r="I86" s="32" t="s">
        <v>141</v>
      </c>
      <c r="J86" s="33"/>
    </row>
    <row r="87" spans="1:10" ht="13.15" hidden="1" x14ac:dyDescent="0.25">
      <c r="A87" s="153" t="s">
        <v>63</v>
      </c>
      <c r="B87" s="154"/>
      <c r="C87" s="155" t="s">
        <v>142</v>
      </c>
      <c r="D87" s="155"/>
      <c r="E87" s="156" t="s">
        <v>64</v>
      </c>
      <c r="F87" s="156" t="s">
        <v>65</v>
      </c>
      <c r="G87" s="157" t="s">
        <v>58</v>
      </c>
      <c r="H87" s="158"/>
      <c r="I87" s="1" t="s">
        <v>66</v>
      </c>
      <c r="J87" s="34">
        <f ca="1">H85*25%</f>
        <v>1</v>
      </c>
    </row>
    <row r="88" spans="1:10" ht="15" hidden="1" customHeight="1" x14ac:dyDescent="0.25">
      <c r="A88" s="153" t="s">
        <v>67</v>
      </c>
      <c r="B88" s="154"/>
      <c r="C88" s="159">
        <v>0</v>
      </c>
      <c r="D88" s="159"/>
      <c r="E88" s="160">
        <v>4</v>
      </c>
      <c r="F88" s="161">
        <f ca="1">((100/H85)*E88)/100</f>
        <v>1</v>
      </c>
      <c r="G88" s="162">
        <f ca="1">(((E89/H85*10)+(40/(F85+G85+H85)*E90)+(15/(H85)*E91)+(5/(H85)*E92)+(5/H85*E93)+(10/H85*E94)+(5/H85*E95)+(5/H85*E96)+(5/H85*E97))/100)</f>
        <v>0.88749999999999996</v>
      </c>
      <c r="H88" s="163"/>
      <c r="I88" s="1" t="s">
        <v>68</v>
      </c>
      <c r="J88" s="35">
        <f ca="1">H85*50%</f>
        <v>2</v>
      </c>
    </row>
    <row r="89" spans="1:10" ht="15" hidden="1" customHeight="1" x14ac:dyDescent="0.25">
      <c r="A89" s="153" t="s">
        <v>69</v>
      </c>
      <c r="B89" s="154"/>
      <c r="C89" s="159">
        <v>0.1</v>
      </c>
      <c r="D89" s="159"/>
      <c r="E89" s="164">
        <f ca="1">J97</f>
        <v>4</v>
      </c>
      <c r="F89" s="161">
        <f ca="1">((100/H85)*E89)/100</f>
        <v>1</v>
      </c>
      <c r="G89" s="162"/>
      <c r="H89" s="163"/>
      <c r="I89" s="1" t="s">
        <v>70</v>
      </c>
      <c r="J89" s="35">
        <f ca="1">H85</f>
        <v>4</v>
      </c>
    </row>
    <row r="90" spans="1:10" ht="15" hidden="1" customHeight="1" x14ac:dyDescent="0.25">
      <c r="A90" s="153" t="s">
        <v>71</v>
      </c>
      <c r="B90" s="154"/>
      <c r="C90" s="159">
        <v>0.4</v>
      </c>
      <c r="D90" s="159"/>
      <c r="E90" s="164">
        <v>5</v>
      </c>
      <c r="F90" s="161">
        <f ca="1">((100/(F85+G85+H85))*E90)/100</f>
        <v>1</v>
      </c>
      <c r="G90" s="162"/>
      <c r="H90" s="163"/>
      <c r="I90" s="1" t="s">
        <v>72</v>
      </c>
      <c r="J90" s="36">
        <f ca="1">(IF(E85&gt;1,(H85/(E85+2)),H85/4))</f>
        <v>1</v>
      </c>
    </row>
    <row r="91" spans="1:10" ht="15" hidden="1" customHeight="1" x14ac:dyDescent="0.25">
      <c r="A91" s="153" t="s">
        <v>73</v>
      </c>
      <c r="B91" s="154"/>
      <c r="C91" s="159">
        <v>0.15</v>
      </c>
      <c r="D91" s="159"/>
      <c r="E91" s="160">
        <v>4</v>
      </c>
      <c r="F91" s="161">
        <f ca="1">((100/H85)*E91)/100</f>
        <v>1</v>
      </c>
      <c r="G91" s="162"/>
      <c r="H91" s="163"/>
      <c r="I91" s="1" t="s">
        <v>74</v>
      </c>
      <c r="J91" s="36">
        <f ca="1">(IF(E85&gt;1,(H85/(E85+2)+J90),H85/4+J90))</f>
        <v>2</v>
      </c>
    </row>
    <row r="92" spans="1:10" ht="15" hidden="1" customHeight="1" x14ac:dyDescent="0.25">
      <c r="A92" s="153" t="s">
        <v>75</v>
      </c>
      <c r="B92" s="154"/>
      <c r="C92" s="159">
        <v>0.05</v>
      </c>
      <c r="D92" s="159"/>
      <c r="E92" s="160">
        <v>4</v>
      </c>
      <c r="F92" s="161">
        <f ca="1">((100/H85)*E92)/100</f>
        <v>1</v>
      </c>
      <c r="G92" s="162"/>
      <c r="H92" s="163"/>
      <c r="I92" s="1" t="s">
        <v>76</v>
      </c>
      <c r="J92" s="36">
        <f>(IF(E85&gt;1,(H85/(E85+2)+J91),0))</f>
        <v>0</v>
      </c>
    </row>
    <row r="93" spans="1:10" ht="15" hidden="1" customHeight="1" x14ac:dyDescent="0.25">
      <c r="A93" s="153" t="s">
        <v>77</v>
      </c>
      <c r="B93" s="154"/>
      <c r="C93" s="159">
        <v>0.05</v>
      </c>
      <c r="D93" s="159"/>
      <c r="E93" s="160">
        <v>4</v>
      </c>
      <c r="F93" s="161">
        <f ca="1">((100/(H85))*E93)/100</f>
        <v>1</v>
      </c>
      <c r="G93" s="162"/>
      <c r="H93" s="163"/>
      <c r="I93" s="1" t="s">
        <v>78</v>
      </c>
      <c r="J93" s="36">
        <f>(IF(E85&gt;2,(H85/(E85+2)+J92),0))</f>
        <v>0</v>
      </c>
    </row>
    <row r="94" spans="1:10" ht="15" hidden="1" customHeight="1" x14ac:dyDescent="0.25">
      <c r="A94" s="153" t="s">
        <v>79</v>
      </c>
      <c r="B94" s="154"/>
      <c r="C94" s="159">
        <v>0.1</v>
      </c>
      <c r="D94" s="159"/>
      <c r="E94" s="160">
        <v>4</v>
      </c>
      <c r="F94" s="161">
        <f ca="1">((100/H85)*E94)/100</f>
        <v>1</v>
      </c>
      <c r="G94" s="162"/>
      <c r="H94" s="163"/>
      <c r="I94" s="1" t="s">
        <v>80</v>
      </c>
      <c r="J94" s="37">
        <f>(IF(E85&gt;3,(H85/(E85+2)+J93),0))</f>
        <v>0</v>
      </c>
    </row>
    <row r="95" spans="1:10" ht="15" hidden="1" customHeight="1" x14ac:dyDescent="0.25">
      <c r="A95" s="153" t="s">
        <v>81</v>
      </c>
      <c r="B95" s="154"/>
      <c r="C95" s="159">
        <v>0.05</v>
      </c>
      <c r="D95" s="159"/>
      <c r="E95" s="160">
        <v>3</v>
      </c>
      <c r="F95" s="161">
        <f ca="1">((100/H85)*E95)/100</f>
        <v>0.75</v>
      </c>
      <c r="G95" s="162"/>
      <c r="H95" s="163"/>
      <c r="I95" s="1" t="s">
        <v>82</v>
      </c>
      <c r="J95" s="36">
        <f>(IF(E85&gt;4,(H85/(E85+2)+J94),0))</f>
        <v>0</v>
      </c>
    </row>
    <row r="96" spans="1:10" ht="15" hidden="1" customHeight="1" x14ac:dyDescent="0.25">
      <c r="A96" s="153" t="s">
        <v>83</v>
      </c>
      <c r="B96" s="154"/>
      <c r="C96" s="159">
        <v>0.05</v>
      </c>
      <c r="D96" s="159"/>
      <c r="E96" s="160">
        <v>0</v>
      </c>
      <c r="F96" s="161">
        <f ca="1">((100/(H85))*E96)/100</f>
        <v>0</v>
      </c>
      <c r="G96" s="162"/>
      <c r="H96" s="163"/>
      <c r="I96" s="1" t="s">
        <v>84</v>
      </c>
      <c r="J96" s="36">
        <f ca="1">(IF(E85=1,(H85/(E85+3)+J91),IF(E85=0,(H85/4+J91),IF(E85&gt;1,0))))</f>
        <v>3</v>
      </c>
    </row>
    <row r="97" spans="1:10" ht="15.75" hidden="1" customHeight="1" thickBot="1" x14ac:dyDescent="0.3">
      <c r="A97" s="165" t="s">
        <v>85</v>
      </c>
      <c r="B97" s="166"/>
      <c r="C97" s="167">
        <v>0.05</v>
      </c>
      <c r="D97" s="167"/>
      <c r="E97" s="168">
        <v>0</v>
      </c>
      <c r="F97" s="169">
        <f ca="1">((100/(H85))*E97)/100</f>
        <v>0</v>
      </c>
      <c r="G97" s="170"/>
      <c r="H97" s="171"/>
      <c r="I97" s="38" t="s">
        <v>86</v>
      </c>
      <c r="J97" s="39">
        <f ca="1">(IF(E85&gt;1.5,(H85/(E85+2)+J91+MAX(0,J92-J91)+MAX(0,J93-J92)+MAX(0,J94-J93)+MAX(0,J95-J94)+MAX(0,J96-J95)),IF(E85=1,(H85/(E85+3)+J96),IF(E85=0,H85/4+J96))))</f>
        <v>4</v>
      </c>
    </row>
    <row r="98" spans="1:10" ht="28.5" customHeight="1" x14ac:dyDescent="0.25">
      <c r="A98" s="117" t="s">
        <v>27</v>
      </c>
      <c r="B98" s="118"/>
      <c r="C98" s="172" t="s">
        <v>288</v>
      </c>
      <c r="D98" s="172"/>
      <c r="E98" s="172"/>
      <c r="F98" s="172"/>
      <c r="G98" s="172"/>
      <c r="H98" s="172"/>
    </row>
    <row r="99" spans="1:10" ht="13.15" x14ac:dyDescent="0.25">
      <c r="A99" s="131" t="s">
        <v>28</v>
      </c>
      <c r="B99" s="131"/>
      <c r="C99" s="131"/>
      <c r="D99" s="131"/>
      <c r="E99" s="131"/>
      <c r="F99" s="131"/>
      <c r="G99" s="131"/>
      <c r="H99" s="131"/>
    </row>
    <row r="100" spans="1:10" ht="13.15" x14ac:dyDescent="0.25">
      <c r="A100" s="173" t="s">
        <v>29</v>
      </c>
      <c r="B100" s="174"/>
      <c r="C100" s="175" t="s">
        <v>52</v>
      </c>
      <c r="D100" s="176"/>
      <c r="E100" s="177" t="s">
        <v>30</v>
      </c>
      <c r="F100" s="177"/>
      <c r="G100" s="178" t="s">
        <v>18</v>
      </c>
      <c r="H100" s="178" t="s">
        <v>53</v>
      </c>
    </row>
    <row r="101" spans="1:10" ht="13.15" x14ac:dyDescent="0.25">
      <c r="A101" s="173" t="s">
        <v>31</v>
      </c>
      <c r="B101" s="174"/>
      <c r="C101" s="175" t="s">
        <v>51</v>
      </c>
      <c r="D101" s="176"/>
      <c r="E101" s="177" t="s">
        <v>32</v>
      </c>
      <c r="F101" s="177"/>
      <c r="G101" s="178" t="s">
        <v>18</v>
      </c>
      <c r="H101" s="178" t="s">
        <v>54</v>
      </c>
    </row>
    <row r="102" spans="1:10" ht="13.15" x14ac:dyDescent="0.25">
      <c r="A102" s="173" t="s">
        <v>33</v>
      </c>
      <c r="B102" s="174"/>
      <c r="C102" s="175" t="s">
        <v>143</v>
      </c>
      <c r="D102" s="176"/>
      <c r="E102" s="177" t="s">
        <v>34</v>
      </c>
      <c r="F102" s="177"/>
      <c r="G102" s="178" t="s">
        <v>18</v>
      </c>
      <c r="H102" s="178" t="s">
        <v>53</v>
      </c>
    </row>
    <row r="103" spans="1:10" ht="13.15" x14ac:dyDescent="0.25">
      <c r="A103" s="173" t="s">
        <v>35</v>
      </c>
      <c r="B103" s="174"/>
      <c r="C103" s="175" t="s">
        <v>124</v>
      </c>
      <c r="D103" s="176"/>
      <c r="E103" s="177" t="s">
        <v>36</v>
      </c>
      <c r="F103" s="177"/>
      <c r="G103" s="178" t="s">
        <v>18</v>
      </c>
      <c r="H103" s="178" t="s">
        <v>53</v>
      </c>
    </row>
    <row r="104" spans="1:10" ht="13.15" x14ac:dyDescent="0.25">
      <c r="A104" s="173" t="s">
        <v>37</v>
      </c>
      <c r="B104" s="174"/>
      <c r="C104" s="175" t="s">
        <v>130</v>
      </c>
      <c r="D104" s="176"/>
      <c r="E104" s="177" t="s">
        <v>38</v>
      </c>
      <c r="F104" s="177"/>
      <c r="G104" s="178" t="s">
        <v>18</v>
      </c>
      <c r="H104" s="178" t="s">
        <v>54</v>
      </c>
    </row>
    <row r="105" spans="1:10" ht="13.15" x14ac:dyDescent="0.25">
      <c r="A105" s="173" t="s">
        <v>39</v>
      </c>
      <c r="B105" s="174"/>
      <c r="C105" s="175" t="s">
        <v>144</v>
      </c>
      <c r="D105" s="176"/>
      <c r="E105" s="177" t="s">
        <v>40</v>
      </c>
      <c r="F105" s="177"/>
      <c r="G105" s="178" t="s">
        <v>18</v>
      </c>
      <c r="H105" s="178" t="s">
        <v>54</v>
      </c>
    </row>
    <row r="106" spans="1:10" ht="13.15" x14ac:dyDescent="0.25">
      <c r="A106" s="173" t="s">
        <v>41</v>
      </c>
      <c r="B106" s="174"/>
      <c r="C106" s="175" t="s">
        <v>125</v>
      </c>
      <c r="D106" s="176"/>
      <c r="E106" s="177" t="s">
        <v>42</v>
      </c>
      <c r="F106" s="177"/>
      <c r="G106" s="178" t="s">
        <v>18</v>
      </c>
      <c r="H106" s="178" t="s">
        <v>54</v>
      </c>
    </row>
    <row r="107" spans="1:10" ht="38.25" customHeight="1" x14ac:dyDescent="0.25">
      <c r="A107" s="179" t="s">
        <v>43</v>
      </c>
      <c r="B107" s="180"/>
      <c r="C107" s="175" t="s">
        <v>129</v>
      </c>
      <c r="D107" s="176"/>
      <c r="E107" s="131" t="s">
        <v>44</v>
      </c>
      <c r="F107" s="131"/>
      <c r="G107" s="181" t="s">
        <v>54</v>
      </c>
      <c r="H107" s="181"/>
    </row>
    <row r="108" spans="1:10" ht="13.15" x14ac:dyDescent="0.25">
      <c r="A108" s="179" t="s">
        <v>45</v>
      </c>
      <c r="B108" s="180"/>
      <c r="C108" s="179" t="s">
        <v>56</v>
      </c>
      <c r="D108" s="180"/>
      <c r="E108" s="131" t="s">
        <v>46</v>
      </c>
      <c r="F108" s="131"/>
      <c r="G108" s="102" t="s">
        <v>55</v>
      </c>
      <c r="H108" s="102"/>
    </row>
    <row r="109" spans="1:10" ht="13.15" hidden="1" x14ac:dyDescent="0.25">
      <c r="A109" s="175" t="s">
        <v>200</v>
      </c>
      <c r="B109" s="182"/>
      <c r="C109" s="182"/>
      <c r="D109" s="182"/>
      <c r="E109" s="182"/>
      <c r="F109" s="182"/>
      <c r="G109" s="182"/>
      <c r="H109" s="176"/>
    </row>
    <row r="110" spans="1:10" ht="25.5" hidden="1" customHeight="1" x14ac:dyDescent="0.25">
      <c r="A110" s="131" t="s">
        <v>201</v>
      </c>
      <c r="B110" s="131"/>
      <c r="C110" s="179" t="s">
        <v>202</v>
      </c>
      <c r="D110" s="180"/>
      <c r="E110" s="131" t="s">
        <v>203</v>
      </c>
      <c r="F110" s="131"/>
      <c r="G110" s="131" t="s">
        <v>204</v>
      </c>
      <c r="H110" s="131"/>
    </row>
    <row r="111" spans="1:10" ht="13.15" hidden="1" x14ac:dyDescent="0.25">
      <c r="A111" s="177" t="s">
        <v>266</v>
      </c>
      <c r="B111" s="177"/>
      <c r="C111" s="183">
        <f>COUNT(D127:D141)</f>
        <v>15</v>
      </c>
      <c r="D111" s="123"/>
      <c r="E111" s="183">
        <f>SUM(F127:F141)</f>
        <v>2254.5198</v>
      </c>
      <c r="F111" s="123"/>
      <c r="G111" s="183">
        <f>SUM(H127:H141)</f>
        <v>3269.0537100000001</v>
      </c>
      <c r="H111" s="123"/>
    </row>
    <row r="112" spans="1:10" ht="13.15" hidden="1" x14ac:dyDescent="0.25">
      <c r="A112" s="131" t="s">
        <v>205</v>
      </c>
      <c r="B112" s="131"/>
      <c r="C112" s="179">
        <f>SUM(C111)</f>
        <v>15</v>
      </c>
      <c r="D112" s="180"/>
      <c r="E112" s="184">
        <f>SUM(E111)</f>
        <v>2254.5198</v>
      </c>
      <c r="F112" s="131"/>
      <c r="G112" s="184">
        <f>SUM(G111)</f>
        <v>3269.0537100000001</v>
      </c>
      <c r="H112" s="131"/>
    </row>
    <row r="113" spans="1:9" ht="13.15" x14ac:dyDescent="0.25">
      <c r="A113" s="131" t="s">
        <v>206</v>
      </c>
      <c r="B113" s="131"/>
      <c r="C113" s="131"/>
      <c r="D113" s="131"/>
      <c r="E113" s="131"/>
      <c r="F113" s="131"/>
      <c r="G113" s="131"/>
      <c r="H113" s="131"/>
    </row>
    <row r="114" spans="1:9" ht="13.15" x14ac:dyDescent="0.25">
      <c r="A114" s="131" t="s">
        <v>201</v>
      </c>
      <c r="B114" s="131"/>
      <c r="C114" s="179" t="s">
        <v>202</v>
      </c>
      <c r="D114" s="180"/>
      <c r="E114" s="131" t="s">
        <v>203</v>
      </c>
      <c r="F114" s="131"/>
      <c r="G114" s="131" t="s">
        <v>204</v>
      </c>
      <c r="H114" s="131"/>
    </row>
    <row r="115" spans="1:9" ht="13.15" x14ac:dyDescent="0.25">
      <c r="A115" s="177" t="s">
        <v>267</v>
      </c>
      <c r="B115" s="177"/>
      <c r="C115" s="183">
        <f>COUNT(D147:D148)+COUNT(D150:D153)*4</f>
        <v>18</v>
      </c>
      <c r="D115" s="185"/>
      <c r="E115" s="183">
        <f t="shared" ref="E115" si="0">SUM(F147:F148)+SUM(F150:F153)*4</f>
        <v>6938.0438399999994</v>
      </c>
      <c r="F115" s="185"/>
      <c r="G115" s="183">
        <f t="shared" ref="G115" si="1">SUM(H147:H148)+SUM(H150:H153)*4</f>
        <v>10060.163567999998</v>
      </c>
      <c r="H115" s="185"/>
    </row>
    <row r="116" spans="1:9" ht="13.15" x14ac:dyDescent="0.25">
      <c r="A116" s="177" t="s">
        <v>268</v>
      </c>
      <c r="B116" s="177"/>
      <c r="C116" s="183">
        <f>COUNT(D156:D161)+COUNT(D163:D170)*4</f>
        <v>38</v>
      </c>
      <c r="D116" s="185"/>
      <c r="E116" s="183">
        <f t="shared" ref="E116" si="2">SUM(F156:F161)+SUM(F163:F170)*4</f>
        <v>12414.982319999997</v>
      </c>
      <c r="F116" s="185"/>
      <c r="G116" s="183">
        <f t="shared" ref="G116" si="3">SUM(H156:H161)+SUM(H163:H170)*4</f>
        <v>18001.724363999998</v>
      </c>
      <c r="H116" s="185"/>
    </row>
    <row r="117" spans="1:9" ht="13.15" x14ac:dyDescent="0.25">
      <c r="A117" s="177" t="s">
        <v>269</v>
      </c>
      <c r="B117" s="177"/>
      <c r="C117" s="183">
        <f>COUNT(D173:D174)+COUNT(D176:D179)*4</f>
        <v>18</v>
      </c>
      <c r="D117" s="185"/>
      <c r="E117" s="183">
        <f t="shared" ref="E117" si="4">SUM(F173:F174)+SUM(F176:F179)*4</f>
        <v>6938.0438399999994</v>
      </c>
      <c r="F117" s="185"/>
      <c r="G117" s="183">
        <f t="shared" ref="G117" si="5">SUM(H173:H174)+SUM(H176:H179)*4</f>
        <v>10060.163567999998</v>
      </c>
      <c r="H117" s="185"/>
    </row>
    <row r="118" spans="1:9" ht="13.15" hidden="1" x14ac:dyDescent="0.25">
      <c r="A118" s="177" t="s">
        <v>270</v>
      </c>
      <c r="B118" s="177"/>
      <c r="C118" s="183">
        <f>COUNT(D182:D183)+COUNT(D185:D195)+COUNT(D197:D207)*3</f>
        <v>46</v>
      </c>
      <c r="D118" s="185"/>
      <c r="E118" s="183">
        <f t="shared" ref="E118" si="6">SUM(F182:F183)+SUM(F185:F195)+SUM(F197:F207)*3</f>
        <v>17802.525779999996</v>
      </c>
      <c r="F118" s="185"/>
      <c r="G118" s="183">
        <f t="shared" ref="G118" si="7">SUM(H182:H183)+SUM(H185:H195)+SUM(H197:H207)*3</f>
        <v>25813.662380999995</v>
      </c>
      <c r="H118" s="185"/>
    </row>
    <row r="119" spans="1:9" ht="13.15" x14ac:dyDescent="0.25">
      <c r="A119" s="131" t="s">
        <v>205</v>
      </c>
      <c r="B119" s="131"/>
      <c r="C119" s="186">
        <f>SUM(C115:C117)</f>
        <v>74</v>
      </c>
      <c r="D119" s="180"/>
      <c r="E119" s="184">
        <f>SUM(E115:E117)</f>
        <v>26291.069999999996</v>
      </c>
      <c r="F119" s="131"/>
      <c r="G119" s="184">
        <f>SUM(G115:G117)</f>
        <v>38122.051499999994</v>
      </c>
      <c r="H119" s="131"/>
    </row>
    <row r="120" spans="1:9" ht="13.15" hidden="1" x14ac:dyDescent="0.25">
      <c r="A120" s="131" t="s">
        <v>207</v>
      </c>
      <c r="B120" s="131"/>
      <c r="C120" s="179">
        <f>C112+C119</f>
        <v>89</v>
      </c>
      <c r="D120" s="180"/>
      <c r="E120" s="184">
        <f>E112+E119</f>
        <v>28545.589799999994</v>
      </c>
      <c r="F120" s="184"/>
      <c r="G120" s="184">
        <f>G112+G119</f>
        <v>41391.105209999994</v>
      </c>
      <c r="H120" s="184"/>
    </row>
    <row r="121" spans="1:9" ht="15.75" customHeight="1" x14ac:dyDescent="0.25">
      <c r="A121" s="131" t="s">
        <v>47</v>
      </c>
      <c r="B121" s="131"/>
      <c r="C121" s="131"/>
      <c r="D121" s="131"/>
      <c r="E121" s="131"/>
      <c r="F121" s="131"/>
      <c r="G121" s="131"/>
      <c r="H121" s="131"/>
    </row>
    <row r="122" spans="1:9" ht="13.15" x14ac:dyDescent="0.25">
      <c r="A122" s="131" t="s">
        <v>217</v>
      </c>
      <c r="B122" s="131"/>
      <c r="C122" s="131"/>
      <c r="D122" s="131"/>
      <c r="E122" s="131"/>
      <c r="F122" s="131"/>
      <c r="G122" s="131"/>
      <c r="H122" s="131"/>
    </row>
    <row r="123" spans="1:9" ht="39" hidden="1" customHeight="1" x14ac:dyDescent="0.25">
      <c r="A123" s="187" t="s">
        <v>218</v>
      </c>
      <c r="B123" s="188" t="s">
        <v>219</v>
      </c>
      <c r="C123" s="187" t="s">
        <v>132</v>
      </c>
      <c r="D123" s="188" t="s">
        <v>212</v>
      </c>
      <c r="E123" s="188" t="s">
        <v>215</v>
      </c>
      <c r="F123" s="187" t="s">
        <v>213</v>
      </c>
      <c r="G123" s="189" t="s">
        <v>214</v>
      </c>
      <c r="H123" s="189" t="s">
        <v>145</v>
      </c>
    </row>
    <row r="124" spans="1:9" ht="13.15" hidden="1" x14ac:dyDescent="0.25">
      <c r="A124" s="190"/>
      <c r="B124" s="191"/>
      <c r="C124" s="190"/>
      <c r="D124" s="191"/>
      <c r="E124" s="191"/>
      <c r="F124" s="190"/>
      <c r="G124" s="192"/>
      <c r="H124" s="192">
        <v>0.45</v>
      </c>
    </row>
    <row r="125" spans="1:9" ht="13.15" hidden="1" x14ac:dyDescent="0.25">
      <c r="A125" s="131" t="s">
        <v>264</v>
      </c>
      <c r="B125" s="131"/>
      <c r="C125" s="131"/>
      <c r="D125" s="131"/>
      <c r="E125" s="131"/>
      <c r="F125" s="131"/>
      <c r="G125" s="131"/>
      <c r="H125" s="131"/>
    </row>
    <row r="126" spans="1:9" ht="13.15" hidden="1" x14ac:dyDescent="0.25">
      <c r="A126" s="131" t="s">
        <v>265</v>
      </c>
      <c r="B126" s="131"/>
      <c r="C126" s="131"/>
      <c r="D126" s="131"/>
      <c r="E126" s="131"/>
      <c r="F126" s="131"/>
      <c r="G126" s="131"/>
      <c r="H126" s="131"/>
    </row>
    <row r="127" spans="1:9" ht="13.15" hidden="1" x14ac:dyDescent="0.25">
      <c r="A127" s="193">
        <v>1</v>
      </c>
      <c r="B127" s="194"/>
      <c r="C127" s="99" t="s">
        <v>216</v>
      </c>
      <c r="D127" s="195">
        <f>11.38*10.764</f>
        <v>122.49432</v>
      </c>
      <c r="E127" s="99">
        <v>0</v>
      </c>
      <c r="F127" s="195">
        <f>D127+(IF(E127&lt;201,E127,IF(E127&lt;301,E127/2,E127/3)))</f>
        <v>122.49432</v>
      </c>
      <c r="G127" s="195">
        <v>0</v>
      </c>
      <c r="H127" s="195">
        <f t="shared" ref="H127:H138" si="8">F127*(($H$124)+1)+(IF(G127&lt;101,G127,IF(G127&lt;201,G127/2,IF(G127&lt;=301,G127/3,G127/4))))</f>
        <v>177.61676399999999</v>
      </c>
    </row>
    <row r="128" spans="1:9" ht="13.15" hidden="1" x14ac:dyDescent="0.25">
      <c r="A128" s="193">
        <f>A127+1</f>
        <v>2</v>
      </c>
      <c r="B128" s="194"/>
      <c r="C128" s="99" t="s">
        <v>216</v>
      </c>
      <c r="D128" s="195">
        <f>13.68*10.764</f>
        <v>147.25152</v>
      </c>
      <c r="E128" s="99">
        <v>0</v>
      </c>
      <c r="F128" s="195">
        <f t="shared" ref="F128:F138" si="9">D128+(IF(E128&lt;201,E128,IF(E128&lt;301,E128/2,E128/3)))</f>
        <v>147.25152</v>
      </c>
      <c r="G128" s="195">
        <v>0</v>
      </c>
      <c r="H128" s="195">
        <f t="shared" si="8"/>
        <v>213.51470399999999</v>
      </c>
      <c r="I128" s="44">
        <f>4.67*2.74</f>
        <v>12.795800000000002</v>
      </c>
    </row>
    <row r="129" spans="1:12" ht="13.15" hidden="1" x14ac:dyDescent="0.25">
      <c r="A129" s="193">
        <f t="shared" ref="A129:A141" si="10">A128+1</f>
        <v>3</v>
      </c>
      <c r="B129" s="194"/>
      <c r="C129" s="99" t="s">
        <v>216</v>
      </c>
      <c r="D129" s="195">
        <f>12.77*10.764</f>
        <v>137.45627999999999</v>
      </c>
      <c r="E129" s="99">
        <v>0</v>
      </c>
      <c r="F129" s="195">
        <f t="shared" si="9"/>
        <v>137.45627999999999</v>
      </c>
      <c r="G129" s="195">
        <v>0</v>
      </c>
      <c r="H129" s="195">
        <f t="shared" si="8"/>
        <v>199.31160599999998</v>
      </c>
    </row>
    <row r="130" spans="1:12" ht="13.15" hidden="1" x14ac:dyDescent="0.25">
      <c r="A130" s="193">
        <f t="shared" si="10"/>
        <v>4</v>
      </c>
      <c r="B130" s="194"/>
      <c r="C130" s="99" t="s">
        <v>216</v>
      </c>
      <c r="D130" s="195">
        <f>16.25*10.764</f>
        <v>174.91499999999999</v>
      </c>
      <c r="E130" s="99">
        <v>0</v>
      </c>
      <c r="F130" s="195">
        <f t="shared" si="9"/>
        <v>174.91499999999999</v>
      </c>
      <c r="G130" s="195">
        <v>0</v>
      </c>
      <c r="H130" s="195">
        <f t="shared" si="8"/>
        <v>253.62674999999999</v>
      </c>
      <c r="I130" s="44">
        <f>2.76*5.8</f>
        <v>16.007999999999999</v>
      </c>
    </row>
    <row r="131" spans="1:12" ht="13.15" hidden="1" x14ac:dyDescent="0.25">
      <c r="A131" s="193">
        <f t="shared" si="10"/>
        <v>5</v>
      </c>
      <c r="B131" s="194"/>
      <c r="C131" s="99" t="s">
        <v>216</v>
      </c>
      <c r="D131" s="195">
        <f>15.3*10.764</f>
        <v>164.6892</v>
      </c>
      <c r="E131" s="99">
        <v>0</v>
      </c>
      <c r="F131" s="195">
        <f t="shared" si="9"/>
        <v>164.6892</v>
      </c>
      <c r="G131" s="195">
        <v>0</v>
      </c>
      <c r="H131" s="195">
        <f t="shared" si="8"/>
        <v>238.79934</v>
      </c>
    </row>
    <row r="132" spans="1:12" ht="13.15" hidden="1" x14ac:dyDescent="0.25">
      <c r="A132" s="193">
        <f t="shared" si="10"/>
        <v>6</v>
      </c>
      <c r="B132" s="194"/>
      <c r="C132" s="99" t="s">
        <v>216</v>
      </c>
      <c r="D132" s="195">
        <f>11.61*10.764</f>
        <v>124.97003999999998</v>
      </c>
      <c r="E132" s="99">
        <v>0</v>
      </c>
      <c r="F132" s="195">
        <f t="shared" si="9"/>
        <v>124.97003999999998</v>
      </c>
      <c r="G132" s="195">
        <v>0</v>
      </c>
      <c r="H132" s="195">
        <f t="shared" si="8"/>
        <v>181.20655799999997</v>
      </c>
    </row>
    <row r="133" spans="1:12" ht="13.15" hidden="1" x14ac:dyDescent="0.25">
      <c r="A133" s="193">
        <f t="shared" si="10"/>
        <v>7</v>
      </c>
      <c r="B133" s="194"/>
      <c r="C133" s="99" t="s">
        <v>216</v>
      </c>
      <c r="D133" s="195">
        <f>11.61*10.764</f>
        <v>124.97003999999998</v>
      </c>
      <c r="E133" s="99">
        <v>0</v>
      </c>
      <c r="F133" s="195">
        <f t="shared" si="9"/>
        <v>124.97003999999998</v>
      </c>
      <c r="G133" s="195">
        <v>0</v>
      </c>
      <c r="H133" s="195">
        <f t="shared" si="8"/>
        <v>181.20655799999997</v>
      </c>
    </row>
    <row r="134" spans="1:12" ht="13.15" hidden="1" x14ac:dyDescent="0.25">
      <c r="A134" s="193">
        <f t="shared" si="10"/>
        <v>8</v>
      </c>
      <c r="B134" s="194"/>
      <c r="C134" s="99" t="s">
        <v>216</v>
      </c>
      <c r="D134" s="195">
        <f>15.3*10.764</f>
        <v>164.6892</v>
      </c>
      <c r="E134" s="99">
        <v>0</v>
      </c>
      <c r="F134" s="195">
        <f t="shared" si="9"/>
        <v>164.6892</v>
      </c>
      <c r="G134" s="195">
        <v>0</v>
      </c>
      <c r="H134" s="195">
        <f t="shared" si="8"/>
        <v>238.79934</v>
      </c>
    </row>
    <row r="135" spans="1:12" ht="13.15" hidden="1" x14ac:dyDescent="0.25">
      <c r="A135" s="193">
        <f t="shared" si="10"/>
        <v>9</v>
      </c>
      <c r="B135" s="194"/>
      <c r="C135" s="99" t="s">
        <v>216</v>
      </c>
      <c r="D135" s="195">
        <f>12.6*10.764</f>
        <v>135.62639999999999</v>
      </c>
      <c r="E135" s="99">
        <v>0</v>
      </c>
      <c r="F135" s="195">
        <f t="shared" si="9"/>
        <v>135.62639999999999</v>
      </c>
      <c r="G135" s="195">
        <v>0</v>
      </c>
      <c r="H135" s="195">
        <f t="shared" si="8"/>
        <v>196.65827999999999</v>
      </c>
    </row>
    <row r="136" spans="1:12" ht="13.15" hidden="1" x14ac:dyDescent="0.25">
      <c r="A136" s="193">
        <f t="shared" si="10"/>
        <v>10</v>
      </c>
      <c r="B136" s="194"/>
      <c r="C136" s="99" t="s">
        <v>216</v>
      </c>
      <c r="D136" s="195">
        <f>10.38*10.764</f>
        <v>111.73032000000001</v>
      </c>
      <c r="E136" s="99">
        <v>0</v>
      </c>
      <c r="F136" s="195">
        <f t="shared" si="9"/>
        <v>111.73032000000001</v>
      </c>
      <c r="G136" s="195">
        <v>0</v>
      </c>
      <c r="H136" s="195">
        <f t="shared" si="8"/>
        <v>162.00896399999999</v>
      </c>
    </row>
    <row r="137" spans="1:12" ht="13.15" hidden="1" x14ac:dyDescent="0.25">
      <c r="A137" s="193">
        <f t="shared" si="10"/>
        <v>11</v>
      </c>
      <c r="B137" s="194"/>
      <c r="C137" s="99" t="s">
        <v>216</v>
      </c>
      <c r="D137" s="195">
        <f>15.3*10.764</f>
        <v>164.6892</v>
      </c>
      <c r="E137" s="99">
        <v>0</v>
      </c>
      <c r="F137" s="195">
        <f t="shared" si="9"/>
        <v>164.6892</v>
      </c>
      <c r="G137" s="195">
        <v>0</v>
      </c>
      <c r="H137" s="195">
        <f t="shared" si="8"/>
        <v>238.79934</v>
      </c>
    </row>
    <row r="138" spans="1:12" ht="13.15" hidden="1" x14ac:dyDescent="0.25">
      <c r="A138" s="193">
        <f t="shared" si="10"/>
        <v>12</v>
      </c>
      <c r="B138" s="194"/>
      <c r="C138" s="99" t="s">
        <v>216</v>
      </c>
      <c r="D138" s="195">
        <f>15.3*10.764</f>
        <v>164.6892</v>
      </c>
      <c r="E138" s="99">
        <v>0</v>
      </c>
      <c r="F138" s="195">
        <f t="shared" si="9"/>
        <v>164.6892</v>
      </c>
      <c r="G138" s="195">
        <v>0</v>
      </c>
      <c r="H138" s="195">
        <f t="shared" si="8"/>
        <v>238.79934</v>
      </c>
      <c r="I138" s="44">
        <f>2.58*5.8</f>
        <v>14.964</v>
      </c>
    </row>
    <row r="139" spans="1:12" ht="13.15" hidden="1" x14ac:dyDescent="0.25">
      <c r="A139" s="193">
        <f t="shared" si="10"/>
        <v>13</v>
      </c>
      <c r="B139" s="194"/>
      <c r="C139" s="99" t="s">
        <v>216</v>
      </c>
      <c r="D139" s="195">
        <f>10.24*10.764</f>
        <v>110.22336</v>
      </c>
      <c r="E139" s="99">
        <v>0</v>
      </c>
      <c r="F139" s="195">
        <f t="shared" ref="F139:F141" si="11">D139+(IF(E139&lt;201,E139,IF(E139&lt;301,E139/2,E139/3)))</f>
        <v>110.22336</v>
      </c>
      <c r="G139" s="195">
        <v>0</v>
      </c>
      <c r="H139" s="195">
        <f t="shared" ref="H139:H141" si="12">F139*(($H$124)+1)+(IF(G139&lt;101,G139,IF(G139&lt;201,G139/2,IF(G139&lt;=301,G139/3,G139/4))))</f>
        <v>159.82387199999999</v>
      </c>
    </row>
    <row r="140" spans="1:12" ht="13.15" hidden="1" x14ac:dyDescent="0.25">
      <c r="A140" s="193">
        <f t="shared" si="10"/>
        <v>14</v>
      </c>
      <c r="B140" s="194"/>
      <c r="C140" s="99" t="s">
        <v>216</v>
      </c>
      <c r="D140" s="195">
        <f>10.21*10.764</f>
        <v>109.90044</v>
      </c>
      <c r="E140" s="99">
        <v>0</v>
      </c>
      <c r="F140" s="195">
        <f t="shared" si="11"/>
        <v>109.90044</v>
      </c>
      <c r="G140" s="195">
        <v>0</v>
      </c>
      <c r="H140" s="195">
        <f t="shared" si="12"/>
        <v>159.355638</v>
      </c>
    </row>
    <row r="141" spans="1:12" ht="13.15" hidden="1" x14ac:dyDescent="0.25">
      <c r="A141" s="193">
        <f t="shared" si="10"/>
        <v>15</v>
      </c>
      <c r="B141" s="194"/>
      <c r="C141" s="99" t="s">
        <v>216</v>
      </c>
      <c r="D141" s="195">
        <f>27.52*10.764</f>
        <v>296.22528</v>
      </c>
      <c r="E141" s="99">
        <v>0</v>
      </c>
      <c r="F141" s="195">
        <f t="shared" si="11"/>
        <v>296.22528</v>
      </c>
      <c r="G141" s="195">
        <v>0</v>
      </c>
      <c r="H141" s="195">
        <f t="shared" si="12"/>
        <v>429.526656</v>
      </c>
    </row>
    <row r="142" spans="1:12" ht="13.15" hidden="1" x14ac:dyDescent="0.25">
      <c r="A142" s="193"/>
      <c r="B142" s="196"/>
      <c r="C142" s="196"/>
      <c r="D142" s="196"/>
      <c r="E142" s="196"/>
      <c r="F142" s="196"/>
      <c r="G142" s="196"/>
      <c r="H142" s="194"/>
    </row>
    <row r="143" spans="1:12" ht="39" customHeight="1" x14ac:dyDescent="0.2">
      <c r="A143" s="187" t="s">
        <v>210</v>
      </c>
      <c r="B143" s="188" t="s">
        <v>211</v>
      </c>
      <c r="C143" s="187" t="s">
        <v>132</v>
      </c>
      <c r="D143" s="188" t="s">
        <v>212</v>
      </c>
      <c r="E143" s="188" t="s">
        <v>260</v>
      </c>
      <c r="F143" s="187" t="s">
        <v>213</v>
      </c>
      <c r="G143" s="189" t="s">
        <v>214</v>
      </c>
      <c r="H143" s="189" t="s">
        <v>145</v>
      </c>
      <c r="L143" s="11">
        <v>10.763999999999999</v>
      </c>
    </row>
    <row r="144" spans="1:12" x14ac:dyDescent="0.2">
      <c r="A144" s="190"/>
      <c r="B144" s="191"/>
      <c r="C144" s="190"/>
      <c r="D144" s="191"/>
      <c r="E144" s="191"/>
      <c r="F144" s="190"/>
      <c r="G144" s="192"/>
      <c r="H144" s="192">
        <v>0.45</v>
      </c>
    </row>
    <row r="145" spans="1:9" ht="13.15" x14ac:dyDescent="0.25">
      <c r="A145" s="131" t="s">
        <v>258</v>
      </c>
      <c r="B145" s="131"/>
      <c r="C145" s="131"/>
      <c r="D145" s="131"/>
      <c r="E145" s="131"/>
      <c r="F145" s="131"/>
      <c r="G145" s="131"/>
      <c r="H145" s="131"/>
    </row>
    <row r="146" spans="1:9" ht="13.15" x14ac:dyDescent="0.25">
      <c r="A146" s="131" t="s">
        <v>259</v>
      </c>
      <c r="B146" s="131"/>
      <c r="C146" s="131"/>
      <c r="D146" s="131"/>
      <c r="E146" s="131"/>
      <c r="F146" s="131"/>
      <c r="G146" s="131"/>
      <c r="H146" s="131"/>
    </row>
    <row r="147" spans="1:9" ht="13.15" x14ac:dyDescent="0.25">
      <c r="A147" s="193">
        <v>1</v>
      </c>
      <c r="B147" s="194"/>
      <c r="C147" s="99" t="s">
        <v>57</v>
      </c>
      <c r="D147" s="195">
        <f>(27.52)*10.764</f>
        <v>296.22528</v>
      </c>
      <c r="E147" s="99">
        <v>0</v>
      </c>
      <c r="F147" s="195">
        <f>D147+E147</f>
        <v>296.22528</v>
      </c>
      <c r="G147" s="195">
        <v>0</v>
      </c>
      <c r="H147" s="195">
        <f>F147*(($H$144)+1)+(IF(G147&lt;101,G147,IF(G147&lt;201,G147/2,IF(G147&lt;=301,G147/3,G147/4))))</f>
        <v>429.526656</v>
      </c>
      <c r="I147" s="44">
        <f>3.95*2.65+2.1*1.88+2.75*2.65+1.2*(1.5+1.05)+1.2*1.05</f>
        <v>26.023</v>
      </c>
    </row>
    <row r="148" spans="1:9" ht="13.15" x14ac:dyDescent="0.25">
      <c r="A148" s="193">
        <f>A147+1</f>
        <v>2</v>
      </c>
      <c r="B148" s="194"/>
      <c r="C148" s="99" t="s">
        <v>57</v>
      </c>
      <c r="D148" s="195">
        <f>(27.52)*10.764</f>
        <v>296.22528</v>
      </c>
      <c r="E148" s="99">
        <v>0</v>
      </c>
      <c r="F148" s="195">
        <f t="shared" ref="F148" si="13">D148+E148</f>
        <v>296.22528</v>
      </c>
      <c r="G148" s="195">
        <v>0</v>
      </c>
      <c r="H148" s="195">
        <f t="shared" ref="H148" si="14">F148*(($H$144)+1)+(IF(G148&lt;101,G148,IF(G148&lt;201,G148/2,IF(G148&lt;=301,G148/3,G148/4))))</f>
        <v>429.526656</v>
      </c>
    </row>
    <row r="149" spans="1:9" ht="12.75" customHeight="1" x14ac:dyDescent="0.25">
      <c r="A149" s="131" t="s">
        <v>273</v>
      </c>
      <c r="B149" s="131"/>
      <c r="C149" s="131"/>
      <c r="D149" s="131"/>
      <c r="E149" s="131"/>
      <c r="F149" s="131"/>
      <c r="G149" s="131"/>
      <c r="H149" s="131"/>
    </row>
    <row r="150" spans="1:9" ht="13.15" x14ac:dyDescent="0.25">
      <c r="A150" s="193">
        <v>1</v>
      </c>
      <c r="B150" s="194"/>
      <c r="C150" s="99" t="s">
        <v>57</v>
      </c>
      <c r="D150" s="195">
        <f>(31.64)*10.764</f>
        <v>340.57295999999997</v>
      </c>
      <c r="E150" s="195">
        <f>((0.75*(1.71+2.25+2.98)))*10.764</f>
        <v>56.026619999999994</v>
      </c>
      <c r="F150" s="195">
        <f>D150+E150</f>
        <v>396.59957999999995</v>
      </c>
      <c r="G150" s="195">
        <v>0</v>
      </c>
      <c r="H150" s="195">
        <f>F150*(($H$144)+1)+(IF(G150&lt;101,G150,IF(G150&lt;201,G150/2,IF(G150&lt;=301,G150/3,G150/4))))</f>
        <v>575.06939099999988</v>
      </c>
      <c r="I150" s="43">
        <f>3.95*2.68+2.1*1.58+2.73*2.65+1.2*(1.5+1.05)+1.2*1.05+2.25+2.9</f>
        <v>30.608499999999999</v>
      </c>
    </row>
    <row r="151" spans="1:9" ht="13.15" x14ac:dyDescent="0.25">
      <c r="A151" s="193">
        <f>A150+1</f>
        <v>2</v>
      </c>
      <c r="B151" s="194"/>
      <c r="C151" s="99" t="s">
        <v>57</v>
      </c>
      <c r="D151" s="195">
        <f>(31.64)*10.764</f>
        <v>340.57295999999997</v>
      </c>
      <c r="E151" s="195">
        <f>((0.75*(1.71+2.25+2.98)))*10.764</f>
        <v>56.026619999999994</v>
      </c>
      <c r="F151" s="195">
        <f t="shared" ref="F151:F153" si="15">D151+E151</f>
        <v>396.59957999999995</v>
      </c>
      <c r="G151" s="195">
        <v>0</v>
      </c>
      <c r="H151" s="195">
        <f t="shared" ref="H151:H153" si="16">F151*(($H$144)+1)+(IF(G151&lt;101,G151,IF(G151&lt;201,G151/2,IF(G151&lt;=301,G151/3,G151/4))))</f>
        <v>575.06939099999988</v>
      </c>
    </row>
    <row r="152" spans="1:9" ht="13.15" x14ac:dyDescent="0.25">
      <c r="A152" s="193">
        <f t="shared" ref="A152:A153" si="17">A151+1</f>
        <v>3</v>
      </c>
      <c r="B152" s="194"/>
      <c r="C152" s="99" t="s">
        <v>57</v>
      </c>
      <c r="D152" s="195">
        <f>(31.64)*10.764</f>
        <v>340.57295999999997</v>
      </c>
      <c r="E152" s="195">
        <f>((0.75*(1.71+2.25+2.98)))*10.764</f>
        <v>56.026619999999994</v>
      </c>
      <c r="F152" s="195">
        <f t="shared" si="15"/>
        <v>396.59957999999995</v>
      </c>
      <c r="G152" s="195">
        <v>0</v>
      </c>
      <c r="H152" s="195">
        <f t="shared" si="16"/>
        <v>575.06939099999988</v>
      </c>
    </row>
    <row r="153" spans="1:9" ht="13.15" x14ac:dyDescent="0.25">
      <c r="A153" s="193">
        <f t="shared" si="17"/>
        <v>4</v>
      </c>
      <c r="B153" s="194"/>
      <c r="C153" s="99" t="s">
        <v>57</v>
      </c>
      <c r="D153" s="195">
        <f>(31.64)*10.764</f>
        <v>340.57295999999997</v>
      </c>
      <c r="E153" s="195">
        <f>((0.75*(1.71+2.25+2.98)))*10.764</f>
        <v>56.026619999999994</v>
      </c>
      <c r="F153" s="195">
        <f t="shared" si="15"/>
        <v>396.59957999999995</v>
      </c>
      <c r="G153" s="195">
        <v>0</v>
      </c>
      <c r="H153" s="195">
        <f t="shared" si="16"/>
        <v>575.06939099999988</v>
      </c>
    </row>
    <row r="154" spans="1:9" ht="13.15" x14ac:dyDescent="0.25">
      <c r="A154" s="131" t="s">
        <v>261</v>
      </c>
      <c r="B154" s="131"/>
      <c r="C154" s="131"/>
      <c r="D154" s="131"/>
      <c r="E154" s="131"/>
      <c r="F154" s="131"/>
      <c r="G154" s="131"/>
      <c r="H154" s="131"/>
    </row>
    <row r="155" spans="1:9" ht="13.15" x14ac:dyDescent="0.25">
      <c r="A155" s="131" t="s">
        <v>259</v>
      </c>
      <c r="B155" s="131"/>
      <c r="C155" s="131"/>
      <c r="D155" s="131"/>
      <c r="E155" s="131"/>
      <c r="F155" s="131"/>
      <c r="G155" s="131"/>
      <c r="H155" s="131"/>
    </row>
    <row r="156" spans="1:9" ht="13.15" x14ac:dyDescent="0.25">
      <c r="A156" s="193">
        <v>1</v>
      </c>
      <c r="B156" s="194"/>
      <c r="C156" s="99" t="s">
        <v>57</v>
      </c>
      <c r="D156" s="195">
        <f>(27)*10.764</f>
        <v>290.62799999999999</v>
      </c>
      <c r="E156" s="99">
        <v>0</v>
      </c>
      <c r="F156" s="195">
        <f>D156+E156</f>
        <v>290.62799999999999</v>
      </c>
      <c r="G156" s="195">
        <v>0</v>
      </c>
      <c r="H156" s="195">
        <f>F156*(($H$144)+1)+(IF(G156&lt;101,G156,IF(G156&lt;201,G156/2,IF(G156&lt;=301,G156/3,G156/4))))</f>
        <v>421.41059999999999</v>
      </c>
      <c r="I156" s="44">
        <f>2.86*3.95+2.1*1.65+2.73*2.45+1.2*(1.5+1.2)+1.5*1.05</f>
        <v>26.265499999999999</v>
      </c>
    </row>
    <row r="157" spans="1:9" ht="13.15" x14ac:dyDescent="0.25">
      <c r="A157" s="193">
        <f>A156+1</f>
        <v>2</v>
      </c>
      <c r="B157" s="194"/>
      <c r="C157" s="99" t="s">
        <v>262</v>
      </c>
      <c r="D157" s="195">
        <f>(17.5)*10.764</f>
        <v>188.36999999999998</v>
      </c>
      <c r="E157" s="99">
        <v>0</v>
      </c>
      <c r="F157" s="195">
        <f t="shared" ref="F157:F161" si="18">D157+E157</f>
        <v>188.36999999999998</v>
      </c>
      <c r="G157" s="195">
        <v>0</v>
      </c>
      <c r="H157" s="195">
        <f t="shared" ref="H157:H161" si="19">F157*(($H$144)+1)+(IF(G157&lt;101,G157,IF(G157&lt;201,G157/2,IF(G157&lt;=301,G157/3,G157/4))))</f>
        <v>273.13649999999996</v>
      </c>
    </row>
    <row r="158" spans="1:9" ht="13.15" x14ac:dyDescent="0.25">
      <c r="A158" s="193">
        <f t="shared" ref="A158:A161" si="20">A157+1</f>
        <v>3</v>
      </c>
      <c r="B158" s="194"/>
      <c r="C158" s="99" t="s">
        <v>262</v>
      </c>
      <c r="D158" s="195">
        <f>(19.83)*10.764</f>
        <v>213.45011999999997</v>
      </c>
      <c r="E158" s="99">
        <v>0</v>
      </c>
      <c r="F158" s="195">
        <f t="shared" si="18"/>
        <v>213.45011999999997</v>
      </c>
      <c r="G158" s="195">
        <v>0</v>
      </c>
      <c r="H158" s="195">
        <f t="shared" si="19"/>
        <v>309.50267399999996</v>
      </c>
    </row>
    <row r="159" spans="1:9" ht="13.15" x14ac:dyDescent="0.25">
      <c r="A159" s="193">
        <f t="shared" si="20"/>
        <v>4</v>
      </c>
      <c r="B159" s="194"/>
      <c r="C159" s="99" t="s">
        <v>262</v>
      </c>
      <c r="D159" s="195">
        <f>(19.83)*10.764</f>
        <v>213.45011999999997</v>
      </c>
      <c r="E159" s="99">
        <v>0</v>
      </c>
      <c r="F159" s="195">
        <f t="shared" si="18"/>
        <v>213.45011999999997</v>
      </c>
      <c r="G159" s="195">
        <v>0</v>
      </c>
      <c r="H159" s="195">
        <f t="shared" si="19"/>
        <v>309.50267399999996</v>
      </c>
    </row>
    <row r="160" spans="1:9" ht="13.15" x14ac:dyDescent="0.25">
      <c r="A160" s="193">
        <f t="shared" si="20"/>
        <v>5</v>
      </c>
      <c r="B160" s="194"/>
      <c r="C160" s="99" t="s">
        <v>262</v>
      </c>
      <c r="D160" s="195">
        <f>(17.5)*10.764</f>
        <v>188.36999999999998</v>
      </c>
      <c r="E160" s="99">
        <v>0</v>
      </c>
      <c r="F160" s="195">
        <f t="shared" si="18"/>
        <v>188.36999999999998</v>
      </c>
      <c r="G160" s="195">
        <v>0</v>
      </c>
      <c r="H160" s="195">
        <f t="shared" si="19"/>
        <v>273.13649999999996</v>
      </c>
      <c r="I160" s="44">
        <f>2.58*3.95+2.4*1.95+1.87*1.23</f>
        <v>17.171099999999999</v>
      </c>
    </row>
    <row r="161" spans="1:10" ht="13.15" x14ac:dyDescent="0.25">
      <c r="A161" s="193">
        <f t="shared" si="20"/>
        <v>6</v>
      </c>
      <c r="B161" s="194"/>
      <c r="C161" s="99" t="s">
        <v>57</v>
      </c>
      <c r="D161" s="195">
        <f>(27)*10.764</f>
        <v>290.62799999999999</v>
      </c>
      <c r="E161" s="99">
        <v>0</v>
      </c>
      <c r="F161" s="195">
        <f t="shared" si="18"/>
        <v>290.62799999999999</v>
      </c>
      <c r="G161" s="195">
        <v>0</v>
      </c>
      <c r="H161" s="195">
        <f t="shared" si="19"/>
        <v>421.41059999999999</v>
      </c>
    </row>
    <row r="162" spans="1:10" ht="12.75" customHeight="1" x14ac:dyDescent="0.25">
      <c r="A162" s="131" t="s">
        <v>273</v>
      </c>
      <c r="B162" s="131"/>
      <c r="C162" s="131"/>
      <c r="D162" s="131"/>
      <c r="E162" s="131"/>
      <c r="F162" s="131"/>
      <c r="G162" s="131"/>
      <c r="H162" s="131"/>
    </row>
    <row r="163" spans="1:10" ht="13.15" x14ac:dyDescent="0.25">
      <c r="A163" s="193">
        <v>1</v>
      </c>
      <c r="B163" s="194"/>
      <c r="C163" s="99" t="s">
        <v>57</v>
      </c>
      <c r="D163" s="195">
        <f>(31.65+(0.75*(1.17+2.88)))*10.764</f>
        <v>373.37624999999997</v>
      </c>
      <c r="E163" s="195">
        <f>((0.75*(1.17+2.88)))*10.764</f>
        <v>32.695649999999993</v>
      </c>
      <c r="F163" s="195">
        <f>D163+E163</f>
        <v>406.07189999999997</v>
      </c>
      <c r="G163" s="195">
        <v>0</v>
      </c>
      <c r="H163" s="195">
        <f>F163*(($H$144)+1)+(IF(G163&lt;101,G163,IF(G163&lt;201,G163/2,IF(G163&lt;=301,G163/3,G163/4))))</f>
        <v>588.8042549999999</v>
      </c>
    </row>
    <row r="164" spans="1:10" ht="13.15" x14ac:dyDescent="0.25">
      <c r="A164" s="193">
        <f>A163+1</f>
        <v>2</v>
      </c>
      <c r="B164" s="194"/>
      <c r="C164" s="99" t="s">
        <v>57</v>
      </c>
      <c r="D164" s="195">
        <f>(31.65+(0.75*(1.17+2.88+2.25)))*10.764</f>
        <v>391.54049999999995</v>
      </c>
      <c r="E164" s="195">
        <f>((0.75*(1.17+2.88+2.25)))*10.764</f>
        <v>50.859899999999996</v>
      </c>
      <c r="F164" s="195">
        <f t="shared" ref="F164:F170" si="21">D164+E164</f>
        <v>442.40039999999993</v>
      </c>
      <c r="G164" s="195">
        <v>0</v>
      </c>
      <c r="H164" s="195">
        <f t="shared" ref="H164:H170" si="22">F164*(($H$144)+1)+(IF(G164&lt;101,G164,IF(G164&lt;201,G164/2,IF(G164&lt;=301,G164/3,G164/4))))</f>
        <v>641.48057999999992</v>
      </c>
    </row>
    <row r="165" spans="1:10" ht="13.15" x14ac:dyDescent="0.25">
      <c r="A165" s="193">
        <f t="shared" ref="A165:A170" si="23">A164+1</f>
        <v>3</v>
      </c>
      <c r="B165" s="194"/>
      <c r="C165" s="99" t="s">
        <v>262</v>
      </c>
      <c r="D165" s="195">
        <f>(17.5+0.75*2.73)*10.764</f>
        <v>210.40928999999997</v>
      </c>
      <c r="E165" s="195">
        <f>(0.75*2.73)*10.764</f>
        <v>22.039289999999998</v>
      </c>
      <c r="F165" s="195">
        <f t="shared" si="21"/>
        <v>232.44857999999996</v>
      </c>
      <c r="G165" s="195">
        <v>0</v>
      </c>
      <c r="H165" s="195">
        <f t="shared" si="22"/>
        <v>337.05044099999992</v>
      </c>
    </row>
    <row r="166" spans="1:10" ht="13.15" x14ac:dyDescent="0.25">
      <c r="A166" s="193">
        <f t="shared" si="23"/>
        <v>4</v>
      </c>
      <c r="B166" s="194"/>
      <c r="C166" s="99" t="s">
        <v>262</v>
      </c>
      <c r="D166" s="195">
        <f>(19.83+0.75*2.2)*10.764</f>
        <v>231.21071999999995</v>
      </c>
      <c r="E166" s="195">
        <f>(0.75*2.2)*10.764</f>
        <v>17.7606</v>
      </c>
      <c r="F166" s="195">
        <f t="shared" si="21"/>
        <v>248.97131999999996</v>
      </c>
      <c r="G166" s="195">
        <v>0</v>
      </c>
      <c r="H166" s="195">
        <f t="shared" si="22"/>
        <v>361.00841399999996</v>
      </c>
    </row>
    <row r="167" spans="1:10" ht="13.15" x14ac:dyDescent="0.25">
      <c r="A167" s="193">
        <f t="shared" si="23"/>
        <v>5</v>
      </c>
      <c r="B167" s="194"/>
      <c r="C167" s="99" t="s">
        <v>262</v>
      </c>
      <c r="D167" s="195">
        <f>(19.83+0.75*2.2)*10.764</f>
        <v>231.21071999999995</v>
      </c>
      <c r="E167" s="195">
        <f>(0.75*2.2)*10.764</f>
        <v>17.7606</v>
      </c>
      <c r="F167" s="195">
        <f t="shared" si="21"/>
        <v>248.97131999999996</v>
      </c>
      <c r="G167" s="195">
        <v>0</v>
      </c>
      <c r="H167" s="195">
        <f t="shared" si="22"/>
        <v>361.00841399999996</v>
      </c>
    </row>
    <row r="168" spans="1:10" ht="13.15" x14ac:dyDescent="0.25">
      <c r="A168" s="193">
        <f t="shared" si="23"/>
        <v>6</v>
      </c>
      <c r="B168" s="194"/>
      <c r="C168" s="99" t="s">
        <v>262</v>
      </c>
      <c r="D168" s="195">
        <f>27*10.764</f>
        <v>290.62799999999999</v>
      </c>
      <c r="E168" s="195">
        <v>0</v>
      </c>
      <c r="F168" s="195">
        <f t="shared" si="21"/>
        <v>290.62799999999999</v>
      </c>
      <c r="G168" s="195">
        <v>0</v>
      </c>
      <c r="H168" s="195">
        <f t="shared" si="22"/>
        <v>421.41059999999999</v>
      </c>
    </row>
    <row r="169" spans="1:10" ht="13.15" x14ac:dyDescent="0.25">
      <c r="A169" s="193">
        <f t="shared" si="23"/>
        <v>7</v>
      </c>
      <c r="B169" s="194"/>
      <c r="C169" s="99" t="s">
        <v>57</v>
      </c>
      <c r="D169" s="195">
        <f>(31.65+(0.75*(1.17+2.98+2.25)))*10.764</f>
        <v>392.34780000000001</v>
      </c>
      <c r="E169" s="195">
        <f>((0.75*(1.17+2.98+2.25)))*10.764</f>
        <v>51.667200000000001</v>
      </c>
      <c r="F169" s="195">
        <f t="shared" si="21"/>
        <v>444.01499999999999</v>
      </c>
      <c r="G169" s="195">
        <v>0</v>
      </c>
      <c r="H169" s="195">
        <f t="shared" si="22"/>
        <v>643.82174999999995</v>
      </c>
      <c r="J169" s="6">
        <f>1700000/H169</f>
        <v>2640.4824006023409</v>
      </c>
    </row>
    <row r="170" spans="1:10" ht="13.15" x14ac:dyDescent="0.25">
      <c r="A170" s="193">
        <f t="shared" si="23"/>
        <v>8</v>
      </c>
      <c r="B170" s="194"/>
      <c r="C170" s="99" t="s">
        <v>57</v>
      </c>
      <c r="D170" s="195">
        <f>(31.65+(0.75*(1.17+2.98+2.25)))*10.764</f>
        <v>392.34780000000001</v>
      </c>
      <c r="E170" s="195">
        <f>((0.75*(1.17+2.98+2.25)))*10.764</f>
        <v>51.667200000000001</v>
      </c>
      <c r="F170" s="195">
        <f t="shared" si="21"/>
        <v>444.01499999999999</v>
      </c>
      <c r="G170" s="195">
        <v>0</v>
      </c>
      <c r="H170" s="195">
        <f t="shared" si="22"/>
        <v>643.82174999999995</v>
      </c>
    </row>
    <row r="171" spans="1:10" ht="13.15" x14ac:dyDescent="0.25">
      <c r="A171" s="131" t="s">
        <v>263</v>
      </c>
      <c r="B171" s="131"/>
      <c r="C171" s="131"/>
      <c r="D171" s="131"/>
      <c r="E171" s="131"/>
      <c r="F171" s="131"/>
      <c r="G171" s="131"/>
      <c r="H171" s="131"/>
    </row>
    <row r="172" spans="1:10" ht="13.15" x14ac:dyDescent="0.25">
      <c r="A172" s="131" t="s">
        <v>259</v>
      </c>
      <c r="B172" s="131"/>
      <c r="C172" s="131"/>
      <c r="D172" s="131"/>
      <c r="E172" s="131"/>
      <c r="F172" s="131"/>
      <c r="G172" s="131"/>
      <c r="H172" s="131"/>
    </row>
    <row r="173" spans="1:10" ht="13.15" x14ac:dyDescent="0.25">
      <c r="A173" s="193">
        <v>1</v>
      </c>
      <c r="B173" s="194"/>
      <c r="C173" s="99" t="s">
        <v>57</v>
      </c>
      <c r="D173" s="195">
        <f>(27.52)*10.764</f>
        <v>296.22528</v>
      </c>
      <c r="E173" s="99">
        <v>0</v>
      </c>
      <c r="F173" s="195">
        <f>D173+E173</f>
        <v>296.22528</v>
      </c>
      <c r="G173" s="195">
        <v>0</v>
      </c>
      <c r="H173" s="195">
        <f>F173*(($H$144)+1)+(IF(G173&lt;101,G173,IF(G173&lt;201,G173/2,IF(G173&lt;=301,G173/3,G173/4))))</f>
        <v>429.526656</v>
      </c>
    </row>
    <row r="174" spans="1:10" ht="13.15" x14ac:dyDescent="0.25">
      <c r="A174" s="193">
        <f>A173+1</f>
        <v>2</v>
      </c>
      <c r="B174" s="194"/>
      <c r="C174" s="99" t="s">
        <v>57</v>
      </c>
      <c r="D174" s="195">
        <f>(27.52)*10.764</f>
        <v>296.22528</v>
      </c>
      <c r="E174" s="99">
        <v>0</v>
      </c>
      <c r="F174" s="195">
        <f t="shared" ref="F174" si="24">D174+E174</f>
        <v>296.22528</v>
      </c>
      <c r="G174" s="195">
        <v>0</v>
      </c>
      <c r="H174" s="195">
        <f t="shared" ref="H174" si="25">F174*(($H$144)+1)+(IF(G174&lt;101,G174,IF(G174&lt;201,G174/2,IF(G174&lt;=301,G174/3,G174/4))))</f>
        <v>429.526656</v>
      </c>
    </row>
    <row r="175" spans="1:10" ht="13.15" x14ac:dyDescent="0.25">
      <c r="A175" s="131" t="s">
        <v>273</v>
      </c>
      <c r="B175" s="131"/>
      <c r="C175" s="131"/>
      <c r="D175" s="131"/>
      <c r="E175" s="131"/>
      <c r="F175" s="131"/>
      <c r="G175" s="131"/>
      <c r="H175" s="131"/>
    </row>
    <row r="176" spans="1:10" ht="13.15" x14ac:dyDescent="0.25">
      <c r="A176" s="193">
        <v>1</v>
      </c>
      <c r="B176" s="194"/>
      <c r="C176" s="99" t="s">
        <v>57</v>
      </c>
      <c r="D176" s="195">
        <f>(31.64)*10.764</f>
        <v>340.57295999999997</v>
      </c>
      <c r="E176" s="195">
        <f>((0.75*(1.71+2.25+2.98)))*10.764</f>
        <v>56.026619999999994</v>
      </c>
      <c r="F176" s="195">
        <f>D176+E176</f>
        <v>396.59957999999995</v>
      </c>
      <c r="G176" s="195">
        <v>0</v>
      </c>
      <c r="H176" s="195">
        <f>F176*(($H$144)+1)+(IF(G176&lt;101,G176,IF(G176&lt;201,G176/2,IF(G176&lt;=301,G176/3,G176/4))))</f>
        <v>575.06939099999988</v>
      </c>
    </row>
    <row r="177" spans="1:8" ht="13.15" x14ac:dyDescent="0.25">
      <c r="A177" s="193">
        <f>A176+1</f>
        <v>2</v>
      </c>
      <c r="B177" s="194"/>
      <c r="C177" s="99" t="s">
        <v>57</v>
      </c>
      <c r="D177" s="195">
        <f>(31.64)*10.764</f>
        <v>340.57295999999997</v>
      </c>
      <c r="E177" s="195">
        <f>((0.75*(1.71+2.25+2.98)))*10.764</f>
        <v>56.026619999999994</v>
      </c>
      <c r="F177" s="195">
        <f t="shared" ref="F177:F179" si="26">D177+E177</f>
        <v>396.59957999999995</v>
      </c>
      <c r="G177" s="195">
        <v>0</v>
      </c>
      <c r="H177" s="195">
        <f t="shared" ref="H177:H179" si="27">F177*(($H$144)+1)+(IF(G177&lt;101,G177,IF(G177&lt;201,G177/2,IF(G177&lt;=301,G177/3,G177/4))))</f>
        <v>575.06939099999988</v>
      </c>
    </row>
    <row r="178" spans="1:8" ht="13.15" x14ac:dyDescent="0.25">
      <c r="A178" s="193">
        <f t="shared" ref="A178:A179" si="28">A177+1</f>
        <v>3</v>
      </c>
      <c r="B178" s="194"/>
      <c r="C178" s="99" t="s">
        <v>57</v>
      </c>
      <c r="D178" s="195">
        <f>(31.64)*10.764</f>
        <v>340.57295999999997</v>
      </c>
      <c r="E178" s="195">
        <f>((0.75*(1.71+2.25+2.98)))*10.764</f>
        <v>56.026619999999994</v>
      </c>
      <c r="F178" s="195">
        <f t="shared" si="26"/>
        <v>396.59957999999995</v>
      </c>
      <c r="G178" s="195">
        <v>0</v>
      </c>
      <c r="H178" s="195">
        <f t="shared" si="27"/>
        <v>575.06939099999988</v>
      </c>
    </row>
    <row r="179" spans="1:8" ht="13.15" x14ac:dyDescent="0.25">
      <c r="A179" s="193">
        <f t="shared" si="28"/>
        <v>4</v>
      </c>
      <c r="B179" s="194"/>
      <c r="C179" s="99" t="s">
        <v>57</v>
      </c>
      <c r="D179" s="195">
        <f>(31.64)*10.764</f>
        <v>340.57295999999997</v>
      </c>
      <c r="E179" s="195">
        <f>((0.75*(1.71+2.25+2.98)))*10.764</f>
        <v>56.026619999999994</v>
      </c>
      <c r="F179" s="195">
        <f t="shared" si="26"/>
        <v>396.59957999999995</v>
      </c>
      <c r="G179" s="195">
        <v>0</v>
      </c>
      <c r="H179" s="195">
        <f t="shared" si="27"/>
        <v>575.06939099999988</v>
      </c>
    </row>
    <row r="180" spans="1:8" ht="13.15" hidden="1" x14ac:dyDescent="0.25">
      <c r="A180" s="131" t="s">
        <v>264</v>
      </c>
      <c r="B180" s="131"/>
      <c r="C180" s="131"/>
      <c r="D180" s="131"/>
      <c r="E180" s="131"/>
      <c r="F180" s="131"/>
      <c r="G180" s="131"/>
      <c r="H180" s="131"/>
    </row>
    <row r="181" spans="1:8" ht="13.15" hidden="1" x14ac:dyDescent="0.25">
      <c r="A181" s="131" t="s">
        <v>265</v>
      </c>
      <c r="B181" s="131"/>
      <c r="C181" s="131"/>
      <c r="D181" s="131"/>
      <c r="E181" s="131"/>
      <c r="F181" s="131"/>
      <c r="G181" s="131"/>
      <c r="H181" s="131"/>
    </row>
    <row r="182" spans="1:8" ht="13.15" hidden="1" x14ac:dyDescent="0.25">
      <c r="A182" s="193">
        <v>1</v>
      </c>
      <c r="B182" s="194"/>
      <c r="C182" s="99" t="s">
        <v>57</v>
      </c>
      <c r="D182" s="195">
        <f>26.97*10.764</f>
        <v>290.30507999999998</v>
      </c>
      <c r="E182" s="195">
        <v>0</v>
      </c>
      <c r="F182" s="195">
        <f>D182+E182</f>
        <v>290.30507999999998</v>
      </c>
      <c r="G182" s="195">
        <v>0</v>
      </c>
      <c r="H182" s="195">
        <f>F182*(($H$144)+1)+(IF(G182&lt;101,G182,IF(G182&lt;201,G182/2,IF(G182&lt;=301,G182/3,G182/4))))</f>
        <v>420.94236599999994</v>
      </c>
    </row>
    <row r="183" spans="1:8" ht="13.15" hidden="1" x14ac:dyDescent="0.25">
      <c r="A183" s="193">
        <f>A182+1</f>
        <v>2</v>
      </c>
      <c r="B183" s="194"/>
      <c r="C183" s="99" t="s">
        <v>262</v>
      </c>
      <c r="D183" s="195">
        <f>21.4*10.764</f>
        <v>230.34959999999998</v>
      </c>
      <c r="E183" s="195">
        <v>0</v>
      </c>
      <c r="F183" s="195">
        <f t="shared" ref="F183" si="29">D183+E183</f>
        <v>230.34959999999998</v>
      </c>
      <c r="G183" s="195">
        <v>0</v>
      </c>
      <c r="H183" s="195">
        <f t="shared" ref="H183" si="30">F183*(($H$144)+1)+(IF(G183&lt;101,G183,IF(G183&lt;201,G183/2,IF(G183&lt;=301,G183/3,G183/4))))</f>
        <v>334.00691999999998</v>
      </c>
    </row>
    <row r="184" spans="1:8" ht="13.15" hidden="1" x14ac:dyDescent="0.25">
      <c r="A184" s="131" t="s">
        <v>271</v>
      </c>
      <c r="B184" s="131"/>
      <c r="C184" s="131"/>
      <c r="D184" s="131"/>
      <c r="E184" s="131"/>
      <c r="F184" s="131"/>
      <c r="G184" s="131"/>
      <c r="H184" s="131"/>
    </row>
    <row r="185" spans="1:8" ht="13.15" hidden="1" x14ac:dyDescent="0.25">
      <c r="A185" s="193">
        <v>1</v>
      </c>
      <c r="B185" s="194"/>
      <c r="C185" s="99" t="s">
        <v>57</v>
      </c>
      <c r="D185" s="195">
        <f>(31.64+(0.75*(1.85+2.25+2.88)))*10.764</f>
        <v>396.92249999999996</v>
      </c>
      <c r="E185" s="195">
        <f>((0.75*(1.85+2.25+2.88)))*10.764</f>
        <v>56.34953999999999</v>
      </c>
      <c r="F185" s="195">
        <f>D185+E185</f>
        <v>453.27203999999995</v>
      </c>
      <c r="G185" s="195">
        <v>0</v>
      </c>
      <c r="H185" s="195">
        <f>F185*(($H$144)+1)+(IF(G185&lt;101,G185,IF(G185&lt;201,G185/2,IF(G185&lt;=301,G185/3,G185/4))))</f>
        <v>657.2444579999999</v>
      </c>
    </row>
    <row r="186" spans="1:8" ht="13.15" hidden="1" x14ac:dyDescent="0.25">
      <c r="A186" s="193">
        <f>A185+1</f>
        <v>2</v>
      </c>
      <c r="B186" s="194"/>
      <c r="C186" s="99" t="s">
        <v>57</v>
      </c>
      <c r="D186" s="195">
        <f>(31.64)*10.764</f>
        <v>340.57295999999997</v>
      </c>
      <c r="E186" s="195">
        <f>(0.75*(1.85+2.25+2.88)*10.764)</f>
        <v>56.34953999999999</v>
      </c>
      <c r="F186" s="195">
        <f t="shared" ref="F186:F195" si="31">D186+E186</f>
        <v>396.92249999999996</v>
      </c>
      <c r="G186" s="195">
        <v>0</v>
      </c>
      <c r="H186" s="195">
        <f t="shared" ref="H186:H195" si="32">F186*(($H$144)+1)+(IF(G186&lt;101,G186,IF(G186&lt;201,G186/2,IF(G186&lt;=301,G186/3,G186/4))))</f>
        <v>575.53762499999993</v>
      </c>
    </row>
    <row r="187" spans="1:8" ht="13.15" hidden="1" x14ac:dyDescent="0.25">
      <c r="A187" s="193">
        <f t="shared" ref="A187:A195" si="33">A186+1</f>
        <v>3</v>
      </c>
      <c r="B187" s="194"/>
      <c r="C187" s="99" t="s">
        <v>57</v>
      </c>
      <c r="D187" s="195">
        <f>(31.27)*10.764</f>
        <v>336.59027999999995</v>
      </c>
      <c r="E187" s="195">
        <f>((0.75*(2.73+2.2+2.88)))*10.764</f>
        <v>63.050129999999996</v>
      </c>
      <c r="F187" s="195">
        <f t="shared" si="31"/>
        <v>399.64040999999997</v>
      </c>
      <c r="G187" s="195">
        <v>0</v>
      </c>
      <c r="H187" s="195">
        <f t="shared" si="32"/>
        <v>579.47859449999999</v>
      </c>
    </row>
    <row r="188" spans="1:8" ht="13.15" hidden="1" x14ac:dyDescent="0.25">
      <c r="A188" s="193">
        <f t="shared" si="33"/>
        <v>4</v>
      </c>
      <c r="B188" s="194"/>
      <c r="C188" s="99" t="s">
        <v>57</v>
      </c>
      <c r="D188" s="195">
        <f>(31.39)*10.764</f>
        <v>337.88195999999999</v>
      </c>
      <c r="E188" s="195">
        <f>((0.75*(2.75+2.25+2.88)))*10.764</f>
        <v>63.61524</v>
      </c>
      <c r="F188" s="195">
        <f t="shared" si="31"/>
        <v>401.49720000000002</v>
      </c>
      <c r="G188" s="195">
        <v>0</v>
      </c>
      <c r="H188" s="195">
        <f t="shared" si="32"/>
        <v>582.17093999999997</v>
      </c>
    </row>
    <row r="189" spans="1:8" ht="13.15" hidden="1" x14ac:dyDescent="0.25">
      <c r="A189" s="193">
        <f t="shared" si="33"/>
        <v>5</v>
      </c>
      <c r="B189" s="194"/>
      <c r="C189" s="99" t="s">
        <v>262</v>
      </c>
      <c r="D189" s="195">
        <f>(25.1)*10.764</f>
        <v>270.1764</v>
      </c>
      <c r="E189" s="195">
        <f>((0.75*(1.85+2.25+2.88)))*10.764</f>
        <v>56.34953999999999</v>
      </c>
      <c r="F189" s="195">
        <f t="shared" si="31"/>
        <v>326.52593999999999</v>
      </c>
      <c r="G189" s="195">
        <v>0</v>
      </c>
      <c r="H189" s="195">
        <f t="shared" si="32"/>
        <v>473.46261299999998</v>
      </c>
    </row>
    <row r="190" spans="1:8" ht="13.15" hidden="1" x14ac:dyDescent="0.25">
      <c r="A190" s="193">
        <f t="shared" si="33"/>
        <v>6</v>
      </c>
      <c r="B190" s="194"/>
      <c r="C190" s="99" t="s">
        <v>57</v>
      </c>
      <c r="D190" s="195">
        <f>(38.53)*10.764</f>
        <v>414.73692</v>
      </c>
      <c r="E190" s="195">
        <f>((0.75*(1.85+2.25+2.88)))*10.764</f>
        <v>56.34953999999999</v>
      </c>
      <c r="F190" s="195">
        <f t="shared" si="31"/>
        <v>471.08645999999999</v>
      </c>
      <c r="G190" s="195">
        <v>0</v>
      </c>
      <c r="H190" s="195">
        <f t="shared" si="32"/>
        <v>683.07536699999991</v>
      </c>
    </row>
    <row r="191" spans="1:8" ht="13.15" hidden="1" x14ac:dyDescent="0.25">
      <c r="A191" s="193">
        <f t="shared" si="33"/>
        <v>7</v>
      </c>
      <c r="B191" s="194"/>
      <c r="C191" s="99" t="s">
        <v>57</v>
      </c>
      <c r="D191" s="195">
        <f>(31.55)*10.764</f>
        <v>339.60419999999999</v>
      </c>
      <c r="E191" s="195">
        <f>((0.75*(2.74+2)))*10.764</f>
        <v>38.266019999999997</v>
      </c>
      <c r="F191" s="195">
        <f t="shared" si="31"/>
        <v>377.87022000000002</v>
      </c>
      <c r="G191" s="195">
        <v>0</v>
      </c>
      <c r="H191" s="195">
        <f t="shared" si="32"/>
        <v>547.91181900000004</v>
      </c>
    </row>
    <row r="192" spans="1:8" ht="13.15" hidden="1" x14ac:dyDescent="0.25">
      <c r="A192" s="193">
        <f t="shared" si="33"/>
        <v>8</v>
      </c>
      <c r="B192" s="194"/>
      <c r="C192" s="99" t="s">
        <v>57</v>
      </c>
      <c r="D192" s="195">
        <f>(36.13)*10.764</f>
        <v>388.90332000000001</v>
      </c>
      <c r="E192" s="195">
        <f>((0.75*(2.57+2.15)))*10.764</f>
        <v>38.104559999999999</v>
      </c>
      <c r="F192" s="195">
        <f t="shared" si="31"/>
        <v>427.00788</v>
      </c>
      <c r="G192" s="195">
        <v>0</v>
      </c>
      <c r="H192" s="195">
        <f t="shared" si="32"/>
        <v>619.16142600000001</v>
      </c>
    </row>
    <row r="193" spans="1:8" ht="13.15" hidden="1" x14ac:dyDescent="0.25">
      <c r="A193" s="193">
        <f t="shared" si="33"/>
        <v>9</v>
      </c>
      <c r="B193" s="194"/>
      <c r="C193" s="99" t="s">
        <v>57</v>
      </c>
      <c r="D193" s="195">
        <f>(34.7)*10.764</f>
        <v>373.51080000000002</v>
      </c>
      <c r="E193" s="195">
        <f>((0.75*(2.73+2.48+2.48)))*10.764</f>
        <v>62.08137</v>
      </c>
      <c r="F193" s="195">
        <f t="shared" si="31"/>
        <v>435.59217000000001</v>
      </c>
      <c r="G193" s="195">
        <v>0</v>
      </c>
      <c r="H193" s="195">
        <f t="shared" si="32"/>
        <v>631.60864649999996</v>
      </c>
    </row>
    <row r="194" spans="1:8" ht="13.15" hidden="1" x14ac:dyDescent="0.25">
      <c r="A194" s="193">
        <f t="shared" si="33"/>
        <v>10</v>
      </c>
      <c r="B194" s="194"/>
      <c r="C194" s="99" t="s">
        <v>262</v>
      </c>
      <c r="D194" s="195">
        <f>(23.63)*10.764</f>
        <v>254.35331999999997</v>
      </c>
      <c r="E194" s="195">
        <f>((0.75*(2.58+2.67)))*10.764</f>
        <v>42.383249999999997</v>
      </c>
      <c r="F194" s="195">
        <f t="shared" si="31"/>
        <v>296.73656999999997</v>
      </c>
      <c r="G194" s="195">
        <v>0</v>
      </c>
      <c r="H194" s="195">
        <f t="shared" si="32"/>
        <v>430.26802649999996</v>
      </c>
    </row>
    <row r="195" spans="1:8" ht="13.15" hidden="1" x14ac:dyDescent="0.25">
      <c r="A195" s="193">
        <f t="shared" si="33"/>
        <v>11</v>
      </c>
      <c r="B195" s="194"/>
      <c r="C195" s="99" t="s">
        <v>262</v>
      </c>
      <c r="D195" s="195">
        <f>(21.53)*10.764</f>
        <v>231.74892</v>
      </c>
      <c r="E195" s="195">
        <f>((0.75*(2.58+2.16)))*10.764</f>
        <v>38.266019999999997</v>
      </c>
      <c r="F195" s="195">
        <f t="shared" si="31"/>
        <v>270.01494000000002</v>
      </c>
      <c r="G195" s="195">
        <v>0</v>
      </c>
      <c r="H195" s="195">
        <f t="shared" si="32"/>
        <v>391.52166300000005</v>
      </c>
    </row>
    <row r="196" spans="1:8" ht="13.15" hidden="1" x14ac:dyDescent="0.25">
      <c r="A196" s="131" t="s">
        <v>272</v>
      </c>
      <c r="B196" s="131"/>
      <c r="C196" s="131"/>
      <c r="D196" s="131"/>
      <c r="E196" s="131"/>
      <c r="F196" s="131"/>
      <c r="G196" s="131"/>
      <c r="H196" s="131"/>
    </row>
    <row r="197" spans="1:8" ht="13.15" hidden="1" x14ac:dyDescent="0.25">
      <c r="A197" s="193">
        <v>1</v>
      </c>
      <c r="B197" s="194"/>
      <c r="C197" s="99" t="s">
        <v>57</v>
      </c>
      <c r="D197" s="195">
        <f>(31.64)*10.764</f>
        <v>340.57295999999997</v>
      </c>
      <c r="E197" s="195">
        <f>((0.75*(1.71+2.25+2.88)))*10.764</f>
        <v>55.219319999999996</v>
      </c>
      <c r="F197" s="195">
        <f>D197+E197</f>
        <v>395.79227999999995</v>
      </c>
      <c r="G197" s="195">
        <v>0</v>
      </c>
      <c r="H197" s="195">
        <f>F197*(($H$144)+1)+(IF(G197&lt;101,G197,IF(G197&lt;201,G197/2,IF(G197&lt;=301,G197/3,G197/4))))</f>
        <v>573.89880599999992</v>
      </c>
    </row>
    <row r="198" spans="1:8" ht="13.15" hidden="1" x14ac:dyDescent="0.25">
      <c r="A198" s="193">
        <f>A197+1</f>
        <v>2</v>
      </c>
      <c r="B198" s="194"/>
      <c r="C198" s="99" t="s">
        <v>57</v>
      </c>
      <c r="D198" s="195">
        <f>(31.64)*10.764</f>
        <v>340.57295999999997</v>
      </c>
      <c r="E198" s="195">
        <f>((0.75*(1.71+2.25+2.88)))*10.764</f>
        <v>55.219319999999996</v>
      </c>
      <c r="F198" s="195">
        <f t="shared" ref="F198:F207" si="34">D198+E198</f>
        <v>395.79227999999995</v>
      </c>
      <c r="G198" s="195">
        <v>0</v>
      </c>
      <c r="H198" s="195">
        <f t="shared" ref="H198:H207" si="35">F198*(($H$144)+1)+(IF(G198&lt;101,G198,IF(G198&lt;201,G198/2,IF(G198&lt;=301,G198/3,G198/4))))</f>
        <v>573.89880599999992</v>
      </c>
    </row>
    <row r="199" spans="1:8" ht="13.15" hidden="1" x14ac:dyDescent="0.25">
      <c r="A199" s="193">
        <f t="shared" ref="A199:A207" si="36">A198+1</f>
        <v>3</v>
      </c>
      <c r="B199" s="194"/>
      <c r="C199" s="99" t="s">
        <v>57</v>
      </c>
      <c r="D199" s="195">
        <f>(31.27)*10.764</f>
        <v>336.59027999999995</v>
      </c>
      <c r="E199" s="195">
        <f>((0.75*(2.73+2.2+2.88)))*10.764</f>
        <v>63.050129999999996</v>
      </c>
      <c r="F199" s="195">
        <f t="shared" si="34"/>
        <v>399.64040999999997</v>
      </c>
      <c r="G199" s="195">
        <v>0</v>
      </c>
      <c r="H199" s="195">
        <f t="shared" si="35"/>
        <v>579.47859449999999</v>
      </c>
    </row>
    <row r="200" spans="1:8" ht="13.15" hidden="1" x14ac:dyDescent="0.25">
      <c r="A200" s="193">
        <f t="shared" si="36"/>
        <v>4</v>
      </c>
      <c r="B200" s="194"/>
      <c r="C200" s="99" t="s">
        <v>57</v>
      </c>
      <c r="D200" s="195">
        <f>(32)*10.764</f>
        <v>344.44799999999998</v>
      </c>
      <c r="E200" s="195">
        <f>((0.75*(2.58+2.5+2.72)))*10.764</f>
        <v>62.9694</v>
      </c>
      <c r="F200" s="195">
        <f t="shared" si="34"/>
        <v>407.41739999999999</v>
      </c>
      <c r="G200" s="195">
        <v>0</v>
      </c>
      <c r="H200" s="195">
        <f t="shared" si="35"/>
        <v>590.75522999999998</v>
      </c>
    </row>
    <row r="201" spans="1:8" ht="13.15" hidden="1" x14ac:dyDescent="0.25">
      <c r="A201" s="193">
        <f t="shared" si="36"/>
        <v>5</v>
      </c>
      <c r="B201" s="194"/>
      <c r="C201" s="99" t="s">
        <v>57</v>
      </c>
      <c r="D201" s="195">
        <f>(33.85)*10.764</f>
        <v>364.3614</v>
      </c>
      <c r="E201" s="195">
        <f>((0.75*(2.58+2.3+2.76)))*10.764</f>
        <v>61.677719999999994</v>
      </c>
      <c r="F201" s="195">
        <f t="shared" si="34"/>
        <v>426.03912000000003</v>
      </c>
      <c r="G201" s="195">
        <v>0</v>
      </c>
      <c r="H201" s="195">
        <f t="shared" si="35"/>
        <v>617.75672399999996</v>
      </c>
    </row>
    <row r="202" spans="1:8" ht="13.15" hidden="1" x14ac:dyDescent="0.25">
      <c r="A202" s="193">
        <f t="shared" si="36"/>
        <v>6</v>
      </c>
      <c r="B202" s="194"/>
      <c r="C202" s="99" t="s">
        <v>262</v>
      </c>
      <c r="D202" s="195">
        <f>(22.7)*10.764</f>
        <v>244.34279999999998</v>
      </c>
      <c r="E202" s="195">
        <f>((0.75*(2.58+2.48)))*10.764</f>
        <v>40.849380000000004</v>
      </c>
      <c r="F202" s="195">
        <f t="shared" si="34"/>
        <v>285.19218000000001</v>
      </c>
      <c r="G202" s="195">
        <v>0</v>
      </c>
      <c r="H202" s="195">
        <f t="shared" si="35"/>
        <v>413.528661</v>
      </c>
    </row>
    <row r="203" spans="1:8" ht="13.15" hidden="1" x14ac:dyDescent="0.25">
      <c r="A203" s="193">
        <f t="shared" si="36"/>
        <v>7</v>
      </c>
      <c r="B203" s="194"/>
      <c r="C203" s="99" t="s">
        <v>57</v>
      </c>
      <c r="D203" s="195">
        <f>(31.55)*10.764</f>
        <v>339.60419999999999</v>
      </c>
      <c r="E203" s="195">
        <f>((0.75*(2.74+2.58+2.62+2)))*10.764</f>
        <v>80.245620000000002</v>
      </c>
      <c r="F203" s="195">
        <f t="shared" si="34"/>
        <v>419.84982000000002</v>
      </c>
      <c r="G203" s="195">
        <v>0</v>
      </c>
      <c r="H203" s="195">
        <f t="shared" si="35"/>
        <v>608.782239</v>
      </c>
    </row>
    <row r="204" spans="1:8" ht="13.15" hidden="1" x14ac:dyDescent="0.25">
      <c r="A204" s="193">
        <f t="shared" si="36"/>
        <v>8</v>
      </c>
      <c r="B204" s="194"/>
      <c r="C204" s="99" t="s">
        <v>274</v>
      </c>
      <c r="D204" s="195">
        <f>(48.22)*10.764</f>
        <v>519.04007999999999</v>
      </c>
      <c r="E204" s="195">
        <f>((0.75*(3.1+2.5+2.67+2.73)))*10.764</f>
        <v>88.802999999999997</v>
      </c>
      <c r="F204" s="195">
        <f t="shared" si="34"/>
        <v>607.84307999999999</v>
      </c>
      <c r="G204" s="195">
        <v>0</v>
      </c>
      <c r="H204" s="195">
        <f t="shared" si="35"/>
        <v>881.37246599999992</v>
      </c>
    </row>
    <row r="205" spans="1:8" ht="13.15" hidden="1" x14ac:dyDescent="0.25">
      <c r="A205" s="193">
        <f t="shared" si="36"/>
        <v>9</v>
      </c>
      <c r="B205" s="194"/>
      <c r="C205" s="99" t="s">
        <v>262</v>
      </c>
      <c r="D205" s="195">
        <f>(22.7)*10.764</f>
        <v>244.34279999999998</v>
      </c>
      <c r="E205" s="195">
        <f>((0.75*(2.88+2.62)))*10.764</f>
        <v>44.401499999999999</v>
      </c>
      <c r="F205" s="195">
        <f t="shared" si="34"/>
        <v>288.74429999999995</v>
      </c>
      <c r="G205" s="195">
        <v>0</v>
      </c>
      <c r="H205" s="195">
        <f t="shared" si="35"/>
        <v>418.67923499999989</v>
      </c>
    </row>
    <row r="206" spans="1:8" ht="13.15" hidden="1" x14ac:dyDescent="0.25">
      <c r="A206" s="193">
        <f t="shared" si="36"/>
        <v>10</v>
      </c>
      <c r="B206" s="194"/>
      <c r="C206" s="99" t="s">
        <v>262</v>
      </c>
      <c r="D206" s="195">
        <f>(22.7)*10.764</f>
        <v>244.34279999999998</v>
      </c>
      <c r="E206" s="195">
        <f>((0.75*(2.88+2.62)))*10.764</f>
        <v>44.401499999999999</v>
      </c>
      <c r="F206" s="195">
        <f t="shared" si="34"/>
        <v>288.74429999999995</v>
      </c>
      <c r="G206" s="195">
        <v>0</v>
      </c>
      <c r="H206" s="195">
        <f t="shared" si="35"/>
        <v>418.67923499999989</v>
      </c>
    </row>
    <row r="207" spans="1:8" ht="13.15" hidden="1" x14ac:dyDescent="0.25">
      <c r="A207" s="193">
        <f t="shared" si="36"/>
        <v>11</v>
      </c>
      <c r="B207" s="194"/>
      <c r="C207" s="99" t="s">
        <v>57</v>
      </c>
      <c r="D207" s="195">
        <f>(33.85)*10.764</f>
        <v>364.3614</v>
      </c>
      <c r="E207" s="195">
        <f>((0.75*(2.54+2.3+2.9)))*10.764</f>
        <v>62.485019999999992</v>
      </c>
      <c r="F207" s="195">
        <f t="shared" si="34"/>
        <v>426.84641999999997</v>
      </c>
      <c r="G207" s="195">
        <v>0</v>
      </c>
      <c r="H207" s="195">
        <f t="shared" si="35"/>
        <v>618.92730899999992</v>
      </c>
    </row>
    <row r="208" spans="1:8" ht="13.15" hidden="1" x14ac:dyDescent="0.25">
      <c r="A208" s="131" t="s">
        <v>259</v>
      </c>
      <c r="B208" s="131"/>
      <c r="C208" s="131"/>
      <c r="D208" s="131"/>
      <c r="E208" s="131"/>
      <c r="F208" s="131"/>
      <c r="G208" s="131"/>
      <c r="H208" s="131"/>
    </row>
    <row r="209" spans="1:8" ht="13.15" hidden="1" x14ac:dyDescent="0.25">
      <c r="A209" s="193">
        <v>1</v>
      </c>
      <c r="B209" s="194"/>
      <c r="C209" s="99" t="s">
        <v>57</v>
      </c>
      <c r="D209" s="99"/>
      <c r="E209" s="99"/>
      <c r="F209" s="195">
        <f>D209+E209</f>
        <v>0</v>
      </c>
      <c r="G209" s="195"/>
      <c r="H209" s="99">
        <f>F209*(($H$144)+1)+(IF(G209&lt;101,G209,IF(G209&lt;201,G209/2,IF(G209&lt;=301,G209/3,G209/4))))</f>
        <v>0</v>
      </c>
    </row>
    <row r="210" spans="1:8" ht="13.15" hidden="1" x14ac:dyDescent="0.25">
      <c r="A210" s="193">
        <f>A209+1</f>
        <v>2</v>
      </c>
      <c r="B210" s="194"/>
      <c r="C210" s="99" t="s">
        <v>57</v>
      </c>
      <c r="D210" s="99"/>
      <c r="E210" s="99"/>
      <c r="F210" s="195">
        <f t="shared" ref="F210:F220" si="37">D210+E210</f>
        <v>0</v>
      </c>
      <c r="G210" s="195"/>
      <c r="H210" s="99">
        <f t="shared" ref="H210:H220" si="38">F210*(($H$144)+1)+(IF(G210&lt;101,G210,IF(G210&lt;201,G210/2,IF(G210&lt;=301,G210/3,G210/4))))</f>
        <v>0</v>
      </c>
    </row>
    <row r="211" spans="1:8" ht="13.15" hidden="1" x14ac:dyDescent="0.25">
      <c r="A211" s="193">
        <f t="shared" ref="A211:A220" si="39">A210+1</f>
        <v>3</v>
      </c>
      <c r="B211" s="194"/>
      <c r="C211" s="99" t="s">
        <v>57</v>
      </c>
      <c r="D211" s="99"/>
      <c r="E211" s="99"/>
      <c r="F211" s="195">
        <f t="shared" si="37"/>
        <v>0</v>
      </c>
      <c r="G211" s="195"/>
      <c r="H211" s="99">
        <f t="shared" si="38"/>
        <v>0</v>
      </c>
    </row>
    <row r="212" spans="1:8" ht="13.15" hidden="1" x14ac:dyDescent="0.25">
      <c r="A212" s="193">
        <f t="shared" si="39"/>
        <v>4</v>
      </c>
      <c r="B212" s="194"/>
      <c r="C212" s="99" t="s">
        <v>57</v>
      </c>
      <c r="D212" s="99"/>
      <c r="E212" s="99"/>
      <c r="F212" s="195">
        <f t="shared" si="37"/>
        <v>0</v>
      </c>
      <c r="G212" s="195"/>
      <c r="H212" s="99">
        <f t="shared" si="38"/>
        <v>0</v>
      </c>
    </row>
    <row r="213" spans="1:8" ht="13.15" hidden="1" x14ac:dyDescent="0.25">
      <c r="A213" s="193">
        <f t="shared" si="39"/>
        <v>5</v>
      </c>
      <c r="B213" s="194"/>
      <c r="C213" s="99" t="s">
        <v>57</v>
      </c>
      <c r="D213" s="99"/>
      <c r="E213" s="99"/>
      <c r="F213" s="195">
        <f t="shared" si="37"/>
        <v>0</v>
      </c>
      <c r="G213" s="195"/>
      <c r="H213" s="99">
        <f t="shared" si="38"/>
        <v>0</v>
      </c>
    </row>
    <row r="214" spans="1:8" ht="13.15" hidden="1" x14ac:dyDescent="0.25">
      <c r="A214" s="193">
        <f t="shared" si="39"/>
        <v>6</v>
      </c>
      <c r="B214" s="194"/>
      <c r="C214" s="99" t="s">
        <v>57</v>
      </c>
      <c r="D214" s="99"/>
      <c r="E214" s="99"/>
      <c r="F214" s="195">
        <f t="shared" si="37"/>
        <v>0</v>
      </c>
      <c r="G214" s="195"/>
      <c r="H214" s="99">
        <f t="shared" si="38"/>
        <v>0</v>
      </c>
    </row>
    <row r="215" spans="1:8" ht="13.15" hidden="1" x14ac:dyDescent="0.25">
      <c r="A215" s="193">
        <f t="shared" si="39"/>
        <v>7</v>
      </c>
      <c r="B215" s="194"/>
      <c r="C215" s="99" t="s">
        <v>57</v>
      </c>
      <c r="D215" s="99"/>
      <c r="E215" s="99"/>
      <c r="F215" s="195">
        <f t="shared" si="37"/>
        <v>0</v>
      </c>
      <c r="G215" s="195"/>
      <c r="H215" s="99">
        <f t="shared" si="38"/>
        <v>0</v>
      </c>
    </row>
    <row r="216" spans="1:8" ht="13.15" hidden="1" x14ac:dyDescent="0.25">
      <c r="A216" s="193">
        <f t="shared" si="39"/>
        <v>8</v>
      </c>
      <c r="B216" s="194"/>
      <c r="C216" s="99" t="s">
        <v>57</v>
      </c>
      <c r="D216" s="99"/>
      <c r="E216" s="99"/>
      <c r="F216" s="195">
        <f t="shared" si="37"/>
        <v>0</v>
      </c>
      <c r="G216" s="195"/>
      <c r="H216" s="99">
        <f t="shared" si="38"/>
        <v>0</v>
      </c>
    </row>
    <row r="217" spans="1:8" ht="13.15" hidden="1" x14ac:dyDescent="0.25">
      <c r="A217" s="193">
        <f t="shared" si="39"/>
        <v>9</v>
      </c>
      <c r="B217" s="194"/>
      <c r="C217" s="99" t="s">
        <v>57</v>
      </c>
      <c r="D217" s="99"/>
      <c r="E217" s="99"/>
      <c r="F217" s="195">
        <f t="shared" si="37"/>
        <v>0</v>
      </c>
      <c r="G217" s="195"/>
      <c r="H217" s="99">
        <f t="shared" si="38"/>
        <v>0</v>
      </c>
    </row>
    <row r="218" spans="1:8" ht="13.15" hidden="1" x14ac:dyDescent="0.25">
      <c r="A218" s="193">
        <f t="shared" si="39"/>
        <v>10</v>
      </c>
      <c r="B218" s="194"/>
      <c r="C218" s="99" t="s">
        <v>57</v>
      </c>
      <c r="D218" s="99"/>
      <c r="E218" s="99"/>
      <c r="F218" s="195">
        <f t="shared" si="37"/>
        <v>0</v>
      </c>
      <c r="G218" s="195"/>
      <c r="H218" s="99">
        <f t="shared" si="38"/>
        <v>0</v>
      </c>
    </row>
    <row r="219" spans="1:8" ht="13.15" hidden="1" x14ac:dyDescent="0.25">
      <c r="A219" s="193">
        <f t="shared" si="39"/>
        <v>11</v>
      </c>
      <c r="B219" s="194"/>
      <c r="C219" s="99" t="s">
        <v>57</v>
      </c>
      <c r="D219" s="99"/>
      <c r="E219" s="99"/>
      <c r="F219" s="195">
        <f t="shared" si="37"/>
        <v>0</v>
      </c>
      <c r="G219" s="195"/>
      <c r="H219" s="99">
        <f t="shared" si="38"/>
        <v>0</v>
      </c>
    </row>
    <row r="220" spans="1:8" ht="13.15" hidden="1" x14ac:dyDescent="0.25">
      <c r="A220" s="193">
        <f t="shared" si="39"/>
        <v>12</v>
      </c>
      <c r="B220" s="194"/>
      <c r="C220" s="99" t="s">
        <v>57</v>
      </c>
      <c r="D220" s="99"/>
      <c r="E220" s="99"/>
      <c r="F220" s="195">
        <f t="shared" si="37"/>
        <v>0</v>
      </c>
      <c r="G220" s="195"/>
      <c r="H220" s="99">
        <f t="shared" si="38"/>
        <v>0</v>
      </c>
    </row>
    <row r="221" spans="1:8" ht="13.15" hidden="1" x14ac:dyDescent="0.25">
      <c r="A221" s="131" t="s">
        <v>127</v>
      </c>
      <c r="B221" s="131"/>
      <c r="C221" s="131"/>
      <c r="D221" s="131"/>
      <c r="E221" s="131"/>
      <c r="F221" s="131"/>
      <c r="G221" s="131"/>
      <c r="H221" s="131"/>
    </row>
    <row r="222" spans="1:8" ht="13.15" hidden="1" x14ac:dyDescent="0.25">
      <c r="A222" s="193">
        <v>1</v>
      </c>
      <c r="B222" s="194"/>
      <c r="C222" s="99" t="s">
        <v>57</v>
      </c>
      <c r="D222" s="99"/>
      <c r="E222" s="99"/>
      <c r="F222" s="195">
        <f>D222+E222</f>
        <v>0</v>
      </c>
      <c r="G222" s="195"/>
      <c r="H222" s="99">
        <f>F222*(($H$144)+1)+(IF(G222&lt;101,G222,IF(G222&lt;201,G222/2,IF(G222&lt;=301,G222/3,G222/4))))</f>
        <v>0</v>
      </c>
    </row>
    <row r="223" spans="1:8" ht="13.15" hidden="1" x14ac:dyDescent="0.25">
      <c r="A223" s="193">
        <f>A222+1</f>
        <v>2</v>
      </c>
      <c r="B223" s="194"/>
      <c r="C223" s="99" t="s">
        <v>57</v>
      </c>
      <c r="D223" s="99"/>
      <c r="E223" s="99"/>
      <c r="F223" s="195">
        <f t="shared" ref="F223:F233" si="40">D223+E223</f>
        <v>0</v>
      </c>
      <c r="G223" s="195"/>
      <c r="H223" s="99">
        <f t="shared" ref="H223:H233" si="41">F223*(($H$144)+1)+(IF(G223&lt;101,G223,IF(G223&lt;201,G223/2,IF(G223&lt;=301,G223/3,G223/4))))</f>
        <v>0</v>
      </c>
    </row>
    <row r="224" spans="1:8" ht="13.15" hidden="1" x14ac:dyDescent="0.25">
      <c r="A224" s="193">
        <f t="shared" ref="A224:A233" si="42">A223+1</f>
        <v>3</v>
      </c>
      <c r="B224" s="194"/>
      <c r="C224" s="99" t="s">
        <v>57</v>
      </c>
      <c r="D224" s="99"/>
      <c r="E224" s="99"/>
      <c r="F224" s="195">
        <f t="shared" si="40"/>
        <v>0</v>
      </c>
      <c r="G224" s="195"/>
      <c r="H224" s="99">
        <f t="shared" si="41"/>
        <v>0</v>
      </c>
    </row>
    <row r="225" spans="1:8" ht="13.15" hidden="1" x14ac:dyDescent="0.25">
      <c r="A225" s="193">
        <f t="shared" si="42"/>
        <v>4</v>
      </c>
      <c r="B225" s="194"/>
      <c r="C225" s="99" t="s">
        <v>57</v>
      </c>
      <c r="D225" s="99"/>
      <c r="E225" s="99"/>
      <c r="F225" s="195">
        <f t="shared" si="40"/>
        <v>0</v>
      </c>
      <c r="G225" s="195"/>
      <c r="H225" s="99">
        <f t="shared" si="41"/>
        <v>0</v>
      </c>
    </row>
    <row r="226" spans="1:8" ht="13.15" hidden="1" x14ac:dyDescent="0.25">
      <c r="A226" s="193">
        <f t="shared" si="42"/>
        <v>5</v>
      </c>
      <c r="B226" s="194"/>
      <c r="C226" s="99" t="s">
        <v>57</v>
      </c>
      <c r="D226" s="99"/>
      <c r="E226" s="99"/>
      <c r="F226" s="195">
        <f t="shared" si="40"/>
        <v>0</v>
      </c>
      <c r="G226" s="195"/>
      <c r="H226" s="99">
        <f t="shared" si="41"/>
        <v>0</v>
      </c>
    </row>
    <row r="227" spans="1:8" ht="13.15" hidden="1" x14ac:dyDescent="0.25">
      <c r="A227" s="193">
        <f t="shared" si="42"/>
        <v>6</v>
      </c>
      <c r="B227" s="194"/>
      <c r="C227" s="99" t="s">
        <v>57</v>
      </c>
      <c r="D227" s="99"/>
      <c r="E227" s="99"/>
      <c r="F227" s="195">
        <f t="shared" si="40"/>
        <v>0</v>
      </c>
      <c r="G227" s="195"/>
      <c r="H227" s="99">
        <f t="shared" si="41"/>
        <v>0</v>
      </c>
    </row>
    <row r="228" spans="1:8" ht="13.15" hidden="1" x14ac:dyDescent="0.25">
      <c r="A228" s="193">
        <f t="shared" si="42"/>
        <v>7</v>
      </c>
      <c r="B228" s="194"/>
      <c r="C228" s="99" t="s">
        <v>57</v>
      </c>
      <c r="D228" s="99"/>
      <c r="E228" s="99"/>
      <c r="F228" s="195">
        <f t="shared" si="40"/>
        <v>0</v>
      </c>
      <c r="G228" s="195"/>
      <c r="H228" s="99">
        <f t="shared" si="41"/>
        <v>0</v>
      </c>
    </row>
    <row r="229" spans="1:8" ht="13.15" hidden="1" x14ac:dyDescent="0.25">
      <c r="A229" s="193">
        <f t="shared" si="42"/>
        <v>8</v>
      </c>
      <c r="B229" s="194"/>
      <c r="C229" s="99" t="s">
        <v>57</v>
      </c>
      <c r="D229" s="99"/>
      <c r="E229" s="99"/>
      <c r="F229" s="195">
        <f t="shared" si="40"/>
        <v>0</v>
      </c>
      <c r="G229" s="195"/>
      <c r="H229" s="99">
        <f t="shared" si="41"/>
        <v>0</v>
      </c>
    </row>
    <row r="230" spans="1:8" ht="13.15" hidden="1" x14ac:dyDescent="0.25">
      <c r="A230" s="193">
        <f t="shared" si="42"/>
        <v>9</v>
      </c>
      <c r="B230" s="194"/>
      <c r="C230" s="99" t="s">
        <v>57</v>
      </c>
      <c r="D230" s="99"/>
      <c r="E230" s="99"/>
      <c r="F230" s="195">
        <f t="shared" si="40"/>
        <v>0</v>
      </c>
      <c r="G230" s="195"/>
      <c r="H230" s="99">
        <f t="shared" si="41"/>
        <v>0</v>
      </c>
    </row>
    <row r="231" spans="1:8" ht="13.15" hidden="1" x14ac:dyDescent="0.25">
      <c r="A231" s="193">
        <f t="shared" si="42"/>
        <v>10</v>
      </c>
      <c r="B231" s="194"/>
      <c r="C231" s="99" t="s">
        <v>57</v>
      </c>
      <c r="D231" s="99"/>
      <c r="E231" s="99"/>
      <c r="F231" s="195">
        <f t="shared" si="40"/>
        <v>0</v>
      </c>
      <c r="G231" s="195"/>
      <c r="H231" s="99">
        <f t="shared" si="41"/>
        <v>0</v>
      </c>
    </row>
    <row r="232" spans="1:8" ht="13.15" hidden="1" x14ac:dyDescent="0.25">
      <c r="A232" s="193">
        <f t="shared" si="42"/>
        <v>11</v>
      </c>
      <c r="B232" s="194"/>
      <c r="C232" s="99" t="s">
        <v>57</v>
      </c>
      <c r="D232" s="99"/>
      <c r="E232" s="99"/>
      <c r="F232" s="195">
        <f t="shared" si="40"/>
        <v>0</v>
      </c>
      <c r="G232" s="195"/>
      <c r="H232" s="99">
        <f t="shared" si="41"/>
        <v>0</v>
      </c>
    </row>
    <row r="233" spans="1:8" ht="13.15" hidden="1" x14ac:dyDescent="0.25">
      <c r="A233" s="193">
        <f t="shared" si="42"/>
        <v>12</v>
      </c>
      <c r="B233" s="194"/>
      <c r="C233" s="99" t="s">
        <v>57</v>
      </c>
      <c r="D233" s="99"/>
      <c r="E233" s="99"/>
      <c r="F233" s="195">
        <f t="shared" si="40"/>
        <v>0</v>
      </c>
      <c r="G233" s="195"/>
      <c r="H233" s="99">
        <f t="shared" si="41"/>
        <v>0</v>
      </c>
    </row>
    <row r="234" spans="1:8" ht="13.15" hidden="1" x14ac:dyDescent="0.25">
      <c r="A234" s="131" t="s">
        <v>128</v>
      </c>
      <c r="B234" s="131"/>
      <c r="C234" s="131"/>
      <c r="D234" s="131"/>
      <c r="E234" s="131"/>
      <c r="F234" s="131"/>
      <c r="G234" s="131"/>
      <c r="H234" s="131"/>
    </row>
    <row r="235" spans="1:8" ht="13.15" hidden="1" x14ac:dyDescent="0.25">
      <c r="A235" s="193">
        <v>1</v>
      </c>
      <c r="B235" s="194"/>
      <c r="C235" s="99" t="s">
        <v>57</v>
      </c>
      <c r="D235" s="99"/>
      <c r="E235" s="99"/>
      <c r="F235" s="195">
        <f>D235+E235</f>
        <v>0</v>
      </c>
      <c r="G235" s="195"/>
      <c r="H235" s="99">
        <f>F235*(($H$144)+1)+(IF(G235&lt;101,G235,IF(G235&lt;201,G235/2,IF(G235&lt;=301,G235/3,G235/4))))</f>
        <v>0</v>
      </c>
    </row>
    <row r="236" spans="1:8" ht="13.15" hidden="1" x14ac:dyDescent="0.25">
      <c r="A236" s="193">
        <f>A235+1</f>
        <v>2</v>
      </c>
      <c r="B236" s="194"/>
      <c r="C236" s="99" t="s">
        <v>57</v>
      </c>
      <c r="D236" s="99"/>
      <c r="E236" s="99"/>
      <c r="F236" s="195">
        <f t="shared" ref="F236:F246" si="43">D236+E236</f>
        <v>0</v>
      </c>
      <c r="G236" s="195"/>
      <c r="H236" s="99">
        <f t="shared" ref="H236:H246" si="44">F236*(($H$144)+1)+(IF(G236&lt;101,G236,IF(G236&lt;201,G236/2,IF(G236&lt;=301,G236/3,G236/4))))</f>
        <v>0</v>
      </c>
    </row>
    <row r="237" spans="1:8" ht="13.15" hidden="1" x14ac:dyDescent="0.25">
      <c r="A237" s="193">
        <f t="shared" ref="A237:A246" si="45">A236+1</f>
        <v>3</v>
      </c>
      <c r="B237" s="194"/>
      <c r="C237" s="99" t="s">
        <v>57</v>
      </c>
      <c r="D237" s="99"/>
      <c r="E237" s="99"/>
      <c r="F237" s="195">
        <f t="shared" si="43"/>
        <v>0</v>
      </c>
      <c r="G237" s="195"/>
      <c r="H237" s="99">
        <f t="shared" si="44"/>
        <v>0</v>
      </c>
    </row>
    <row r="238" spans="1:8" ht="13.15" hidden="1" x14ac:dyDescent="0.25">
      <c r="A238" s="193">
        <f t="shared" si="45"/>
        <v>4</v>
      </c>
      <c r="B238" s="194"/>
      <c r="C238" s="99" t="s">
        <v>57</v>
      </c>
      <c r="D238" s="99"/>
      <c r="E238" s="99"/>
      <c r="F238" s="195">
        <f t="shared" si="43"/>
        <v>0</v>
      </c>
      <c r="G238" s="195"/>
      <c r="H238" s="99">
        <f t="shared" si="44"/>
        <v>0</v>
      </c>
    </row>
    <row r="239" spans="1:8" ht="13.15" hidden="1" x14ac:dyDescent="0.25">
      <c r="A239" s="193">
        <f t="shared" si="45"/>
        <v>5</v>
      </c>
      <c r="B239" s="194"/>
      <c r="C239" s="99" t="s">
        <v>57</v>
      </c>
      <c r="D239" s="99"/>
      <c r="E239" s="99"/>
      <c r="F239" s="195">
        <f t="shared" si="43"/>
        <v>0</v>
      </c>
      <c r="G239" s="195"/>
      <c r="H239" s="99">
        <f t="shared" si="44"/>
        <v>0</v>
      </c>
    </row>
    <row r="240" spans="1:8" ht="13.15" hidden="1" x14ac:dyDescent="0.25">
      <c r="A240" s="193">
        <f t="shared" si="45"/>
        <v>6</v>
      </c>
      <c r="B240" s="194"/>
      <c r="C240" s="99" t="s">
        <v>57</v>
      </c>
      <c r="D240" s="99"/>
      <c r="E240" s="99"/>
      <c r="F240" s="195">
        <f t="shared" si="43"/>
        <v>0</v>
      </c>
      <c r="G240" s="195"/>
      <c r="H240" s="99">
        <f t="shared" si="44"/>
        <v>0</v>
      </c>
    </row>
    <row r="241" spans="1:8" ht="13.15" hidden="1" x14ac:dyDescent="0.25">
      <c r="A241" s="193">
        <f t="shared" si="45"/>
        <v>7</v>
      </c>
      <c r="B241" s="194"/>
      <c r="C241" s="99" t="s">
        <v>57</v>
      </c>
      <c r="D241" s="99"/>
      <c r="E241" s="99"/>
      <c r="F241" s="195">
        <f t="shared" si="43"/>
        <v>0</v>
      </c>
      <c r="G241" s="195"/>
      <c r="H241" s="99">
        <f t="shared" si="44"/>
        <v>0</v>
      </c>
    </row>
    <row r="242" spans="1:8" ht="13.15" hidden="1" x14ac:dyDescent="0.25">
      <c r="A242" s="193">
        <f t="shared" si="45"/>
        <v>8</v>
      </c>
      <c r="B242" s="194"/>
      <c r="C242" s="99" t="s">
        <v>57</v>
      </c>
      <c r="D242" s="99"/>
      <c r="E242" s="99"/>
      <c r="F242" s="195">
        <f t="shared" si="43"/>
        <v>0</v>
      </c>
      <c r="G242" s="195"/>
      <c r="H242" s="99">
        <f t="shared" si="44"/>
        <v>0</v>
      </c>
    </row>
    <row r="243" spans="1:8" ht="13.15" hidden="1" x14ac:dyDescent="0.25">
      <c r="A243" s="193">
        <f t="shared" si="45"/>
        <v>9</v>
      </c>
      <c r="B243" s="194"/>
      <c r="C243" s="99" t="s">
        <v>57</v>
      </c>
      <c r="D243" s="99"/>
      <c r="E243" s="99"/>
      <c r="F243" s="195">
        <f t="shared" si="43"/>
        <v>0</v>
      </c>
      <c r="G243" s="195"/>
      <c r="H243" s="99">
        <f t="shared" si="44"/>
        <v>0</v>
      </c>
    </row>
    <row r="244" spans="1:8" ht="13.15" hidden="1" x14ac:dyDescent="0.25">
      <c r="A244" s="193">
        <f t="shared" si="45"/>
        <v>10</v>
      </c>
      <c r="B244" s="194"/>
      <c r="C244" s="99" t="s">
        <v>57</v>
      </c>
      <c r="D244" s="99"/>
      <c r="E244" s="99"/>
      <c r="F244" s="195">
        <f t="shared" si="43"/>
        <v>0</v>
      </c>
      <c r="G244" s="195"/>
      <c r="H244" s="99">
        <f t="shared" si="44"/>
        <v>0</v>
      </c>
    </row>
    <row r="245" spans="1:8" ht="13.15" hidden="1" x14ac:dyDescent="0.25">
      <c r="A245" s="193">
        <f t="shared" si="45"/>
        <v>11</v>
      </c>
      <c r="B245" s="194"/>
      <c r="C245" s="99" t="s">
        <v>57</v>
      </c>
      <c r="D245" s="99"/>
      <c r="E245" s="99"/>
      <c r="F245" s="195">
        <f t="shared" si="43"/>
        <v>0</v>
      </c>
      <c r="G245" s="195"/>
      <c r="H245" s="99">
        <f t="shared" si="44"/>
        <v>0</v>
      </c>
    </row>
    <row r="246" spans="1:8" ht="13.15" hidden="1" x14ac:dyDescent="0.25">
      <c r="A246" s="193">
        <f t="shared" si="45"/>
        <v>12</v>
      </c>
      <c r="B246" s="194"/>
      <c r="C246" s="99" t="s">
        <v>57</v>
      </c>
      <c r="D246" s="99"/>
      <c r="E246" s="99"/>
      <c r="F246" s="195">
        <f t="shared" si="43"/>
        <v>0</v>
      </c>
      <c r="G246" s="195"/>
      <c r="H246" s="99">
        <f t="shared" si="44"/>
        <v>0</v>
      </c>
    </row>
    <row r="247" spans="1:8" ht="13.15" hidden="1" x14ac:dyDescent="0.25">
      <c r="A247" s="131" t="s">
        <v>128</v>
      </c>
      <c r="B247" s="131"/>
      <c r="C247" s="131"/>
      <c r="D247" s="131"/>
      <c r="E247" s="131"/>
      <c r="F247" s="131"/>
      <c r="G247" s="131"/>
      <c r="H247" s="131"/>
    </row>
    <row r="248" spans="1:8" ht="13.15" hidden="1" x14ac:dyDescent="0.25">
      <c r="A248" s="193">
        <v>1</v>
      </c>
      <c r="B248" s="194"/>
      <c r="C248" s="99" t="s">
        <v>57</v>
      </c>
      <c r="D248" s="99"/>
      <c r="E248" s="99"/>
      <c r="F248" s="195">
        <f>D248+E248</f>
        <v>0</v>
      </c>
      <c r="G248" s="195"/>
      <c r="H248" s="99">
        <f>F248*(($H$144)+1)+(IF(G248&lt;101,G248,IF(G248&lt;201,G248/2,IF(G248&lt;=301,G248/3,G248/4))))</f>
        <v>0</v>
      </c>
    </row>
    <row r="249" spans="1:8" ht="13.15" hidden="1" x14ac:dyDescent="0.25">
      <c r="A249" s="193">
        <f>A248+1</f>
        <v>2</v>
      </c>
      <c r="B249" s="194"/>
      <c r="C249" s="99" t="s">
        <v>57</v>
      </c>
      <c r="D249" s="99"/>
      <c r="E249" s="99"/>
      <c r="F249" s="195">
        <f t="shared" ref="F249:F259" si="46">D249+E249</f>
        <v>0</v>
      </c>
      <c r="G249" s="195"/>
      <c r="H249" s="99">
        <f t="shared" ref="H249:H259" si="47">F249*(($H$144)+1)+(IF(G249&lt;101,G249,IF(G249&lt;201,G249/2,IF(G249&lt;=301,G249/3,G249/4))))</f>
        <v>0</v>
      </c>
    </row>
    <row r="250" spans="1:8" ht="13.15" hidden="1" x14ac:dyDescent="0.25">
      <c r="A250" s="193">
        <f t="shared" ref="A250:A259" si="48">A249+1</f>
        <v>3</v>
      </c>
      <c r="B250" s="194"/>
      <c r="C250" s="99" t="s">
        <v>57</v>
      </c>
      <c r="D250" s="99"/>
      <c r="E250" s="99"/>
      <c r="F250" s="195">
        <f t="shared" si="46"/>
        <v>0</v>
      </c>
      <c r="G250" s="195"/>
      <c r="H250" s="99">
        <f t="shared" si="47"/>
        <v>0</v>
      </c>
    </row>
    <row r="251" spans="1:8" ht="13.15" hidden="1" x14ac:dyDescent="0.25">
      <c r="A251" s="193">
        <f t="shared" si="48"/>
        <v>4</v>
      </c>
      <c r="B251" s="194"/>
      <c r="C251" s="99" t="s">
        <v>57</v>
      </c>
      <c r="D251" s="99"/>
      <c r="E251" s="99"/>
      <c r="F251" s="195">
        <f t="shared" si="46"/>
        <v>0</v>
      </c>
      <c r="G251" s="195"/>
      <c r="H251" s="99">
        <f t="shared" si="47"/>
        <v>0</v>
      </c>
    </row>
    <row r="252" spans="1:8" ht="13.15" hidden="1" x14ac:dyDescent="0.25">
      <c r="A252" s="193">
        <f t="shared" si="48"/>
        <v>5</v>
      </c>
      <c r="B252" s="194"/>
      <c r="C252" s="99" t="s">
        <v>57</v>
      </c>
      <c r="D252" s="99"/>
      <c r="E252" s="99"/>
      <c r="F252" s="195">
        <f t="shared" si="46"/>
        <v>0</v>
      </c>
      <c r="G252" s="195"/>
      <c r="H252" s="99">
        <f t="shared" si="47"/>
        <v>0</v>
      </c>
    </row>
    <row r="253" spans="1:8" ht="13.15" hidden="1" x14ac:dyDescent="0.25">
      <c r="A253" s="193">
        <f t="shared" si="48"/>
        <v>6</v>
      </c>
      <c r="B253" s="194"/>
      <c r="C253" s="99" t="s">
        <v>57</v>
      </c>
      <c r="D253" s="99"/>
      <c r="E253" s="99"/>
      <c r="F253" s="195">
        <f t="shared" si="46"/>
        <v>0</v>
      </c>
      <c r="G253" s="195"/>
      <c r="H253" s="99">
        <f t="shared" si="47"/>
        <v>0</v>
      </c>
    </row>
    <row r="254" spans="1:8" ht="13.15" hidden="1" x14ac:dyDescent="0.25">
      <c r="A254" s="193">
        <f t="shared" si="48"/>
        <v>7</v>
      </c>
      <c r="B254" s="194"/>
      <c r="C254" s="99" t="s">
        <v>57</v>
      </c>
      <c r="D254" s="99"/>
      <c r="E254" s="99"/>
      <c r="F254" s="195">
        <f t="shared" si="46"/>
        <v>0</v>
      </c>
      <c r="G254" s="195"/>
      <c r="H254" s="99">
        <f t="shared" si="47"/>
        <v>0</v>
      </c>
    </row>
    <row r="255" spans="1:8" ht="13.15" hidden="1" x14ac:dyDescent="0.25">
      <c r="A255" s="193">
        <f t="shared" si="48"/>
        <v>8</v>
      </c>
      <c r="B255" s="194"/>
      <c r="C255" s="99" t="s">
        <v>57</v>
      </c>
      <c r="D255" s="99"/>
      <c r="E255" s="99"/>
      <c r="F255" s="195">
        <f t="shared" si="46"/>
        <v>0</v>
      </c>
      <c r="G255" s="195"/>
      <c r="H255" s="99">
        <f t="shared" si="47"/>
        <v>0</v>
      </c>
    </row>
    <row r="256" spans="1:8" ht="13.15" hidden="1" x14ac:dyDescent="0.25">
      <c r="A256" s="193">
        <f t="shared" si="48"/>
        <v>9</v>
      </c>
      <c r="B256" s="194"/>
      <c r="C256" s="99" t="s">
        <v>57</v>
      </c>
      <c r="D256" s="99"/>
      <c r="E256" s="99"/>
      <c r="F256" s="195">
        <f t="shared" si="46"/>
        <v>0</v>
      </c>
      <c r="G256" s="195"/>
      <c r="H256" s="99">
        <f t="shared" si="47"/>
        <v>0</v>
      </c>
    </row>
    <row r="257" spans="1:8" ht="13.15" hidden="1" x14ac:dyDescent="0.25">
      <c r="A257" s="193">
        <f t="shared" si="48"/>
        <v>10</v>
      </c>
      <c r="B257" s="194"/>
      <c r="C257" s="99" t="s">
        <v>57</v>
      </c>
      <c r="D257" s="99"/>
      <c r="E257" s="99"/>
      <c r="F257" s="195">
        <f t="shared" si="46"/>
        <v>0</v>
      </c>
      <c r="G257" s="195"/>
      <c r="H257" s="99">
        <f t="shared" si="47"/>
        <v>0</v>
      </c>
    </row>
    <row r="258" spans="1:8" ht="13.15" hidden="1" x14ac:dyDescent="0.25">
      <c r="A258" s="193">
        <f t="shared" si="48"/>
        <v>11</v>
      </c>
      <c r="B258" s="194"/>
      <c r="C258" s="99" t="s">
        <v>57</v>
      </c>
      <c r="D258" s="99"/>
      <c r="E258" s="99"/>
      <c r="F258" s="195">
        <f t="shared" si="46"/>
        <v>0</v>
      </c>
      <c r="G258" s="195"/>
      <c r="H258" s="99">
        <f t="shared" si="47"/>
        <v>0</v>
      </c>
    </row>
    <row r="259" spans="1:8" ht="13.15" hidden="1" x14ac:dyDescent="0.25">
      <c r="A259" s="193">
        <f t="shared" si="48"/>
        <v>12</v>
      </c>
      <c r="B259" s="194"/>
      <c r="C259" s="99" t="s">
        <v>57</v>
      </c>
      <c r="D259" s="99"/>
      <c r="E259" s="99"/>
      <c r="F259" s="195">
        <f t="shared" si="46"/>
        <v>0</v>
      </c>
      <c r="G259" s="195"/>
      <c r="H259" s="99">
        <f t="shared" si="47"/>
        <v>0</v>
      </c>
    </row>
    <row r="260" spans="1:8" ht="12.75" customHeight="1" x14ac:dyDescent="0.25">
      <c r="A260" s="131" t="s">
        <v>116</v>
      </c>
      <c r="B260" s="131"/>
      <c r="C260" s="131"/>
      <c r="D260" s="131"/>
      <c r="E260" s="131"/>
      <c r="F260" s="131"/>
      <c r="G260" s="131"/>
      <c r="H260" s="131"/>
    </row>
    <row r="261" spans="1:8" ht="14.25" customHeight="1" x14ac:dyDescent="0.25">
      <c r="A261" s="132" t="s">
        <v>117</v>
      </c>
      <c r="B261" s="197"/>
      <c r="C261" s="197"/>
      <c r="D261" s="197"/>
      <c r="E261" s="133"/>
      <c r="F261" s="132">
        <v>3200</v>
      </c>
      <c r="G261" s="197"/>
      <c r="H261" s="133"/>
    </row>
    <row r="262" spans="1:8" ht="14.25" customHeight="1" x14ac:dyDescent="0.25">
      <c r="A262" s="132" t="s">
        <v>118</v>
      </c>
      <c r="B262" s="197"/>
      <c r="C262" s="197"/>
      <c r="D262" s="197"/>
      <c r="E262" s="133"/>
      <c r="F262" s="129" t="s">
        <v>119</v>
      </c>
      <c r="G262" s="198"/>
      <c r="H262" s="130"/>
    </row>
    <row r="263" spans="1:8" ht="13.15" x14ac:dyDescent="0.25">
      <c r="A263" s="131" t="s">
        <v>49</v>
      </c>
      <c r="B263" s="131"/>
      <c r="C263" s="131"/>
      <c r="D263" s="131"/>
      <c r="E263" s="131"/>
      <c r="F263" s="131"/>
      <c r="G263" s="131"/>
      <c r="H263" s="131"/>
    </row>
    <row r="264" spans="1:8" ht="27.75" customHeight="1" x14ac:dyDescent="0.2">
      <c r="A264" s="199">
        <v>1</v>
      </c>
      <c r="B264" s="83" t="s">
        <v>292</v>
      </c>
      <c r="C264" s="200"/>
      <c r="D264" s="200"/>
      <c r="E264" s="200"/>
      <c r="F264" s="200"/>
      <c r="G264" s="200"/>
      <c r="H264" s="84"/>
    </row>
    <row r="265" spans="1:8" ht="13.15" x14ac:dyDescent="0.25">
      <c r="A265" s="199">
        <f t="shared" ref="A265:A273" si="49">A264+1</f>
        <v>2</v>
      </c>
      <c r="B265" s="83" t="s">
        <v>220</v>
      </c>
      <c r="C265" s="200"/>
      <c r="D265" s="200"/>
      <c r="E265" s="200"/>
      <c r="F265" s="200"/>
      <c r="G265" s="200"/>
      <c r="H265" s="84"/>
    </row>
    <row r="266" spans="1:8" ht="13.15" x14ac:dyDescent="0.25">
      <c r="A266" s="199">
        <f t="shared" si="49"/>
        <v>3</v>
      </c>
      <c r="B266" s="83" t="s">
        <v>289</v>
      </c>
      <c r="C266" s="200"/>
      <c r="D266" s="200"/>
      <c r="E266" s="200"/>
      <c r="F266" s="200"/>
      <c r="G266" s="200"/>
      <c r="H266" s="84"/>
    </row>
    <row r="267" spans="1:8" ht="13.15" x14ac:dyDescent="0.25">
      <c r="A267" s="199">
        <f t="shared" si="49"/>
        <v>4</v>
      </c>
      <c r="B267" s="83" t="s">
        <v>221</v>
      </c>
      <c r="C267" s="200"/>
      <c r="D267" s="200"/>
      <c r="E267" s="200"/>
      <c r="F267" s="200"/>
      <c r="G267" s="200"/>
      <c r="H267" s="84"/>
    </row>
    <row r="268" spans="1:8" ht="13.15" x14ac:dyDescent="0.25">
      <c r="A268" s="199">
        <f t="shared" si="49"/>
        <v>5</v>
      </c>
      <c r="B268" s="83" t="s">
        <v>276</v>
      </c>
      <c r="C268" s="200"/>
      <c r="D268" s="200"/>
      <c r="E268" s="200"/>
      <c r="F268" s="200"/>
      <c r="G268" s="200"/>
      <c r="H268" s="84"/>
    </row>
    <row r="269" spans="1:8" ht="12.75" customHeight="1" x14ac:dyDescent="0.25">
      <c r="A269" s="199">
        <f t="shared" si="49"/>
        <v>6</v>
      </c>
      <c r="B269" s="83" t="s">
        <v>225</v>
      </c>
      <c r="C269" s="200"/>
      <c r="D269" s="200"/>
      <c r="E269" s="200"/>
      <c r="F269" s="201">
        <f>H144</f>
        <v>0.45</v>
      </c>
      <c r="G269" s="202"/>
      <c r="H269" s="203"/>
    </row>
    <row r="270" spans="1:8" ht="13.15" x14ac:dyDescent="0.25">
      <c r="A270" s="199">
        <f t="shared" si="49"/>
        <v>7</v>
      </c>
      <c r="B270" s="204" t="s">
        <v>222</v>
      </c>
      <c r="C270" s="205"/>
      <c r="D270" s="205"/>
      <c r="E270" s="205"/>
      <c r="F270" s="205"/>
      <c r="G270" s="205"/>
      <c r="H270" s="206"/>
    </row>
    <row r="271" spans="1:8" ht="30" customHeight="1" x14ac:dyDescent="0.25">
      <c r="A271" s="199">
        <f t="shared" si="49"/>
        <v>8</v>
      </c>
      <c r="B271" s="204" t="s">
        <v>223</v>
      </c>
      <c r="C271" s="205"/>
      <c r="D271" s="205"/>
      <c r="E271" s="205"/>
      <c r="F271" s="205"/>
      <c r="G271" s="205"/>
      <c r="H271" s="206"/>
    </row>
    <row r="272" spans="1:8" ht="13.15" x14ac:dyDescent="0.25">
      <c r="A272" s="199">
        <f t="shared" si="49"/>
        <v>9</v>
      </c>
      <c r="B272" s="204" t="s">
        <v>224</v>
      </c>
      <c r="C272" s="205"/>
      <c r="D272" s="205"/>
      <c r="E272" s="205"/>
      <c r="F272" s="205"/>
      <c r="G272" s="205"/>
      <c r="H272" s="206"/>
    </row>
    <row r="273" spans="1:8" ht="13.15" x14ac:dyDescent="0.25">
      <c r="A273" s="199">
        <f t="shared" si="49"/>
        <v>10</v>
      </c>
      <c r="B273" s="204" t="s">
        <v>285</v>
      </c>
      <c r="C273" s="205"/>
      <c r="D273" s="205"/>
      <c r="E273" s="205"/>
      <c r="F273" s="205"/>
      <c r="G273" s="205"/>
      <c r="H273" s="206"/>
    </row>
    <row r="274" spans="1:8" ht="26.25" customHeight="1" x14ac:dyDescent="0.2">
      <c r="A274" s="199">
        <f>A273+1</f>
        <v>11</v>
      </c>
      <c r="B274" s="204" t="s">
        <v>281</v>
      </c>
      <c r="C274" s="205"/>
      <c r="D274" s="205"/>
      <c r="E274" s="205"/>
      <c r="F274" s="205"/>
      <c r="G274" s="205"/>
      <c r="H274" s="206"/>
    </row>
    <row r="275" spans="1:8" ht="26.25" customHeight="1" x14ac:dyDescent="0.2">
      <c r="A275" s="199">
        <f>A274+1</f>
        <v>12</v>
      </c>
      <c r="B275" s="204" t="s">
        <v>284</v>
      </c>
      <c r="C275" s="205"/>
      <c r="D275" s="205"/>
      <c r="E275" s="205"/>
      <c r="F275" s="205"/>
      <c r="G275" s="205"/>
      <c r="H275" s="206"/>
    </row>
    <row r="276" spans="1:8" ht="26.25" customHeight="1" x14ac:dyDescent="0.2">
      <c r="A276" s="199">
        <f>A275+1</f>
        <v>13</v>
      </c>
      <c r="B276" s="207" t="s">
        <v>293</v>
      </c>
      <c r="C276" s="208"/>
      <c r="D276" s="208"/>
      <c r="E276" s="208"/>
      <c r="F276" s="208"/>
      <c r="G276" s="208"/>
      <c r="H276" s="209"/>
    </row>
    <row r="277" spans="1:8" ht="25.5" customHeight="1" x14ac:dyDescent="0.25">
      <c r="A277" s="179" t="s">
        <v>122</v>
      </c>
      <c r="B277" s="180"/>
      <c r="C277" s="132" t="str">
        <f>C7</f>
        <v>Himalaya Gardens</v>
      </c>
      <c r="D277" s="197"/>
      <c r="E277" s="197"/>
      <c r="F277" s="197"/>
      <c r="G277" s="197"/>
      <c r="H277" s="133"/>
    </row>
    <row r="278" spans="1:8" ht="13.15" x14ac:dyDescent="0.25">
      <c r="A278" s="210"/>
      <c r="B278" s="211"/>
      <c r="C278" s="211"/>
      <c r="D278" s="211"/>
      <c r="E278" s="211"/>
      <c r="F278" s="211"/>
      <c r="G278" s="211"/>
      <c r="H278" s="212"/>
    </row>
    <row r="279" spans="1:8" ht="13.15" x14ac:dyDescent="0.25">
      <c r="A279" s="210"/>
      <c r="B279" s="211"/>
      <c r="C279" s="211"/>
      <c r="D279" s="211"/>
      <c r="E279" s="211"/>
      <c r="F279" s="211"/>
      <c r="G279" s="211"/>
      <c r="H279" s="212"/>
    </row>
    <row r="280" spans="1:8" ht="13.15" x14ac:dyDescent="0.25">
      <c r="A280" s="210"/>
      <c r="B280" s="211"/>
      <c r="C280" s="211"/>
      <c r="D280" s="211"/>
      <c r="E280" s="211"/>
      <c r="F280" s="211"/>
      <c r="G280" s="211"/>
      <c r="H280" s="212"/>
    </row>
    <row r="281" spans="1:8" x14ac:dyDescent="0.2">
      <c r="A281" s="210"/>
      <c r="B281" s="211"/>
      <c r="C281" s="211"/>
      <c r="D281" s="211"/>
      <c r="E281" s="211"/>
      <c r="F281" s="211"/>
      <c r="G281" s="211"/>
      <c r="H281" s="212"/>
    </row>
    <row r="282" spans="1:8" x14ac:dyDescent="0.2">
      <c r="A282" s="210"/>
      <c r="B282" s="211"/>
      <c r="C282" s="211"/>
      <c r="D282" s="211"/>
      <c r="E282" s="211"/>
      <c r="F282" s="211"/>
      <c r="G282" s="211"/>
      <c r="H282" s="212"/>
    </row>
    <row r="283" spans="1:8" x14ac:dyDescent="0.2">
      <c r="A283" s="210"/>
      <c r="B283" s="211"/>
      <c r="C283" s="211"/>
      <c r="D283" s="211"/>
      <c r="E283" s="211"/>
      <c r="F283" s="211"/>
      <c r="G283" s="211"/>
      <c r="H283" s="212"/>
    </row>
    <row r="284" spans="1:8" x14ac:dyDescent="0.2">
      <c r="A284" s="210"/>
      <c r="B284" s="211"/>
      <c r="C284" s="211"/>
      <c r="D284" s="211"/>
      <c r="E284" s="211"/>
      <c r="F284" s="211"/>
      <c r="G284" s="211"/>
      <c r="H284" s="212"/>
    </row>
    <row r="285" spans="1:8" x14ac:dyDescent="0.2">
      <c r="A285" s="210"/>
      <c r="B285" s="211"/>
      <c r="C285" s="211"/>
      <c r="D285" s="211"/>
      <c r="E285" s="211"/>
      <c r="F285" s="211"/>
      <c r="G285" s="211"/>
      <c r="H285" s="212"/>
    </row>
    <row r="286" spans="1:8" x14ac:dyDescent="0.2">
      <c r="A286" s="210"/>
      <c r="B286" s="211"/>
      <c r="C286" s="211"/>
      <c r="D286" s="211"/>
      <c r="E286" s="211"/>
      <c r="F286" s="211"/>
      <c r="G286" s="211"/>
      <c r="H286" s="212"/>
    </row>
    <row r="287" spans="1:8" x14ac:dyDescent="0.2">
      <c r="A287" s="210"/>
      <c r="B287" s="211"/>
      <c r="C287" s="211"/>
      <c r="D287" s="211"/>
      <c r="E287" s="211"/>
      <c r="F287" s="211"/>
      <c r="G287" s="211"/>
      <c r="H287" s="212"/>
    </row>
    <row r="288" spans="1:8" x14ac:dyDescent="0.2">
      <c r="A288" s="210"/>
      <c r="B288" s="211"/>
      <c r="C288" s="211"/>
      <c r="D288" s="211"/>
      <c r="E288" s="211"/>
      <c r="F288" s="211"/>
      <c r="G288" s="211"/>
      <c r="H288" s="212"/>
    </row>
    <row r="289" spans="1:8" x14ac:dyDescent="0.2">
      <c r="A289" s="210"/>
      <c r="B289" s="211"/>
      <c r="C289" s="211"/>
      <c r="D289" s="211"/>
      <c r="E289" s="211"/>
      <c r="F289" s="211"/>
      <c r="G289" s="211"/>
      <c r="H289" s="212"/>
    </row>
    <row r="290" spans="1:8" x14ac:dyDescent="0.2">
      <c r="A290" s="210"/>
      <c r="B290" s="211"/>
      <c r="C290" s="211"/>
      <c r="D290" s="211"/>
      <c r="E290" s="211"/>
      <c r="F290" s="211"/>
      <c r="G290" s="211"/>
      <c r="H290" s="212"/>
    </row>
    <row r="291" spans="1:8" x14ac:dyDescent="0.2">
      <c r="A291" s="210"/>
      <c r="B291" s="211"/>
      <c r="C291" s="211"/>
      <c r="D291" s="211"/>
      <c r="E291" s="211"/>
      <c r="F291" s="211"/>
      <c r="G291" s="211"/>
      <c r="H291" s="212"/>
    </row>
    <row r="292" spans="1:8" x14ac:dyDescent="0.2">
      <c r="A292" s="210"/>
      <c r="B292" s="211"/>
      <c r="C292" s="211"/>
      <c r="D292" s="211"/>
      <c r="E292" s="211"/>
      <c r="F292" s="211"/>
      <c r="G292" s="211"/>
      <c r="H292" s="212"/>
    </row>
    <row r="293" spans="1:8" x14ac:dyDescent="0.2">
      <c r="A293" s="210"/>
      <c r="B293" s="211"/>
      <c r="C293" s="211"/>
      <c r="D293" s="211"/>
      <c r="E293" s="211"/>
      <c r="F293" s="211"/>
      <c r="G293" s="211"/>
      <c r="H293" s="212"/>
    </row>
    <row r="294" spans="1:8" x14ac:dyDescent="0.2">
      <c r="A294" s="210"/>
      <c r="B294" s="211"/>
      <c r="C294" s="211"/>
      <c r="D294" s="211"/>
      <c r="E294" s="211"/>
      <c r="F294" s="211"/>
      <c r="G294" s="211"/>
      <c r="H294" s="212"/>
    </row>
    <row r="295" spans="1:8" x14ac:dyDescent="0.2">
      <c r="A295" s="210"/>
      <c r="B295" s="211"/>
      <c r="C295" s="211"/>
      <c r="D295" s="211"/>
      <c r="E295" s="211"/>
      <c r="F295" s="211"/>
      <c r="G295" s="211"/>
      <c r="H295" s="212"/>
    </row>
    <row r="296" spans="1:8" x14ac:dyDescent="0.2">
      <c r="A296" s="210"/>
      <c r="B296" s="211"/>
      <c r="C296" s="211"/>
      <c r="D296" s="211"/>
      <c r="E296" s="211"/>
      <c r="F296" s="211"/>
      <c r="G296" s="211"/>
      <c r="H296" s="212"/>
    </row>
    <row r="297" spans="1:8" x14ac:dyDescent="0.2">
      <c r="A297" s="210"/>
      <c r="B297" s="211"/>
      <c r="C297" s="211"/>
      <c r="D297" s="211"/>
      <c r="E297" s="211"/>
      <c r="F297" s="211"/>
      <c r="G297" s="211"/>
      <c r="H297" s="212"/>
    </row>
    <row r="298" spans="1:8" x14ac:dyDescent="0.2">
      <c r="A298" s="210"/>
      <c r="B298" s="211"/>
      <c r="C298" s="211"/>
      <c r="D298" s="211"/>
      <c r="E298" s="211"/>
      <c r="F298" s="211"/>
      <c r="G298" s="211"/>
      <c r="H298" s="212"/>
    </row>
    <row r="299" spans="1:8" x14ac:dyDescent="0.2">
      <c r="A299" s="210"/>
      <c r="B299" s="211"/>
      <c r="C299" s="211"/>
      <c r="D299" s="211"/>
      <c r="E299" s="211"/>
      <c r="F299" s="211"/>
      <c r="G299" s="211"/>
      <c r="H299" s="212"/>
    </row>
    <row r="300" spans="1:8" x14ac:dyDescent="0.2">
      <c r="A300" s="210"/>
      <c r="B300" s="211"/>
      <c r="C300" s="211"/>
      <c r="D300" s="211"/>
      <c r="E300" s="211"/>
      <c r="F300" s="211"/>
      <c r="G300" s="211"/>
      <c r="H300" s="212"/>
    </row>
    <row r="301" spans="1:8" x14ac:dyDescent="0.2">
      <c r="A301" s="210"/>
      <c r="B301" s="211"/>
      <c r="C301" s="211"/>
      <c r="D301" s="211"/>
      <c r="E301" s="211"/>
      <c r="F301" s="211"/>
      <c r="G301" s="211"/>
      <c r="H301" s="212"/>
    </row>
    <row r="302" spans="1:8" x14ac:dyDescent="0.2">
      <c r="A302" s="210"/>
      <c r="B302" s="211"/>
      <c r="C302" s="211"/>
      <c r="D302" s="211"/>
      <c r="E302" s="211"/>
      <c r="F302" s="211"/>
      <c r="G302" s="211"/>
      <c r="H302" s="212"/>
    </row>
    <row r="303" spans="1:8" x14ac:dyDescent="0.2">
      <c r="A303" s="210"/>
      <c r="B303" s="211"/>
      <c r="C303" s="211"/>
      <c r="D303" s="211"/>
      <c r="E303" s="211"/>
      <c r="F303" s="211"/>
      <c r="G303" s="211"/>
      <c r="H303" s="212"/>
    </row>
    <row r="304" spans="1:8" x14ac:dyDescent="0.2">
      <c r="A304" s="210"/>
      <c r="B304" s="211"/>
      <c r="C304" s="211"/>
      <c r="D304" s="211"/>
      <c r="E304" s="211"/>
      <c r="F304" s="211"/>
      <c r="G304" s="211"/>
      <c r="H304" s="212"/>
    </row>
    <row r="305" spans="1:8" x14ac:dyDescent="0.2">
      <c r="A305" s="210"/>
      <c r="B305" s="211"/>
      <c r="C305" s="211"/>
      <c r="D305" s="211"/>
      <c r="E305" s="211"/>
      <c r="F305" s="211"/>
      <c r="G305" s="211"/>
      <c r="H305" s="212"/>
    </row>
    <row r="306" spans="1:8" x14ac:dyDescent="0.2">
      <c r="A306" s="210"/>
      <c r="B306" s="211"/>
      <c r="C306" s="211"/>
      <c r="D306" s="211"/>
      <c r="E306" s="211"/>
      <c r="F306" s="211"/>
      <c r="G306" s="211"/>
      <c r="H306" s="212"/>
    </row>
    <row r="307" spans="1:8" x14ac:dyDescent="0.2">
      <c r="A307" s="210"/>
      <c r="B307" s="211"/>
      <c r="C307" s="211"/>
      <c r="D307" s="211"/>
      <c r="E307" s="211"/>
      <c r="F307" s="211"/>
      <c r="G307" s="211"/>
      <c r="H307" s="212"/>
    </row>
    <row r="308" spans="1:8" x14ac:dyDescent="0.2">
      <c r="A308" s="210"/>
      <c r="B308" s="211"/>
      <c r="C308" s="211"/>
      <c r="D308" s="211"/>
      <c r="E308" s="211"/>
      <c r="F308" s="211"/>
      <c r="G308" s="211"/>
      <c r="H308" s="212"/>
    </row>
    <row r="309" spans="1:8" x14ac:dyDescent="0.2">
      <c r="A309" s="210"/>
      <c r="B309" s="211"/>
      <c r="C309" s="211"/>
      <c r="D309" s="211"/>
      <c r="E309" s="211"/>
      <c r="F309" s="211"/>
      <c r="G309" s="211"/>
      <c r="H309" s="212"/>
    </row>
    <row r="310" spans="1:8" x14ac:dyDescent="0.2">
      <c r="A310" s="210"/>
      <c r="B310" s="211"/>
      <c r="C310" s="211"/>
      <c r="D310" s="211"/>
      <c r="E310" s="211"/>
      <c r="F310" s="211"/>
      <c r="G310" s="211"/>
      <c r="H310" s="212"/>
    </row>
    <row r="311" spans="1:8" x14ac:dyDescent="0.2">
      <c r="A311" s="210"/>
      <c r="B311" s="211"/>
      <c r="C311" s="211"/>
      <c r="D311" s="211"/>
      <c r="E311" s="211"/>
      <c r="F311" s="211"/>
      <c r="G311" s="211"/>
      <c r="H311" s="212"/>
    </row>
    <row r="312" spans="1:8" x14ac:dyDescent="0.2">
      <c r="A312" s="210"/>
      <c r="B312" s="211"/>
      <c r="C312" s="211"/>
      <c r="D312" s="211"/>
      <c r="E312" s="211"/>
      <c r="F312" s="211"/>
      <c r="G312" s="211"/>
      <c r="H312" s="212"/>
    </row>
    <row r="313" spans="1:8" x14ac:dyDescent="0.2">
      <c r="A313" s="210"/>
      <c r="B313" s="211"/>
      <c r="C313" s="211"/>
      <c r="D313" s="211"/>
      <c r="E313" s="211"/>
      <c r="F313" s="211"/>
      <c r="G313" s="211"/>
      <c r="H313" s="212"/>
    </row>
    <row r="314" spans="1:8" x14ac:dyDescent="0.2">
      <c r="A314" s="210"/>
      <c r="B314" s="211"/>
      <c r="C314" s="211"/>
      <c r="D314" s="211"/>
      <c r="E314" s="211"/>
      <c r="F314" s="211"/>
      <c r="G314" s="211"/>
      <c r="H314" s="212"/>
    </row>
    <row r="315" spans="1:8" x14ac:dyDescent="0.2">
      <c r="A315" s="210"/>
      <c r="B315" s="211"/>
      <c r="C315" s="211"/>
      <c r="D315" s="211"/>
      <c r="E315" s="211"/>
      <c r="F315" s="211"/>
      <c r="G315" s="211"/>
      <c r="H315" s="212"/>
    </row>
    <row r="316" spans="1:8" x14ac:dyDescent="0.2">
      <c r="A316" s="210"/>
      <c r="B316" s="211"/>
      <c r="C316" s="211"/>
      <c r="D316" s="211"/>
      <c r="E316" s="211"/>
      <c r="F316" s="211"/>
      <c r="G316" s="211"/>
      <c r="H316" s="212"/>
    </row>
    <row r="317" spans="1:8" x14ac:dyDescent="0.2">
      <c r="A317" s="210"/>
      <c r="B317" s="211"/>
      <c r="C317" s="211"/>
      <c r="D317" s="211"/>
      <c r="E317" s="211"/>
      <c r="F317" s="211"/>
      <c r="G317" s="211"/>
      <c r="H317" s="212"/>
    </row>
    <row r="318" spans="1:8" x14ac:dyDescent="0.2">
      <c r="A318" s="210"/>
      <c r="B318" s="211"/>
      <c r="C318" s="211"/>
      <c r="D318" s="211"/>
      <c r="E318" s="211"/>
      <c r="F318" s="211"/>
      <c r="G318" s="211"/>
      <c r="H318" s="212"/>
    </row>
    <row r="319" spans="1:8" x14ac:dyDescent="0.2">
      <c r="A319" s="210"/>
      <c r="B319" s="211"/>
      <c r="C319" s="211"/>
      <c r="D319" s="211"/>
      <c r="E319" s="211"/>
      <c r="F319" s="211"/>
      <c r="G319" s="211"/>
      <c r="H319" s="212"/>
    </row>
    <row r="320" spans="1:8" x14ac:dyDescent="0.2">
      <c r="A320" s="210"/>
      <c r="B320" s="211"/>
      <c r="C320" s="211"/>
      <c r="D320" s="211"/>
      <c r="E320" s="211"/>
      <c r="F320" s="211"/>
      <c r="G320" s="211"/>
      <c r="H320" s="212"/>
    </row>
    <row r="321" spans="1:8" x14ac:dyDescent="0.2">
      <c r="A321" s="210"/>
      <c r="B321" s="211"/>
      <c r="C321" s="211"/>
      <c r="D321" s="211"/>
      <c r="E321" s="211"/>
      <c r="F321" s="211"/>
      <c r="G321" s="211"/>
      <c r="H321" s="212"/>
    </row>
    <row r="322" spans="1:8" x14ac:dyDescent="0.2">
      <c r="A322" s="210"/>
      <c r="B322" s="211"/>
      <c r="C322" s="211"/>
      <c r="D322" s="211"/>
      <c r="E322" s="211"/>
      <c r="F322" s="211"/>
      <c r="G322" s="211"/>
      <c r="H322" s="212"/>
    </row>
    <row r="323" spans="1:8" x14ac:dyDescent="0.2">
      <c r="A323" s="210"/>
      <c r="B323" s="211"/>
      <c r="C323" s="211"/>
      <c r="D323" s="211"/>
      <c r="E323" s="211"/>
      <c r="F323" s="211"/>
      <c r="G323" s="211"/>
      <c r="H323" s="212"/>
    </row>
    <row r="324" spans="1:8" x14ac:dyDescent="0.2">
      <c r="A324" s="210"/>
      <c r="B324" s="211"/>
      <c r="C324" s="211"/>
      <c r="D324" s="211"/>
      <c r="E324" s="211"/>
      <c r="F324" s="211"/>
      <c r="G324" s="211"/>
      <c r="H324" s="212"/>
    </row>
    <row r="325" spans="1:8" x14ac:dyDescent="0.2">
      <c r="A325" s="210"/>
      <c r="B325" s="211"/>
      <c r="C325" s="211"/>
      <c r="D325" s="211"/>
      <c r="E325" s="211"/>
      <c r="F325" s="211"/>
      <c r="G325" s="211"/>
      <c r="H325" s="212"/>
    </row>
    <row r="326" spans="1:8" x14ac:dyDescent="0.2">
      <c r="A326" s="210"/>
      <c r="B326" s="211"/>
      <c r="C326" s="211"/>
      <c r="D326" s="211"/>
      <c r="E326" s="211"/>
      <c r="F326" s="211"/>
      <c r="G326" s="211"/>
      <c r="H326" s="212"/>
    </row>
    <row r="327" spans="1:8" ht="25.5" customHeight="1" x14ac:dyDescent="0.2">
      <c r="A327" s="179" t="s">
        <v>146</v>
      </c>
      <c r="B327" s="180"/>
      <c r="C327" s="132"/>
      <c r="D327" s="197"/>
      <c r="E327" s="197"/>
      <c r="F327" s="197"/>
      <c r="G327" s="197"/>
      <c r="H327" s="133"/>
    </row>
    <row r="328" spans="1:8" x14ac:dyDescent="0.2">
      <c r="A328" s="210"/>
      <c r="B328" s="211"/>
      <c r="C328" s="211"/>
      <c r="D328" s="211"/>
      <c r="E328" s="211"/>
      <c r="F328" s="211"/>
      <c r="G328" s="211"/>
      <c r="H328" s="212"/>
    </row>
    <row r="329" spans="1:8" x14ac:dyDescent="0.2">
      <c r="A329" s="210"/>
      <c r="B329" s="211"/>
      <c r="C329" s="211"/>
      <c r="D329" s="211"/>
      <c r="E329" s="211"/>
      <c r="F329" s="211"/>
      <c r="G329" s="211"/>
      <c r="H329" s="212"/>
    </row>
    <row r="330" spans="1:8" x14ac:dyDescent="0.2">
      <c r="A330" s="210"/>
      <c r="B330" s="211"/>
      <c r="C330" s="211"/>
      <c r="D330" s="211"/>
      <c r="E330" s="211"/>
      <c r="F330" s="211"/>
      <c r="G330" s="211"/>
      <c r="H330" s="212"/>
    </row>
    <row r="331" spans="1:8" x14ac:dyDescent="0.2">
      <c r="A331" s="210"/>
      <c r="B331" s="211"/>
      <c r="C331" s="211"/>
      <c r="D331" s="211"/>
      <c r="E331" s="211"/>
      <c r="F331" s="211"/>
      <c r="G331" s="211"/>
      <c r="H331" s="212"/>
    </row>
    <row r="332" spans="1:8" x14ac:dyDescent="0.2">
      <c r="A332" s="210"/>
      <c r="B332" s="211"/>
      <c r="C332" s="211"/>
      <c r="D332" s="211"/>
      <c r="E332" s="211"/>
      <c r="F332" s="211"/>
      <c r="G332" s="211"/>
      <c r="H332" s="212"/>
    </row>
    <row r="333" spans="1:8" x14ac:dyDescent="0.2">
      <c r="A333" s="210"/>
      <c r="B333" s="211"/>
      <c r="C333" s="211"/>
      <c r="D333" s="211"/>
      <c r="E333" s="211"/>
      <c r="F333" s="211"/>
      <c r="G333" s="211"/>
      <c r="H333" s="212"/>
    </row>
    <row r="334" spans="1:8" x14ac:dyDescent="0.2">
      <c r="A334" s="210"/>
      <c r="B334" s="211"/>
      <c r="C334" s="211"/>
      <c r="D334" s="211"/>
      <c r="E334" s="211"/>
      <c r="F334" s="211"/>
      <c r="G334" s="211"/>
      <c r="H334" s="212"/>
    </row>
    <row r="335" spans="1:8" x14ac:dyDescent="0.2">
      <c r="A335" s="210"/>
      <c r="B335" s="211"/>
      <c r="C335" s="211"/>
      <c r="D335" s="211"/>
      <c r="E335" s="211"/>
      <c r="F335" s="211"/>
      <c r="G335" s="211"/>
      <c r="H335" s="212"/>
    </row>
    <row r="336" spans="1:8" x14ac:dyDescent="0.2">
      <c r="A336" s="210"/>
      <c r="B336" s="211"/>
      <c r="C336" s="211"/>
      <c r="D336" s="211"/>
      <c r="E336" s="211"/>
      <c r="F336" s="211"/>
      <c r="G336" s="211"/>
      <c r="H336" s="212"/>
    </row>
    <row r="337" spans="1:8" x14ac:dyDescent="0.2">
      <c r="A337" s="210"/>
      <c r="B337" s="211"/>
      <c r="C337" s="211"/>
      <c r="D337" s="211"/>
      <c r="E337" s="211"/>
      <c r="F337" s="211"/>
      <c r="G337" s="211"/>
      <c r="H337" s="212"/>
    </row>
    <row r="338" spans="1:8" x14ac:dyDescent="0.2">
      <c r="A338" s="210"/>
      <c r="B338" s="211"/>
      <c r="C338" s="211"/>
      <c r="D338" s="211"/>
      <c r="E338" s="211"/>
      <c r="F338" s="211"/>
      <c r="G338" s="211"/>
      <c r="H338" s="212"/>
    </row>
    <row r="339" spans="1:8" x14ac:dyDescent="0.2">
      <c r="A339" s="210"/>
      <c r="B339" s="211"/>
      <c r="C339" s="211"/>
      <c r="D339" s="211"/>
      <c r="E339" s="211"/>
      <c r="F339" s="211"/>
      <c r="G339" s="211"/>
      <c r="H339" s="212"/>
    </row>
    <row r="340" spans="1:8" x14ac:dyDescent="0.2">
      <c r="A340" s="210"/>
      <c r="B340" s="211"/>
      <c r="C340" s="211"/>
      <c r="D340" s="211"/>
      <c r="E340" s="211"/>
      <c r="F340" s="211"/>
      <c r="G340" s="211"/>
      <c r="H340" s="212"/>
    </row>
    <row r="341" spans="1:8" x14ac:dyDescent="0.2">
      <c r="A341" s="210"/>
      <c r="B341" s="211"/>
      <c r="C341" s="211"/>
      <c r="D341" s="211"/>
      <c r="E341" s="211"/>
      <c r="F341" s="211"/>
      <c r="G341" s="211"/>
      <c r="H341" s="212"/>
    </row>
    <row r="342" spans="1:8" x14ac:dyDescent="0.2">
      <c r="A342" s="210"/>
      <c r="B342" s="211"/>
      <c r="C342" s="211"/>
      <c r="D342" s="211"/>
      <c r="E342" s="211"/>
      <c r="F342" s="211"/>
      <c r="G342" s="211"/>
      <c r="H342" s="212"/>
    </row>
    <row r="343" spans="1:8" x14ac:dyDescent="0.2">
      <c r="A343" s="210"/>
      <c r="B343" s="211"/>
      <c r="C343" s="211"/>
      <c r="D343" s="211"/>
      <c r="E343" s="211"/>
      <c r="F343" s="211"/>
      <c r="G343" s="211"/>
      <c r="H343" s="212"/>
    </row>
    <row r="344" spans="1:8" x14ac:dyDescent="0.2">
      <c r="A344" s="210"/>
      <c r="B344" s="211"/>
      <c r="C344" s="211"/>
      <c r="D344" s="211"/>
      <c r="E344" s="211"/>
      <c r="F344" s="211"/>
      <c r="G344" s="211"/>
      <c r="H344" s="212"/>
    </row>
    <row r="345" spans="1:8" x14ac:dyDescent="0.2">
      <c r="A345" s="210"/>
      <c r="B345" s="211"/>
      <c r="C345" s="211"/>
      <c r="D345" s="211"/>
      <c r="E345" s="211"/>
      <c r="F345" s="211"/>
      <c r="G345" s="211"/>
      <c r="H345" s="212"/>
    </row>
    <row r="346" spans="1:8" x14ac:dyDescent="0.2">
      <c r="A346" s="210"/>
      <c r="B346" s="211"/>
      <c r="C346" s="211"/>
      <c r="D346" s="211"/>
      <c r="E346" s="211"/>
      <c r="F346" s="211"/>
      <c r="G346" s="211"/>
      <c r="H346" s="212"/>
    </row>
    <row r="347" spans="1:8" x14ac:dyDescent="0.2">
      <c r="A347" s="210"/>
      <c r="B347" s="211"/>
      <c r="C347" s="211"/>
      <c r="D347" s="211"/>
      <c r="E347" s="211"/>
      <c r="F347" s="211"/>
      <c r="G347" s="211"/>
      <c r="H347" s="212"/>
    </row>
    <row r="348" spans="1:8" x14ac:dyDescent="0.2">
      <c r="A348" s="210"/>
      <c r="B348" s="211"/>
      <c r="C348" s="211"/>
      <c r="D348" s="211"/>
      <c r="E348" s="211"/>
      <c r="F348" s="211"/>
      <c r="G348" s="211"/>
      <c r="H348" s="212"/>
    </row>
    <row r="349" spans="1:8" x14ac:dyDescent="0.2">
      <c r="A349" s="210"/>
      <c r="B349" s="211"/>
      <c r="C349" s="211"/>
      <c r="D349" s="211"/>
      <c r="E349" s="211"/>
      <c r="F349" s="211"/>
      <c r="G349" s="211"/>
      <c r="H349" s="212"/>
    </row>
    <row r="350" spans="1:8" x14ac:dyDescent="0.2">
      <c r="A350" s="210"/>
      <c r="B350" s="211"/>
      <c r="C350" s="211"/>
      <c r="D350" s="211"/>
      <c r="E350" s="211"/>
      <c r="F350" s="211"/>
      <c r="G350" s="211"/>
      <c r="H350" s="212"/>
    </row>
    <row r="351" spans="1:8" x14ac:dyDescent="0.2">
      <c r="A351" s="210"/>
      <c r="B351" s="211"/>
      <c r="C351" s="211"/>
      <c r="D351" s="211"/>
      <c r="E351" s="211"/>
      <c r="F351" s="211"/>
      <c r="G351" s="211"/>
      <c r="H351" s="212"/>
    </row>
    <row r="352" spans="1:8" x14ac:dyDescent="0.2">
      <c r="A352" s="210"/>
      <c r="B352" s="211"/>
      <c r="C352" s="211"/>
      <c r="D352" s="211"/>
      <c r="E352" s="211"/>
      <c r="F352" s="211"/>
      <c r="G352" s="211"/>
      <c r="H352" s="212"/>
    </row>
    <row r="353" spans="1:8" x14ac:dyDescent="0.2">
      <c r="A353" s="210"/>
      <c r="B353" s="211"/>
      <c r="C353" s="211"/>
      <c r="D353" s="211"/>
      <c r="E353" s="211"/>
      <c r="F353" s="211"/>
      <c r="G353" s="211"/>
      <c r="H353" s="212"/>
    </row>
    <row r="354" spans="1:8" x14ac:dyDescent="0.2">
      <c r="A354" s="210"/>
      <c r="B354" s="211"/>
      <c r="C354" s="211"/>
      <c r="D354" s="211"/>
      <c r="E354" s="211"/>
      <c r="F354" s="211"/>
      <c r="G354" s="211"/>
      <c r="H354" s="212"/>
    </row>
    <row r="355" spans="1:8" x14ac:dyDescent="0.2">
      <c r="A355" s="210"/>
      <c r="B355" s="211"/>
      <c r="C355" s="211"/>
      <c r="D355" s="211"/>
      <c r="E355" s="211"/>
      <c r="F355" s="211"/>
      <c r="G355" s="211"/>
      <c r="H355" s="212"/>
    </row>
    <row r="356" spans="1:8" x14ac:dyDescent="0.2">
      <c r="A356" s="210"/>
      <c r="B356" s="211"/>
      <c r="C356" s="211"/>
      <c r="D356" s="211"/>
      <c r="E356" s="211"/>
      <c r="F356" s="211"/>
      <c r="G356" s="211"/>
      <c r="H356" s="212"/>
    </row>
    <row r="357" spans="1:8" x14ac:dyDescent="0.2">
      <c r="A357" s="210"/>
      <c r="B357" s="211"/>
      <c r="C357" s="211"/>
      <c r="D357" s="211"/>
      <c r="E357" s="211"/>
      <c r="F357" s="211"/>
      <c r="G357" s="211"/>
      <c r="H357" s="212"/>
    </row>
    <row r="358" spans="1:8" x14ac:dyDescent="0.2">
      <c r="A358" s="210"/>
      <c r="B358" s="211"/>
      <c r="C358" s="211"/>
      <c r="D358" s="211"/>
      <c r="E358" s="211"/>
      <c r="F358" s="211"/>
      <c r="G358" s="211"/>
      <c r="H358" s="212"/>
    </row>
    <row r="359" spans="1:8" x14ac:dyDescent="0.2">
      <c r="A359" s="210"/>
      <c r="B359" s="211"/>
      <c r="C359" s="211"/>
      <c r="D359" s="211"/>
      <c r="E359" s="211"/>
      <c r="F359" s="211"/>
      <c r="G359" s="211"/>
      <c r="H359" s="212"/>
    </row>
    <row r="360" spans="1:8" x14ac:dyDescent="0.2">
      <c r="A360" s="210"/>
      <c r="B360" s="211"/>
      <c r="C360" s="211"/>
      <c r="D360" s="211"/>
      <c r="E360" s="211"/>
      <c r="F360" s="211"/>
      <c r="G360" s="211"/>
      <c r="H360" s="212"/>
    </row>
    <row r="361" spans="1:8" x14ac:dyDescent="0.2">
      <c r="A361" s="210"/>
      <c r="B361" s="211"/>
      <c r="C361" s="211"/>
      <c r="D361" s="211"/>
      <c r="E361" s="211"/>
      <c r="F361" s="211"/>
      <c r="G361" s="211"/>
      <c r="H361" s="212"/>
    </row>
    <row r="362" spans="1:8" x14ac:dyDescent="0.2">
      <c r="A362" s="210"/>
      <c r="B362" s="211"/>
      <c r="C362" s="211"/>
      <c r="D362" s="211"/>
      <c r="E362" s="211"/>
      <c r="F362" s="211"/>
      <c r="G362" s="211"/>
      <c r="H362" s="212"/>
    </row>
    <row r="363" spans="1:8" x14ac:dyDescent="0.2">
      <c r="A363" s="210"/>
      <c r="B363" s="211"/>
      <c r="C363" s="211"/>
      <c r="D363" s="211"/>
      <c r="E363" s="211"/>
      <c r="F363" s="211"/>
      <c r="G363" s="211"/>
      <c r="H363" s="212"/>
    </row>
    <row r="364" spans="1:8" x14ac:dyDescent="0.2">
      <c r="A364" s="210"/>
      <c r="B364" s="211"/>
      <c r="C364" s="211"/>
      <c r="D364" s="211"/>
      <c r="E364" s="211"/>
      <c r="F364" s="211"/>
      <c r="G364" s="211"/>
      <c r="H364" s="212"/>
    </row>
    <row r="365" spans="1:8" x14ac:dyDescent="0.2">
      <c r="A365" s="210"/>
      <c r="B365" s="211"/>
      <c r="C365" s="211"/>
      <c r="D365" s="211"/>
      <c r="E365" s="211"/>
      <c r="F365" s="211"/>
      <c r="G365" s="211"/>
      <c r="H365" s="212"/>
    </row>
    <row r="366" spans="1:8" x14ac:dyDescent="0.2">
      <c r="A366" s="210"/>
      <c r="B366" s="211"/>
      <c r="C366" s="211"/>
      <c r="D366" s="211"/>
      <c r="E366" s="211"/>
      <c r="F366" s="211"/>
      <c r="G366" s="211"/>
      <c r="H366" s="212"/>
    </row>
    <row r="367" spans="1:8" x14ac:dyDescent="0.2">
      <c r="A367" s="210"/>
      <c r="B367" s="211"/>
      <c r="C367" s="211"/>
      <c r="D367" s="211"/>
      <c r="E367" s="211"/>
      <c r="F367" s="211"/>
      <c r="G367" s="211"/>
      <c r="H367" s="212"/>
    </row>
    <row r="368" spans="1:8" x14ac:dyDescent="0.2">
      <c r="A368" s="210"/>
      <c r="B368" s="211"/>
      <c r="C368" s="211"/>
      <c r="D368" s="211"/>
      <c r="E368" s="211"/>
      <c r="F368" s="211"/>
      <c r="G368" s="211"/>
      <c r="H368" s="212"/>
    </row>
    <row r="369" spans="1:8" x14ac:dyDescent="0.2">
      <c r="A369" s="210"/>
      <c r="B369" s="211"/>
      <c r="C369" s="211"/>
      <c r="D369" s="211"/>
      <c r="E369" s="211"/>
      <c r="F369" s="211"/>
      <c r="G369" s="211"/>
      <c r="H369" s="212"/>
    </row>
    <row r="370" spans="1:8" x14ac:dyDescent="0.2">
      <c r="A370" s="210"/>
      <c r="B370" s="211"/>
      <c r="C370" s="211"/>
      <c r="D370" s="211"/>
      <c r="E370" s="211"/>
      <c r="F370" s="211"/>
      <c r="G370" s="211"/>
      <c r="H370" s="212"/>
    </row>
    <row r="371" spans="1:8" x14ac:dyDescent="0.2">
      <c r="A371" s="210"/>
      <c r="B371" s="211"/>
      <c r="C371" s="211"/>
      <c r="D371" s="211"/>
      <c r="E371" s="211"/>
      <c r="F371" s="211"/>
      <c r="G371" s="211"/>
      <c r="H371" s="212"/>
    </row>
    <row r="372" spans="1:8" x14ac:dyDescent="0.2">
      <c r="A372" s="210"/>
      <c r="B372" s="211"/>
      <c r="C372" s="211"/>
      <c r="D372" s="211"/>
      <c r="E372" s="211"/>
      <c r="F372" s="211"/>
      <c r="G372" s="211"/>
      <c r="H372" s="212"/>
    </row>
    <row r="373" spans="1:8" x14ac:dyDescent="0.2">
      <c r="A373" s="210"/>
      <c r="B373" s="211"/>
      <c r="C373" s="211"/>
      <c r="D373" s="211"/>
      <c r="E373" s="211"/>
      <c r="F373" s="211"/>
      <c r="G373" s="211"/>
      <c r="H373" s="212"/>
    </row>
    <row r="374" spans="1:8" x14ac:dyDescent="0.2">
      <c r="A374" s="210"/>
      <c r="B374" s="211"/>
      <c r="C374" s="211"/>
      <c r="D374" s="211"/>
      <c r="E374" s="211"/>
      <c r="F374" s="211"/>
      <c r="G374" s="211"/>
      <c r="H374" s="212"/>
    </row>
    <row r="375" spans="1:8" x14ac:dyDescent="0.2">
      <c r="A375" s="210"/>
      <c r="B375" s="211"/>
      <c r="C375" s="211"/>
      <c r="D375" s="211"/>
      <c r="E375" s="211"/>
      <c r="F375" s="211"/>
      <c r="G375" s="211"/>
      <c r="H375" s="212"/>
    </row>
    <row r="376" spans="1:8" x14ac:dyDescent="0.2">
      <c r="A376" s="210"/>
      <c r="B376" s="211"/>
      <c r="C376" s="211"/>
      <c r="D376" s="211"/>
      <c r="E376" s="211"/>
      <c r="F376" s="211"/>
      <c r="G376" s="211"/>
      <c r="H376" s="212"/>
    </row>
    <row r="377" spans="1:8" x14ac:dyDescent="0.2">
      <c r="A377" s="213" t="s">
        <v>123</v>
      </c>
      <c r="B377" s="213"/>
      <c r="C377" s="213"/>
      <c r="D377" s="213"/>
      <c r="E377" s="213"/>
      <c r="F377" s="213"/>
      <c r="G377" s="213"/>
      <c r="H377" s="213"/>
    </row>
    <row r="378" spans="1:8" x14ac:dyDescent="0.2">
      <c r="A378" s="210"/>
      <c r="B378" s="211"/>
      <c r="C378" s="211"/>
      <c r="D378" s="211"/>
      <c r="E378" s="211"/>
      <c r="F378" s="211"/>
      <c r="G378" s="211"/>
      <c r="H378" s="212"/>
    </row>
    <row r="379" spans="1:8" x14ac:dyDescent="0.2">
      <c r="A379" s="210"/>
      <c r="B379" s="211"/>
      <c r="C379" s="211"/>
      <c r="D379" s="211"/>
      <c r="E379" s="211"/>
      <c r="F379" s="211"/>
      <c r="G379" s="211"/>
      <c r="H379" s="212"/>
    </row>
    <row r="380" spans="1:8" x14ac:dyDescent="0.2">
      <c r="A380" s="210"/>
      <c r="B380" s="211"/>
      <c r="C380" s="211"/>
      <c r="D380" s="211"/>
      <c r="E380" s="211"/>
      <c r="F380" s="211"/>
      <c r="G380" s="211"/>
      <c r="H380" s="212"/>
    </row>
    <row r="381" spans="1:8" x14ac:dyDescent="0.2">
      <c r="A381" s="210"/>
      <c r="B381" s="211"/>
      <c r="C381" s="211"/>
      <c r="D381" s="211"/>
      <c r="E381" s="211"/>
      <c r="F381" s="211"/>
      <c r="G381" s="211"/>
      <c r="H381" s="212"/>
    </row>
    <row r="382" spans="1:8" x14ac:dyDescent="0.2">
      <c r="A382" s="210"/>
      <c r="B382" s="211"/>
      <c r="C382" s="211"/>
      <c r="D382" s="211"/>
      <c r="E382" s="211"/>
      <c r="F382" s="211"/>
      <c r="G382" s="211"/>
      <c r="H382" s="212"/>
    </row>
    <row r="383" spans="1:8" x14ac:dyDescent="0.2">
      <c r="A383" s="210"/>
      <c r="B383" s="211"/>
      <c r="C383" s="211"/>
      <c r="D383" s="211"/>
      <c r="E383" s="211"/>
      <c r="F383" s="211"/>
      <c r="G383" s="211"/>
      <c r="H383" s="212"/>
    </row>
    <row r="384" spans="1:8" x14ac:dyDescent="0.2">
      <c r="A384" s="210"/>
      <c r="B384" s="211"/>
      <c r="C384" s="211"/>
      <c r="D384" s="211"/>
      <c r="E384" s="211"/>
      <c r="F384" s="211"/>
      <c r="G384" s="211"/>
      <c r="H384" s="212"/>
    </row>
    <row r="385" spans="1:8" x14ac:dyDescent="0.2">
      <c r="A385" s="210"/>
      <c r="B385" s="211"/>
      <c r="C385" s="211"/>
      <c r="D385" s="211"/>
      <c r="E385" s="211"/>
      <c r="F385" s="211"/>
      <c r="G385" s="211"/>
      <c r="H385" s="212"/>
    </row>
    <row r="386" spans="1:8" x14ac:dyDescent="0.2">
      <c r="A386" s="210"/>
      <c r="B386" s="211"/>
      <c r="C386" s="211"/>
      <c r="D386" s="211"/>
      <c r="E386" s="211"/>
      <c r="F386" s="211"/>
      <c r="G386" s="211"/>
      <c r="H386" s="212"/>
    </row>
    <row r="387" spans="1:8" x14ac:dyDescent="0.2">
      <c r="A387" s="210"/>
      <c r="B387" s="211"/>
      <c r="C387" s="211"/>
      <c r="D387" s="211"/>
      <c r="E387" s="211"/>
      <c r="F387" s="211"/>
      <c r="G387" s="211"/>
      <c r="H387" s="212"/>
    </row>
    <row r="388" spans="1:8" x14ac:dyDescent="0.2">
      <c r="A388" s="210"/>
      <c r="B388" s="211"/>
      <c r="C388" s="211"/>
      <c r="D388" s="211"/>
      <c r="E388" s="211"/>
      <c r="F388" s="211"/>
      <c r="G388" s="211"/>
      <c r="H388" s="212"/>
    </row>
    <row r="389" spans="1:8" x14ac:dyDescent="0.2">
      <c r="A389" s="210"/>
      <c r="B389" s="211"/>
      <c r="C389" s="211"/>
      <c r="D389" s="211"/>
      <c r="E389" s="211"/>
      <c r="F389" s="211"/>
      <c r="G389" s="211"/>
      <c r="H389" s="212"/>
    </row>
    <row r="390" spans="1:8" x14ac:dyDescent="0.2">
      <c r="A390" s="210"/>
      <c r="B390" s="211"/>
      <c r="C390" s="211"/>
      <c r="D390" s="211"/>
      <c r="E390" s="211"/>
      <c r="F390" s="211"/>
      <c r="G390" s="211"/>
      <c r="H390" s="212"/>
    </row>
    <row r="391" spans="1:8" x14ac:dyDescent="0.2">
      <c r="A391" s="210"/>
      <c r="B391" s="211"/>
      <c r="C391" s="211"/>
      <c r="D391" s="211"/>
      <c r="E391" s="211"/>
      <c r="F391" s="211"/>
      <c r="G391" s="211"/>
      <c r="H391" s="212"/>
    </row>
    <row r="392" spans="1:8" x14ac:dyDescent="0.2">
      <c r="A392" s="210"/>
      <c r="B392" s="211"/>
      <c r="C392" s="211"/>
      <c r="D392" s="211"/>
      <c r="E392" s="211"/>
      <c r="F392" s="211"/>
      <c r="G392" s="211"/>
      <c r="H392" s="212"/>
    </row>
    <row r="393" spans="1:8" x14ac:dyDescent="0.2">
      <c r="A393" s="210"/>
      <c r="B393" s="211"/>
      <c r="C393" s="211"/>
      <c r="D393" s="211"/>
      <c r="E393" s="211"/>
      <c r="F393" s="211"/>
      <c r="G393" s="211"/>
      <c r="H393" s="212"/>
    </row>
    <row r="394" spans="1:8" x14ac:dyDescent="0.2">
      <c r="A394" s="210"/>
      <c r="B394" s="211"/>
      <c r="C394" s="211"/>
      <c r="D394" s="211"/>
      <c r="E394" s="211"/>
      <c r="F394" s="211"/>
      <c r="G394" s="211"/>
      <c r="H394" s="212"/>
    </row>
    <row r="395" spans="1:8" x14ac:dyDescent="0.2">
      <c r="A395" s="210"/>
      <c r="B395" s="211"/>
      <c r="C395" s="211"/>
      <c r="D395" s="211"/>
      <c r="E395" s="211"/>
      <c r="F395" s="211"/>
      <c r="G395" s="211"/>
      <c r="H395" s="212"/>
    </row>
    <row r="396" spans="1:8" x14ac:dyDescent="0.2">
      <c r="A396" s="210"/>
      <c r="B396" s="211"/>
      <c r="C396" s="211"/>
      <c r="D396" s="211"/>
      <c r="E396" s="211"/>
      <c r="F396" s="211"/>
      <c r="G396" s="211"/>
      <c r="H396" s="212"/>
    </row>
    <row r="397" spans="1:8" x14ac:dyDescent="0.2">
      <c r="A397" s="210"/>
      <c r="B397" s="211"/>
      <c r="C397" s="211"/>
      <c r="D397" s="211"/>
      <c r="E397" s="211"/>
      <c r="F397" s="211"/>
      <c r="G397" s="211"/>
      <c r="H397" s="212"/>
    </row>
    <row r="398" spans="1:8" x14ac:dyDescent="0.2">
      <c r="A398" s="210"/>
      <c r="B398" s="211"/>
      <c r="C398" s="211"/>
      <c r="D398" s="211"/>
      <c r="E398" s="211"/>
      <c r="F398" s="211"/>
      <c r="G398" s="211"/>
      <c r="H398" s="212"/>
    </row>
    <row r="399" spans="1:8" x14ac:dyDescent="0.2">
      <c r="A399" s="210"/>
      <c r="B399" s="211"/>
      <c r="C399" s="211"/>
      <c r="D399" s="211"/>
      <c r="E399" s="211"/>
      <c r="F399" s="211"/>
      <c r="G399" s="211"/>
      <c r="H399" s="212"/>
    </row>
    <row r="400" spans="1:8" x14ac:dyDescent="0.2">
      <c r="A400" s="210"/>
      <c r="B400" s="211"/>
      <c r="C400" s="211"/>
      <c r="D400" s="211"/>
      <c r="E400" s="211"/>
      <c r="F400" s="211"/>
      <c r="G400" s="211"/>
      <c r="H400" s="212"/>
    </row>
    <row r="401" spans="1:8" x14ac:dyDescent="0.2">
      <c r="A401" s="210"/>
      <c r="B401" s="211"/>
      <c r="C401" s="211"/>
      <c r="D401" s="211"/>
      <c r="E401" s="211"/>
      <c r="F401" s="211"/>
      <c r="G401" s="211"/>
      <c r="H401" s="212"/>
    </row>
    <row r="402" spans="1:8" x14ac:dyDescent="0.2">
      <c r="A402" s="210"/>
      <c r="B402" s="211"/>
      <c r="C402" s="211"/>
      <c r="D402" s="211"/>
      <c r="E402" s="211"/>
      <c r="F402" s="211"/>
      <c r="G402" s="211"/>
      <c r="H402" s="212"/>
    </row>
    <row r="403" spans="1:8" x14ac:dyDescent="0.2">
      <c r="A403" s="210"/>
      <c r="B403" s="211"/>
      <c r="C403" s="211"/>
      <c r="D403" s="211"/>
      <c r="E403" s="211"/>
      <c r="F403" s="211"/>
      <c r="G403" s="211"/>
      <c r="H403" s="212"/>
    </row>
    <row r="404" spans="1:8" x14ac:dyDescent="0.2">
      <c r="A404" s="210"/>
      <c r="B404" s="211"/>
      <c r="C404" s="211"/>
      <c r="D404" s="211"/>
      <c r="E404" s="211"/>
      <c r="F404" s="211"/>
      <c r="G404" s="211"/>
      <c r="H404" s="212"/>
    </row>
    <row r="405" spans="1:8" x14ac:dyDescent="0.2">
      <c r="A405" s="210"/>
      <c r="B405" s="211"/>
      <c r="C405" s="211"/>
      <c r="D405" s="211"/>
      <c r="E405" s="211"/>
      <c r="F405" s="211"/>
      <c r="G405" s="211"/>
      <c r="H405" s="212"/>
    </row>
    <row r="406" spans="1:8" x14ac:dyDescent="0.2">
      <c r="A406" s="210"/>
      <c r="B406" s="211"/>
      <c r="C406" s="211"/>
      <c r="D406" s="211"/>
      <c r="E406" s="211"/>
      <c r="F406" s="211"/>
      <c r="G406" s="211"/>
      <c r="H406" s="212"/>
    </row>
    <row r="407" spans="1:8" x14ac:dyDescent="0.2">
      <c r="A407" s="210"/>
      <c r="B407" s="211"/>
      <c r="C407" s="211"/>
      <c r="D407" s="211"/>
      <c r="E407" s="211"/>
      <c r="F407" s="211"/>
      <c r="G407" s="211"/>
      <c r="H407" s="212"/>
    </row>
    <row r="408" spans="1:8" x14ac:dyDescent="0.2">
      <c r="A408" s="210"/>
      <c r="B408" s="211"/>
      <c r="C408" s="211"/>
      <c r="D408" s="211"/>
      <c r="E408" s="211"/>
      <c r="F408" s="211"/>
      <c r="G408" s="211"/>
      <c r="H408" s="212"/>
    </row>
    <row r="409" spans="1:8" x14ac:dyDescent="0.2">
      <c r="A409" s="210"/>
      <c r="B409" s="211"/>
      <c r="C409" s="211"/>
      <c r="D409" s="211"/>
      <c r="E409" s="211"/>
      <c r="F409" s="211"/>
      <c r="G409" s="211"/>
      <c r="H409" s="212"/>
    </row>
    <row r="410" spans="1:8" x14ac:dyDescent="0.2">
      <c r="A410" s="210"/>
      <c r="B410" s="211"/>
      <c r="C410" s="211"/>
      <c r="D410" s="211"/>
      <c r="E410" s="211"/>
      <c r="F410" s="211"/>
      <c r="G410" s="211"/>
      <c r="H410" s="212"/>
    </row>
    <row r="411" spans="1:8" x14ac:dyDescent="0.2">
      <c r="A411" s="210"/>
      <c r="B411" s="211"/>
      <c r="C411" s="211"/>
      <c r="D411" s="211"/>
      <c r="E411" s="211"/>
      <c r="F411" s="211"/>
      <c r="G411" s="211"/>
      <c r="H411" s="212"/>
    </row>
    <row r="412" spans="1:8" x14ac:dyDescent="0.2">
      <c r="A412" s="210"/>
      <c r="B412" s="211"/>
      <c r="C412" s="211"/>
      <c r="D412" s="211"/>
      <c r="E412" s="211"/>
      <c r="F412" s="211"/>
      <c r="G412" s="211"/>
      <c r="H412" s="212"/>
    </row>
    <row r="413" spans="1:8" x14ac:dyDescent="0.2">
      <c r="A413" s="210"/>
      <c r="B413" s="211"/>
      <c r="C413" s="211"/>
      <c r="D413" s="211"/>
      <c r="E413" s="211"/>
      <c r="F413" s="211"/>
      <c r="G413" s="211"/>
      <c r="H413" s="212"/>
    </row>
    <row r="414" spans="1:8" x14ac:dyDescent="0.2">
      <c r="A414" s="210"/>
      <c r="B414" s="211"/>
      <c r="C414" s="211"/>
      <c r="D414" s="211"/>
      <c r="E414" s="211"/>
      <c r="F414" s="211"/>
      <c r="G414" s="211"/>
      <c r="H414" s="212"/>
    </row>
    <row r="415" spans="1:8" x14ac:dyDescent="0.2">
      <c r="A415" s="210"/>
      <c r="B415" s="211"/>
      <c r="C415" s="211"/>
      <c r="D415" s="211"/>
      <c r="E415" s="211"/>
      <c r="F415" s="211"/>
      <c r="G415" s="211"/>
      <c r="H415" s="212"/>
    </row>
    <row r="416" spans="1:8" x14ac:dyDescent="0.2">
      <c r="A416" s="210"/>
      <c r="B416" s="211"/>
      <c r="C416" s="211"/>
      <c r="D416" s="211"/>
      <c r="E416" s="211"/>
      <c r="F416" s="211"/>
      <c r="G416" s="211"/>
      <c r="H416" s="212"/>
    </row>
    <row r="417" spans="1:8" x14ac:dyDescent="0.2">
      <c r="A417" s="210"/>
      <c r="B417" s="211"/>
      <c r="C417" s="211"/>
      <c r="D417" s="211"/>
      <c r="E417" s="211"/>
      <c r="F417" s="211"/>
      <c r="G417" s="211"/>
      <c r="H417" s="212"/>
    </row>
    <row r="418" spans="1:8" x14ac:dyDescent="0.2">
      <c r="A418" s="210"/>
      <c r="B418" s="211"/>
      <c r="C418" s="211"/>
      <c r="D418" s="211"/>
      <c r="E418" s="211"/>
      <c r="F418" s="211"/>
      <c r="G418" s="211"/>
      <c r="H418" s="212"/>
    </row>
    <row r="419" spans="1:8" x14ac:dyDescent="0.2">
      <c r="A419" s="210"/>
      <c r="B419" s="211"/>
      <c r="C419" s="211"/>
      <c r="D419" s="211"/>
      <c r="E419" s="211"/>
      <c r="F419" s="211"/>
      <c r="G419" s="211"/>
      <c r="H419" s="212"/>
    </row>
    <row r="420" spans="1:8" x14ac:dyDescent="0.2">
      <c r="A420" s="210"/>
      <c r="B420" s="211"/>
      <c r="C420" s="211"/>
      <c r="D420" s="211"/>
      <c r="E420" s="211"/>
      <c r="F420" s="211"/>
      <c r="G420" s="211"/>
      <c r="H420" s="212"/>
    </row>
    <row r="421" spans="1:8" x14ac:dyDescent="0.2">
      <c r="A421" s="210"/>
      <c r="B421" s="211"/>
      <c r="C421" s="211"/>
      <c r="D421" s="211"/>
      <c r="E421" s="211"/>
      <c r="F421" s="211"/>
      <c r="G421" s="211"/>
      <c r="H421" s="212"/>
    </row>
    <row r="422" spans="1:8" ht="22.5" customHeight="1" x14ac:dyDescent="0.2">
      <c r="A422" s="210"/>
      <c r="B422" s="211"/>
      <c r="C422" s="211"/>
      <c r="D422" s="211"/>
      <c r="E422" s="211"/>
      <c r="F422" s="211"/>
      <c r="G422" s="211"/>
      <c r="H422" s="212"/>
    </row>
    <row r="423" spans="1:8" ht="55.5" customHeight="1" x14ac:dyDescent="0.2">
      <c r="A423" s="179" t="s">
        <v>120</v>
      </c>
      <c r="B423" s="180"/>
      <c r="C423" s="103" t="s">
        <v>275</v>
      </c>
      <c r="D423" s="104"/>
      <c r="E423" s="131" t="s">
        <v>121</v>
      </c>
      <c r="F423" s="131"/>
      <c r="G423" s="177"/>
      <c r="H423" s="177"/>
    </row>
  </sheetData>
  <mergeCells count="582">
    <mergeCell ref="B275:H275"/>
    <mergeCell ref="A422:H422"/>
    <mergeCell ref="A417:H417"/>
    <mergeCell ref="A418:H418"/>
    <mergeCell ref="A419:H419"/>
    <mergeCell ref="A420:H420"/>
    <mergeCell ref="A421:H421"/>
    <mergeCell ref="A401:H401"/>
    <mergeCell ref="A402:H402"/>
    <mergeCell ref="A403:H403"/>
    <mergeCell ref="A404:H404"/>
    <mergeCell ref="A405:H405"/>
    <mergeCell ref="A406:H406"/>
    <mergeCell ref="A407:H407"/>
    <mergeCell ref="A408:H408"/>
    <mergeCell ref="A409:H409"/>
    <mergeCell ref="A410:H410"/>
    <mergeCell ref="A411:H411"/>
    <mergeCell ref="A412:H412"/>
    <mergeCell ref="A413:H413"/>
    <mergeCell ref="A414:H414"/>
    <mergeCell ref="A415:H415"/>
    <mergeCell ref="A416:H416"/>
    <mergeCell ref="A353:H353"/>
    <mergeCell ref="A354:H354"/>
    <mergeCell ref="A367:H367"/>
    <mergeCell ref="A368:H368"/>
    <mergeCell ref="A399:H399"/>
    <mergeCell ref="A400:H400"/>
    <mergeCell ref="A381:H381"/>
    <mergeCell ref="A382:H382"/>
    <mergeCell ref="A383:H383"/>
    <mergeCell ref="A384:H384"/>
    <mergeCell ref="A385:H385"/>
    <mergeCell ref="A386:H386"/>
    <mergeCell ref="A387:H387"/>
    <mergeCell ref="A388:H388"/>
    <mergeCell ref="A389:H389"/>
    <mergeCell ref="A390:H390"/>
    <mergeCell ref="A391:H391"/>
    <mergeCell ref="A392:H392"/>
    <mergeCell ref="A393:H393"/>
    <mergeCell ref="A394:H394"/>
    <mergeCell ref="A395:H395"/>
    <mergeCell ref="A396:H396"/>
    <mergeCell ref="A397:H397"/>
    <mergeCell ref="A398:H398"/>
    <mergeCell ref="A316:H316"/>
    <mergeCell ref="A317:H317"/>
    <mergeCell ref="A318:H318"/>
    <mergeCell ref="A319:H319"/>
    <mergeCell ref="A377:H377"/>
    <mergeCell ref="A378:H378"/>
    <mergeCell ref="A379:H379"/>
    <mergeCell ref="A380:H380"/>
    <mergeCell ref="A325:H325"/>
    <mergeCell ref="A326:H326"/>
    <mergeCell ref="A320:H320"/>
    <mergeCell ref="A321:H321"/>
    <mergeCell ref="A322:H322"/>
    <mergeCell ref="A323:H323"/>
    <mergeCell ref="A324:H324"/>
    <mergeCell ref="A339:H339"/>
    <mergeCell ref="A340:H340"/>
    <mergeCell ref="A341:H341"/>
    <mergeCell ref="A342:H342"/>
    <mergeCell ref="A343:H343"/>
    <mergeCell ref="A344:H344"/>
    <mergeCell ref="A345:H345"/>
    <mergeCell ref="A346:H346"/>
    <mergeCell ref="A365:H365"/>
    <mergeCell ref="A307:H307"/>
    <mergeCell ref="A308:H308"/>
    <mergeCell ref="A309:H309"/>
    <mergeCell ref="A310:H310"/>
    <mergeCell ref="A311:H311"/>
    <mergeCell ref="A312:H312"/>
    <mergeCell ref="A313:H313"/>
    <mergeCell ref="A314:H314"/>
    <mergeCell ref="A315:H315"/>
    <mergeCell ref="A298:H298"/>
    <mergeCell ref="A299:H299"/>
    <mergeCell ref="A300:H300"/>
    <mergeCell ref="A301:H301"/>
    <mergeCell ref="A302:H302"/>
    <mergeCell ref="A303:H303"/>
    <mergeCell ref="A304:H304"/>
    <mergeCell ref="A305:H305"/>
    <mergeCell ref="A306:H306"/>
    <mergeCell ref="A289:H289"/>
    <mergeCell ref="A290:H290"/>
    <mergeCell ref="A291:H291"/>
    <mergeCell ref="A292:H292"/>
    <mergeCell ref="A293:H293"/>
    <mergeCell ref="A294:H294"/>
    <mergeCell ref="A295:H295"/>
    <mergeCell ref="A296:H296"/>
    <mergeCell ref="A297:H297"/>
    <mergeCell ref="A112:B112"/>
    <mergeCell ref="C61:D61"/>
    <mergeCell ref="A278:H278"/>
    <mergeCell ref="A279:H279"/>
    <mergeCell ref="A280:H280"/>
    <mergeCell ref="A281:H281"/>
    <mergeCell ref="A282:H282"/>
    <mergeCell ref="A283:H283"/>
    <mergeCell ref="A263:H263"/>
    <mergeCell ref="B265:H265"/>
    <mergeCell ref="B266:H266"/>
    <mergeCell ref="B267:H267"/>
    <mergeCell ref="B268:H268"/>
    <mergeCell ref="B270:H270"/>
    <mergeCell ref="B271:H271"/>
    <mergeCell ref="B272:H272"/>
    <mergeCell ref="B273:H273"/>
    <mergeCell ref="A277:B277"/>
    <mergeCell ref="B269:E269"/>
    <mergeCell ref="B274:H274"/>
    <mergeCell ref="C277:H277"/>
    <mergeCell ref="A63:B63"/>
    <mergeCell ref="A64:B64"/>
    <mergeCell ref="F261:H261"/>
    <mergeCell ref="A108:B108"/>
    <mergeCell ref="A110:B110"/>
    <mergeCell ref="G40:H40"/>
    <mergeCell ref="C41:F41"/>
    <mergeCell ref="C44:F44"/>
    <mergeCell ref="G44:H44"/>
    <mergeCell ref="C58:H58"/>
    <mergeCell ref="C59:D59"/>
    <mergeCell ref="C60:D60"/>
    <mergeCell ref="A109:H109"/>
    <mergeCell ref="A65:B65"/>
    <mergeCell ref="A66:B66"/>
    <mergeCell ref="A67:B67"/>
    <mergeCell ref="A68:B68"/>
    <mergeCell ref="A69:B69"/>
    <mergeCell ref="A98:B98"/>
    <mergeCell ref="A100:B100"/>
    <mergeCell ref="A101:B101"/>
    <mergeCell ref="A102:B102"/>
    <mergeCell ref="C52:H52"/>
    <mergeCell ref="A55:H55"/>
    <mergeCell ref="C14:H14"/>
    <mergeCell ref="C15:H15"/>
    <mergeCell ref="C18:E18"/>
    <mergeCell ref="C11:H11"/>
    <mergeCell ref="C12:H12"/>
    <mergeCell ref="A21:B21"/>
    <mergeCell ref="A22:B22"/>
    <mergeCell ref="A23:B23"/>
    <mergeCell ref="A24:B24"/>
    <mergeCell ref="C51:D51"/>
    <mergeCell ref="C42:F42"/>
    <mergeCell ref="C54:D54"/>
    <mergeCell ref="C43:F43"/>
    <mergeCell ref="F18:H18"/>
    <mergeCell ref="A35:B35"/>
    <mergeCell ref="A36:B36"/>
    <mergeCell ref="A11:B11"/>
    <mergeCell ref="A12:B12"/>
    <mergeCell ref="C36:D36"/>
    <mergeCell ref="A15:B15"/>
    <mergeCell ref="G27:H27"/>
    <mergeCell ref="G28:H28"/>
    <mergeCell ref="C35:H35"/>
    <mergeCell ref="G36:H36"/>
    <mergeCell ref="A39:H39"/>
    <mergeCell ref="C40:F40"/>
    <mergeCell ref="A16:B16"/>
    <mergeCell ref="A17:B17"/>
    <mergeCell ref="A18:B18"/>
    <mergeCell ref="A19:B19"/>
    <mergeCell ref="A20:B20"/>
    <mergeCell ref="C38:H38"/>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A5:B5"/>
    <mergeCell ref="E423:F423"/>
    <mergeCell ref="G423:H423"/>
    <mergeCell ref="C98:H98"/>
    <mergeCell ref="A99:H99"/>
    <mergeCell ref="E100:F100"/>
    <mergeCell ref="E101:F101"/>
    <mergeCell ref="E108:F108"/>
    <mergeCell ref="A121:H121"/>
    <mergeCell ref="A330:H330"/>
    <mergeCell ref="A331:H331"/>
    <mergeCell ref="A332:H332"/>
    <mergeCell ref="A333:H333"/>
    <mergeCell ref="A334:H334"/>
    <mergeCell ref="A335:H335"/>
    <mergeCell ref="A336:H336"/>
    <mergeCell ref="A337:H337"/>
    <mergeCell ref="A338:H338"/>
    <mergeCell ref="C327:H327"/>
    <mergeCell ref="A328:H328"/>
    <mergeCell ref="A329:H329"/>
    <mergeCell ref="A366:H366"/>
    <mergeCell ref="A261:E261"/>
    <mergeCell ref="A125:H125"/>
    <mergeCell ref="A221:H221"/>
    <mergeCell ref="E106:F106"/>
    <mergeCell ref="G107:H107"/>
    <mergeCell ref="G108:H108"/>
    <mergeCell ref="E107:F107"/>
    <mergeCell ref="A260:H260"/>
    <mergeCell ref="E102:F102"/>
    <mergeCell ref="E110:F110"/>
    <mergeCell ref="G110:H110"/>
    <mergeCell ref="E111:F111"/>
    <mergeCell ref="G111:H111"/>
    <mergeCell ref="E112:F112"/>
    <mergeCell ref="G112:H112"/>
    <mergeCell ref="C123:C124"/>
    <mergeCell ref="A103:B103"/>
    <mergeCell ref="E119:F119"/>
    <mergeCell ref="A131:B131"/>
    <mergeCell ref="A123:A124"/>
    <mergeCell ref="A234:H234"/>
    <mergeCell ref="A247:H247"/>
    <mergeCell ref="A130:B130"/>
    <mergeCell ref="A104:B104"/>
    <mergeCell ref="A105:B105"/>
    <mergeCell ref="A106:B106"/>
    <mergeCell ref="A107:B107"/>
    <mergeCell ref="A83:B83"/>
    <mergeCell ref="A80:B80"/>
    <mergeCell ref="C64:D64"/>
    <mergeCell ref="A369:H369"/>
    <mergeCell ref="A370:H370"/>
    <mergeCell ref="A371:H371"/>
    <mergeCell ref="A372:H372"/>
    <mergeCell ref="A361:H361"/>
    <mergeCell ref="A362:H362"/>
    <mergeCell ref="A363:H363"/>
    <mergeCell ref="A364:H364"/>
    <mergeCell ref="A347:H347"/>
    <mergeCell ref="A348:H348"/>
    <mergeCell ref="A349:H349"/>
    <mergeCell ref="A350:H350"/>
    <mergeCell ref="A351:H351"/>
    <mergeCell ref="A352:H352"/>
    <mergeCell ref="A355:H355"/>
    <mergeCell ref="G60:H69"/>
    <mergeCell ref="A262:E262"/>
    <mergeCell ref="F262:H262"/>
    <mergeCell ref="E103:F103"/>
    <mergeCell ref="E104:F104"/>
    <mergeCell ref="E105:F105"/>
    <mergeCell ref="A52:B52"/>
    <mergeCell ref="A54:B54"/>
    <mergeCell ref="C63:D63"/>
    <mergeCell ref="C34:D34"/>
    <mergeCell ref="G43:H43"/>
    <mergeCell ref="C45:F45"/>
    <mergeCell ref="G45:H45"/>
    <mergeCell ref="A81:B81"/>
    <mergeCell ref="A82:B82"/>
    <mergeCell ref="G59:H59"/>
    <mergeCell ref="A61:B61"/>
    <mergeCell ref="A62:B62"/>
    <mergeCell ref="A60:B60"/>
    <mergeCell ref="A53:H53"/>
    <mergeCell ref="F54:H54"/>
    <mergeCell ref="C46:H46"/>
    <mergeCell ref="C47:H47"/>
    <mergeCell ref="C48:H48"/>
    <mergeCell ref="E49:H49"/>
    <mergeCell ref="E50:H50"/>
    <mergeCell ref="G41:H41"/>
    <mergeCell ref="C37:H37"/>
    <mergeCell ref="E36:F36"/>
    <mergeCell ref="G42:H42"/>
    <mergeCell ref="C29:H29"/>
    <mergeCell ref="C30:H30"/>
    <mergeCell ref="A37:B37"/>
    <mergeCell ref="A38:B38"/>
    <mergeCell ref="A40:B45"/>
    <mergeCell ref="A46:B46"/>
    <mergeCell ref="A47:B47"/>
    <mergeCell ref="A48:B48"/>
    <mergeCell ref="A49:B51"/>
    <mergeCell ref="E51:H51"/>
    <mergeCell ref="A13:B13"/>
    <mergeCell ref="A14:B14"/>
    <mergeCell ref="C33:D33"/>
    <mergeCell ref="C49:D49"/>
    <mergeCell ref="C50:D50"/>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C3:E3"/>
    <mergeCell ref="C4:E4"/>
    <mergeCell ref="C5:E5"/>
    <mergeCell ref="A79:B79"/>
    <mergeCell ref="A75:B75"/>
    <mergeCell ref="C75:D75"/>
    <mergeCell ref="A76:B76"/>
    <mergeCell ref="C76:D76"/>
    <mergeCell ref="A77:B77"/>
    <mergeCell ref="C77:D77"/>
    <mergeCell ref="A56:D57"/>
    <mergeCell ref="A73:B73"/>
    <mergeCell ref="C73:D73"/>
    <mergeCell ref="C62:D62"/>
    <mergeCell ref="C65:D65"/>
    <mergeCell ref="C66:D66"/>
    <mergeCell ref="C67:D67"/>
    <mergeCell ref="C68:D68"/>
    <mergeCell ref="C69:D69"/>
    <mergeCell ref="A70:D71"/>
    <mergeCell ref="A59:B59"/>
    <mergeCell ref="C97:D97"/>
    <mergeCell ref="C100:D100"/>
    <mergeCell ref="C72:H72"/>
    <mergeCell ref="C101:D101"/>
    <mergeCell ref="C78:D78"/>
    <mergeCell ref="C79:D79"/>
    <mergeCell ref="C80:D80"/>
    <mergeCell ref="C81:D81"/>
    <mergeCell ref="C82:D82"/>
    <mergeCell ref="C83:D83"/>
    <mergeCell ref="C86:H86"/>
    <mergeCell ref="A84:D85"/>
    <mergeCell ref="G73:H73"/>
    <mergeCell ref="A74:B74"/>
    <mergeCell ref="C74:D74"/>
    <mergeCell ref="G74:H83"/>
    <mergeCell ref="A87:B87"/>
    <mergeCell ref="C87:D87"/>
    <mergeCell ref="G87:H87"/>
    <mergeCell ref="A88:B88"/>
    <mergeCell ref="C88:D88"/>
    <mergeCell ref="G88:H97"/>
    <mergeCell ref="A89:B89"/>
    <mergeCell ref="A78:B78"/>
    <mergeCell ref="C89:D89"/>
    <mergeCell ref="A90:B90"/>
    <mergeCell ref="C90:D90"/>
    <mergeCell ref="A91:B91"/>
    <mergeCell ref="C91:D91"/>
    <mergeCell ref="A92:B92"/>
    <mergeCell ref="C92:D92"/>
    <mergeCell ref="A93:B93"/>
    <mergeCell ref="C110:D110"/>
    <mergeCell ref="C93:D93"/>
    <mergeCell ref="C102:D102"/>
    <mergeCell ref="C103:D103"/>
    <mergeCell ref="C104:D104"/>
    <mergeCell ref="C105:D105"/>
    <mergeCell ref="C106:D106"/>
    <mergeCell ref="C107:D107"/>
    <mergeCell ref="C108:D108"/>
    <mergeCell ref="A94:B94"/>
    <mergeCell ref="C94:D94"/>
    <mergeCell ref="A95:B95"/>
    <mergeCell ref="C95:D95"/>
    <mergeCell ref="A96:B96"/>
    <mergeCell ref="C96:D96"/>
    <mergeCell ref="A97:B97"/>
    <mergeCell ref="C111:D111"/>
    <mergeCell ref="C112:D112"/>
    <mergeCell ref="C114:D114"/>
    <mergeCell ref="C115:D115"/>
    <mergeCell ref="C116:D116"/>
    <mergeCell ref="C119:D119"/>
    <mergeCell ref="C120:D120"/>
    <mergeCell ref="D123:D124"/>
    <mergeCell ref="A113:H113"/>
    <mergeCell ref="E114:F114"/>
    <mergeCell ref="G114:H114"/>
    <mergeCell ref="E115:F115"/>
    <mergeCell ref="G115:H115"/>
    <mergeCell ref="E116:F116"/>
    <mergeCell ref="G116:H116"/>
    <mergeCell ref="A117:B117"/>
    <mergeCell ref="C117:D117"/>
    <mergeCell ref="E117:F117"/>
    <mergeCell ref="G117:H117"/>
    <mergeCell ref="A118:B118"/>
    <mergeCell ref="C118:D118"/>
    <mergeCell ref="G118:H118"/>
    <mergeCell ref="A111:B111"/>
    <mergeCell ref="G119:H119"/>
    <mergeCell ref="A143:A144"/>
    <mergeCell ref="C143:C144"/>
    <mergeCell ref="D143:D144"/>
    <mergeCell ref="A114:B114"/>
    <mergeCell ref="A115:B115"/>
    <mergeCell ref="A116:B116"/>
    <mergeCell ref="A119:B119"/>
    <mergeCell ref="A120:B120"/>
    <mergeCell ref="A126:H126"/>
    <mergeCell ref="A127:B127"/>
    <mergeCell ref="A128:B128"/>
    <mergeCell ref="A129:B129"/>
    <mergeCell ref="A132:B132"/>
    <mergeCell ref="A133:B133"/>
    <mergeCell ref="A134:B134"/>
    <mergeCell ref="A135:B135"/>
    <mergeCell ref="E118:F118"/>
    <mergeCell ref="E123:E124"/>
    <mergeCell ref="F123:F124"/>
    <mergeCell ref="A139:B139"/>
    <mergeCell ref="A140:B140"/>
    <mergeCell ref="A141:B141"/>
    <mergeCell ref="E120:F120"/>
    <mergeCell ref="G120:H120"/>
    <mergeCell ref="A217:B217"/>
    <mergeCell ref="A218:B218"/>
    <mergeCell ref="A219:B219"/>
    <mergeCell ref="A220:B220"/>
    <mergeCell ref="A142:H142"/>
    <mergeCell ref="A122:H122"/>
    <mergeCell ref="B123:B124"/>
    <mergeCell ref="B143:B144"/>
    <mergeCell ref="A222:B222"/>
    <mergeCell ref="A208:H208"/>
    <mergeCell ref="A209:B209"/>
    <mergeCell ref="A210:B210"/>
    <mergeCell ref="A211:B211"/>
    <mergeCell ref="A212:B212"/>
    <mergeCell ref="A213:B213"/>
    <mergeCell ref="A214:B214"/>
    <mergeCell ref="A215:B215"/>
    <mergeCell ref="A216:B216"/>
    <mergeCell ref="A136:B136"/>
    <mergeCell ref="A137:B137"/>
    <mergeCell ref="A138:B138"/>
    <mergeCell ref="E143:E144"/>
    <mergeCell ref="F143:F144"/>
    <mergeCell ref="A145:H145"/>
    <mergeCell ref="A360:H360"/>
    <mergeCell ref="A236:B236"/>
    <mergeCell ref="A237:B237"/>
    <mergeCell ref="A238:B238"/>
    <mergeCell ref="A239:B239"/>
    <mergeCell ref="A240:B240"/>
    <mergeCell ref="A241:B241"/>
    <mergeCell ref="A223:B223"/>
    <mergeCell ref="A224:B224"/>
    <mergeCell ref="A225:B225"/>
    <mergeCell ref="A226:B226"/>
    <mergeCell ref="A227:B227"/>
    <mergeCell ref="A228:B228"/>
    <mergeCell ref="A229:B229"/>
    <mergeCell ref="A230:B230"/>
    <mergeCell ref="A231:B231"/>
    <mergeCell ref="A232:B232"/>
    <mergeCell ref="A233:B233"/>
    <mergeCell ref="A235:B235"/>
    <mergeCell ref="A284:H284"/>
    <mergeCell ref="A285:H285"/>
    <mergeCell ref="A286:H286"/>
    <mergeCell ref="A287:H287"/>
    <mergeCell ref="A288:H288"/>
    <mergeCell ref="A166:B166"/>
    <mergeCell ref="A167:B167"/>
    <mergeCell ref="A168:B168"/>
    <mergeCell ref="A169:B169"/>
    <mergeCell ref="A423:B423"/>
    <mergeCell ref="C423:D423"/>
    <mergeCell ref="A327:B327"/>
    <mergeCell ref="A252:B252"/>
    <mergeCell ref="A253:B253"/>
    <mergeCell ref="A254:B254"/>
    <mergeCell ref="A255:B255"/>
    <mergeCell ref="A256:B256"/>
    <mergeCell ref="A257:B257"/>
    <mergeCell ref="A258:B258"/>
    <mergeCell ref="A259:B259"/>
    <mergeCell ref="B264:H264"/>
    <mergeCell ref="A373:H373"/>
    <mergeCell ref="A374:H374"/>
    <mergeCell ref="A375:H375"/>
    <mergeCell ref="A376:H376"/>
    <mergeCell ref="A356:H356"/>
    <mergeCell ref="A357:H357"/>
    <mergeCell ref="A358:H358"/>
    <mergeCell ref="A359:H359"/>
    <mergeCell ref="A201:B201"/>
    <mergeCell ref="A146:H146"/>
    <mergeCell ref="A147:B147"/>
    <mergeCell ref="A148:B148"/>
    <mergeCell ref="A149:H149"/>
    <mergeCell ref="A150:B150"/>
    <mergeCell ref="A151:B151"/>
    <mergeCell ref="A152:B152"/>
    <mergeCell ref="A153:B153"/>
    <mergeCell ref="A154:H154"/>
    <mergeCell ref="A170:B170"/>
    <mergeCell ref="A171:H171"/>
    <mergeCell ref="A172:H172"/>
    <mergeCell ref="A155:H155"/>
    <mergeCell ref="A156:B156"/>
    <mergeCell ref="A157:B157"/>
    <mergeCell ref="A158:B158"/>
    <mergeCell ref="A159:B159"/>
    <mergeCell ref="A160:B160"/>
    <mergeCell ref="A161:B161"/>
    <mergeCell ref="A162:H162"/>
    <mergeCell ref="A163:B163"/>
    <mergeCell ref="A164:B164"/>
    <mergeCell ref="A165:B165"/>
    <mergeCell ref="A251:B251"/>
    <mergeCell ref="A202:B202"/>
    <mergeCell ref="A204:B204"/>
    <mergeCell ref="A207:B207"/>
    <mergeCell ref="A191:B191"/>
    <mergeCell ref="A192:B192"/>
    <mergeCell ref="A203:B203"/>
    <mergeCell ref="A205:B205"/>
    <mergeCell ref="A173:B173"/>
    <mergeCell ref="A174:B174"/>
    <mergeCell ref="A175:H175"/>
    <mergeCell ref="A176:B176"/>
    <mergeCell ref="A177:B177"/>
    <mergeCell ref="A178:B178"/>
    <mergeCell ref="A179:B179"/>
    <mergeCell ref="A180:H180"/>
    <mergeCell ref="A193:B193"/>
    <mergeCell ref="A194:B194"/>
    <mergeCell ref="A195:B195"/>
    <mergeCell ref="A196:H196"/>
    <mergeCell ref="A197:B197"/>
    <mergeCell ref="A198:B198"/>
    <mergeCell ref="A199:B199"/>
    <mergeCell ref="A200:B200"/>
    <mergeCell ref="A206:B206"/>
    <mergeCell ref="A181:H181"/>
    <mergeCell ref="C27:D27"/>
    <mergeCell ref="E27:F27"/>
    <mergeCell ref="C28:D28"/>
    <mergeCell ref="E28:F28"/>
    <mergeCell ref="B276:H276"/>
    <mergeCell ref="A182:B182"/>
    <mergeCell ref="A183:B183"/>
    <mergeCell ref="A184:H184"/>
    <mergeCell ref="A185:B185"/>
    <mergeCell ref="A186:B186"/>
    <mergeCell ref="A187:B187"/>
    <mergeCell ref="A188:B188"/>
    <mergeCell ref="A189:B189"/>
    <mergeCell ref="A190:B190"/>
    <mergeCell ref="A242:B242"/>
    <mergeCell ref="A243:B243"/>
    <mergeCell ref="A244:B244"/>
    <mergeCell ref="A245:B245"/>
    <mergeCell ref="A246:B246"/>
    <mergeCell ref="A248:B248"/>
    <mergeCell ref="A249:B249"/>
    <mergeCell ref="A250:B250"/>
  </mergeCells>
  <dataValidations count="6">
    <dataValidation type="list" allowBlank="1" showInputMessage="1" showErrorMessage="1" sqref="A9:B9">
      <formula1>"CTS No,Survey No,Plot No,Gut No,FP No,"</formula1>
    </dataValidation>
    <dataValidation type="list" allowBlank="1" showInputMessage="1" showErrorMessage="1" sqref="B143">
      <formula1>"Flat No. (Sale Plan),Sale / Rehab,Sale / Mhada"</formula1>
    </dataValidation>
    <dataValidation type="list" allowBlank="1" showInputMessage="1" showErrorMessage="1" sqref="D123 D143">
      <formula1>"Carpet area,RERA Carpet area"</formula1>
    </dataValidation>
    <dataValidation type="list" allowBlank="1" showInputMessage="1" showErrorMessage="1" sqref="E143:E144">
      <formula1>"WS area + Encl Balcony + CB Area,Chajja Area,Cornice Area,AP Area,WS Area"</formula1>
    </dataValidation>
    <dataValidation type="list" allowBlank="1" showInputMessage="1" showErrorMessage="1" sqref="E123:E124">
      <formula1>"Attached Loft area,Attached Otla area,Attached Mezzanine area"</formula1>
    </dataValidation>
    <dataValidation type="list" allowBlank="1" showInputMessage="1" showErrorMessage="1" sqref="B123">
      <formula1>"Shop No. (Sale Plan),Sale / Rehab,Sale / Mhada"</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98" max="7" man="1"/>
    <brk id="276" max="16383" man="1"/>
    <brk id="326" max="16383" man="1"/>
    <brk id="37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47" t="s">
        <v>115</v>
      </c>
      <c r="B1" s="48"/>
      <c r="C1" s="9" t="s">
        <v>60</v>
      </c>
      <c r="D1" s="9" t="s">
        <v>61</v>
      </c>
      <c r="E1" s="9" t="s">
        <v>62</v>
      </c>
      <c r="F1" s="10" t="s">
        <v>48</v>
      </c>
    </row>
    <row r="2" spans="1:8" x14ac:dyDescent="0.25">
      <c r="A2" s="49"/>
      <c r="B2" s="50"/>
      <c r="C2" s="7">
        <v>0</v>
      </c>
      <c r="D2" s="14">
        <v>1</v>
      </c>
      <c r="E2" s="7">
        <v>0</v>
      </c>
      <c r="F2" s="8">
        <f ca="1">--TRIM(RIGHT(SUBSTITUTE(LEFT(A1,_xlfn.AGGREGATE(16,6,FIND({0,1,2,3,4,5,6,7,8,9},A1,ROW(INDIRECT("1:"&amp;LEN(A1)))),1))," ",REPT(" ",LEN(A1))),LEN(A1)))</f>
        <v>3</v>
      </c>
    </row>
    <row r="3" spans="1:8" x14ac:dyDescent="0.25">
      <c r="A3" s="2" t="s">
        <v>63</v>
      </c>
      <c r="B3" s="3" t="s">
        <v>64</v>
      </c>
      <c r="C3" s="12" t="s">
        <v>65</v>
      </c>
      <c r="D3" s="15" t="s">
        <v>58</v>
      </c>
      <c r="E3" s="51" t="s">
        <v>135</v>
      </c>
      <c r="F3" s="52"/>
      <c r="G3" s="24" t="s">
        <v>66</v>
      </c>
      <c r="H3" s="19">
        <f ca="1">F2*25%</f>
        <v>0.75</v>
      </c>
    </row>
    <row r="4" spans="1:8" x14ac:dyDescent="0.25">
      <c r="A4" s="2" t="s">
        <v>67</v>
      </c>
      <c r="B4" s="4">
        <f ca="1">H5</f>
        <v>3</v>
      </c>
      <c r="C4" s="13">
        <f ca="1">((100/F2)*B4)/100</f>
        <v>1</v>
      </c>
      <c r="D4" s="17" t="str">
        <f ca="1">IF(C13=100%,"All work Completed. Possession granted to the Building.",IF(C12=100%,"All work Completed, Waiting for OC",D10&amp;""&amp;D11&amp;""&amp;D9&amp;""&amp;D12&amp;" "&amp;D13))</f>
        <v xml:space="preserve">Excavation, Plinth, RCC Slab, Brickwork Completed </v>
      </c>
      <c r="E4" s="53" t="str">
        <f ca="1">D4</f>
        <v xml:space="preserve">Excavation, Plinth, RCC Slab, Brickwork Completed </v>
      </c>
      <c r="F4" s="54"/>
      <c r="G4" s="1" t="s">
        <v>68</v>
      </c>
      <c r="H4" s="20">
        <f ca="1">F2*50%</f>
        <v>1.5</v>
      </c>
    </row>
    <row r="5" spans="1:8" x14ac:dyDescent="0.25">
      <c r="A5" s="2" t="s">
        <v>69</v>
      </c>
      <c r="B5" s="5">
        <f ca="1">H13</f>
        <v>3</v>
      </c>
      <c r="C5" s="13">
        <f ca="1">((100/F2)*B5)/100</f>
        <v>1</v>
      </c>
      <c r="D5" s="18"/>
      <c r="E5" s="55"/>
      <c r="F5" s="56"/>
      <c r="G5" s="1" t="s">
        <v>70</v>
      </c>
      <c r="H5" s="20">
        <f ca="1">F2</f>
        <v>3</v>
      </c>
    </row>
    <row r="6" spans="1:8" x14ac:dyDescent="0.25">
      <c r="A6" s="2" t="s">
        <v>71</v>
      </c>
      <c r="B6" s="5">
        <v>4</v>
      </c>
      <c r="C6" s="13">
        <f ca="1">((100/(D2+E2+F2))*B6)/100</f>
        <v>1</v>
      </c>
      <c r="D6" s="18"/>
      <c r="E6" s="55"/>
      <c r="F6" s="56"/>
      <c r="G6" s="1" t="s">
        <v>72</v>
      </c>
      <c r="H6" s="21">
        <f ca="1">(IF(C2&gt;1,(F2/(C2+2)),F2/4))</f>
        <v>0.75</v>
      </c>
    </row>
    <row r="7" spans="1:8" x14ac:dyDescent="0.25">
      <c r="A7" s="2" t="s">
        <v>73</v>
      </c>
      <c r="B7" s="4">
        <v>3</v>
      </c>
      <c r="C7" s="13">
        <f ca="1">((100/F2)*B7)/100</f>
        <v>1</v>
      </c>
      <c r="D7" s="18"/>
      <c r="E7" s="55"/>
      <c r="F7" s="56"/>
      <c r="G7" s="1" t="s">
        <v>74</v>
      </c>
      <c r="H7" s="21">
        <f ca="1">(IF(C2&gt;1,(F2/(C2+2)+H6),F2/4+H6))</f>
        <v>1.5</v>
      </c>
    </row>
    <row r="8" spans="1:8" x14ac:dyDescent="0.25">
      <c r="A8" s="2" t="s">
        <v>75</v>
      </c>
      <c r="B8" s="4">
        <v>0</v>
      </c>
      <c r="C8" s="13">
        <f ca="1">((100/F2)*B8)/100</f>
        <v>0</v>
      </c>
      <c r="D8" s="16">
        <f ca="1">(((B5/F2*10)+(40/(D2+E2+F2)*B6)+(15/(F2)*B7)+(5/(F2)*B8)+(5/F2*B9)+(10/F2*B10)+(5/F2*B11)+(5/F2*B12)+(5/F2*B13))/100)</f>
        <v>0.65</v>
      </c>
      <c r="E8" s="55"/>
      <c r="F8" s="56"/>
      <c r="G8" s="1" t="s">
        <v>76</v>
      </c>
      <c r="H8" s="21">
        <f>(IF(C2&gt;1,(F2/(C2+2)+H7),0))</f>
        <v>0</v>
      </c>
    </row>
    <row r="9" spans="1:8" x14ac:dyDescent="0.25">
      <c r="A9" s="2" t="s">
        <v>77</v>
      </c>
      <c r="B9" s="4">
        <v>0</v>
      </c>
      <c r="C9" s="13">
        <f ca="1">((100/(F2))*B9)/100</f>
        <v>0</v>
      </c>
      <c r="D9" s="1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55"/>
      <c r="F9" s="56"/>
      <c r="G9" s="1" t="s">
        <v>78</v>
      </c>
      <c r="H9" s="21">
        <f>(IF(C2&gt;2,(F2/(C2+2)+H8),0))</f>
        <v>0</v>
      </c>
    </row>
    <row r="10" spans="1:8" x14ac:dyDescent="0.25">
      <c r="A10" s="2" t="s">
        <v>79</v>
      </c>
      <c r="B10" s="4">
        <v>0</v>
      </c>
      <c r="C10" s="13">
        <f ca="1">((100/F2)*B10)/100</f>
        <v>0</v>
      </c>
      <c r="D10" s="18" t="str">
        <f ca="1">IF(C4=100%,"Excavation","")&amp;IF(C5=100%,", Plinth","")&amp;IF(C6=100%,", RCC Slab","")&amp;IF(C7=100%,", Brickwork","")&amp;IF(C8=100%,", Internal Plaster","")&amp;IF(C9=100%,", External Plaster","")&amp;IF(C10=100%,", Flooring","")&amp;IF(C11=100%,", Painting","")&amp;IF(C12=100%,", Building common Amenities","")</f>
        <v>Excavation, Plinth, RCC Slab, Brickwork</v>
      </c>
      <c r="E10" s="55"/>
      <c r="F10" s="56"/>
      <c r="G10" s="1" t="s">
        <v>80</v>
      </c>
      <c r="H10" s="22">
        <f>(IF(C2&gt;3,(F2/(C2+2)+H9),0))</f>
        <v>0</v>
      </c>
    </row>
    <row r="11" spans="1:8" x14ac:dyDescent="0.25">
      <c r="A11" s="2" t="s">
        <v>81</v>
      </c>
      <c r="B11" s="4">
        <v>0</v>
      </c>
      <c r="C11" s="13">
        <f ca="1">((100/F2)*B11)/100</f>
        <v>0</v>
      </c>
      <c r="D11" s="18" t="str">
        <f ca="1">IF(D10&lt;&gt;""," Completed","")</f>
        <v xml:space="preserve"> Completed</v>
      </c>
      <c r="E11" s="55"/>
      <c r="F11" s="56"/>
      <c r="G11" s="1" t="s">
        <v>82</v>
      </c>
      <c r="H11" s="21">
        <f>(IF(C2&gt;4,(F2/(C2+2)+H10),0))</f>
        <v>0</v>
      </c>
    </row>
    <row r="12" spans="1:8" x14ac:dyDescent="0.25">
      <c r="A12" s="2" t="s">
        <v>83</v>
      </c>
      <c r="B12" s="4">
        <v>0</v>
      </c>
      <c r="C12" s="13">
        <f ca="1">((100/(F2))*B12)/100</f>
        <v>0</v>
      </c>
      <c r="D12" s="1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55"/>
      <c r="F12" s="56"/>
      <c r="G12" s="1" t="s">
        <v>84</v>
      </c>
      <c r="H12" s="21">
        <f ca="1">(IF(C2=1,(F2/(C2+3)+H7),IF(C2=0,(F2/4+H7),IF(C2&gt;1,0))))</f>
        <v>2.25</v>
      </c>
    </row>
    <row r="13" spans="1:8" ht="15.75" thickBot="1" x14ac:dyDescent="0.3">
      <c r="A13" s="26" t="s">
        <v>85</v>
      </c>
      <c r="B13" s="27">
        <v>0</v>
      </c>
      <c r="C13" s="28">
        <f ca="1">((100/(F2))*B13)/100</f>
        <v>0</v>
      </c>
      <c r="D13" s="29" t="str">
        <f ca="1">IF(D12&lt;&gt;"","Completed","")</f>
        <v/>
      </c>
      <c r="E13" s="57"/>
      <c r="F13" s="58"/>
      <c r="G13" s="25" t="s">
        <v>86</v>
      </c>
      <c r="H13" s="23">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2025-10-04T09:59:17Z</cp:lastPrinted>
  <dcterms:created xsi:type="dcterms:W3CDTF">2019-01-21T04:29:02Z</dcterms:created>
  <dcterms:modified xsi:type="dcterms:W3CDTF">2025-10-04T10:00:16Z</dcterms:modified>
</cp:coreProperties>
</file>