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ruti\Oct 25\Old\"/>
    </mc:Choice>
  </mc:AlternateContent>
  <bookViews>
    <workbookView xWindow="0" yWindow="0" windowWidth="20490" windowHeight="7755"/>
  </bookViews>
  <sheets>
    <sheet name="Report" sheetId="1" r:id="rId1"/>
    <sheet name="C%" sheetId="4" r:id="rId2"/>
  </sheets>
  <definedNames>
    <definedName name="_xlnm.Print_Area" localSheetId="0">Report!$A$1:$H$496</definedName>
  </definedNames>
  <calcPr calcId="152511"/>
</workbook>
</file>

<file path=xl/calcChain.xml><?xml version="1.0" encoding="utf-8"?>
<calcChain xmlns="http://schemas.openxmlformats.org/spreadsheetml/2006/main">
  <c r="G28" i="1" l="1"/>
  <c r="E257" i="1"/>
  <c r="D257" i="1"/>
  <c r="F257" i="1" s="1"/>
  <c r="H257" i="1" s="1"/>
  <c r="E255" i="1"/>
  <c r="D255" i="1"/>
  <c r="E254" i="1"/>
  <c r="D254" i="1"/>
  <c r="F254" i="1" s="1"/>
  <c r="H254" i="1" s="1"/>
  <c r="E253" i="1"/>
  <c r="D253" i="1"/>
  <c r="E252" i="1"/>
  <c r="D252" i="1"/>
  <c r="E251" i="1"/>
  <c r="F251" i="1" s="1"/>
  <c r="H251" i="1" s="1"/>
  <c r="D251" i="1"/>
  <c r="E249" i="1"/>
  <c r="D249" i="1"/>
  <c r="F249" i="1" s="1"/>
  <c r="H249" i="1" s="1"/>
  <c r="E248" i="1"/>
  <c r="D248" i="1"/>
  <c r="E247" i="1"/>
  <c r="D247" i="1"/>
  <c r="F247" i="1" s="1"/>
  <c r="H247" i="1" s="1"/>
  <c r="E246" i="1"/>
  <c r="D246" i="1"/>
  <c r="F246" i="1" s="1"/>
  <c r="H246" i="1" s="1"/>
  <c r="E245" i="1"/>
  <c r="D245" i="1"/>
  <c r="E244" i="1"/>
  <c r="D244" i="1"/>
  <c r="E243" i="1"/>
  <c r="D243" i="1"/>
  <c r="F243" i="1" s="1"/>
  <c r="H243" i="1" s="1"/>
  <c r="E241" i="1"/>
  <c r="D241" i="1"/>
  <c r="F241" i="1" s="1"/>
  <c r="H241" i="1" s="1"/>
  <c r="E240" i="1"/>
  <c r="D240" i="1"/>
  <c r="F240" i="1" s="1"/>
  <c r="H240" i="1" s="1"/>
  <c r="E239" i="1"/>
  <c r="D239" i="1"/>
  <c r="E238" i="1"/>
  <c r="D238" i="1"/>
  <c r="E237" i="1"/>
  <c r="D237" i="1"/>
  <c r="E236" i="1"/>
  <c r="D236" i="1"/>
  <c r="F236" i="1" s="1"/>
  <c r="H236" i="1" s="1"/>
  <c r="E235" i="1"/>
  <c r="D235" i="1"/>
  <c r="C133" i="1" s="1"/>
  <c r="A236" i="1"/>
  <c r="A237" i="1" s="1"/>
  <c r="A238" i="1" s="1"/>
  <c r="A239" i="1" s="1"/>
  <c r="A240" i="1" s="1"/>
  <c r="A241" i="1" s="1"/>
  <c r="A244" i="1"/>
  <c r="A245" i="1" s="1"/>
  <c r="A246" i="1" s="1"/>
  <c r="A247" i="1" s="1"/>
  <c r="A248" i="1" s="1"/>
  <c r="A249" i="1" s="1"/>
  <c r="F255" i="1"/>
  <c r="H255" i="1" s="1"/>
  <c r="A252" i="1"/>
  <c r="A253" i="1" s="1"/>
  <c r="A254" i="1" s="1"/>
  <c r="A255" i="1" s="1"/>
  <c r="A256" i="1" s="1"/>
  <c r="A257" i="1" s="1"/>
  <c r="E230" i="1"/>
  <c r="D230" i="1"/>
  <c r="E229" i="1"/>
  <c r="D229" i="1"/>
  <c r="E228" i="1"/>
  <c r="D228" i="1"/>
  <c r="E227" i="1"/>
  <c r="D227" i="1"/>
  <c r="E226" i="1"/>
  <c r="D226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7" i="1"/>
  <c r="D217" i="1"/>
  <c r="E216" i="1"/>
  <c r="D216" i="1"/>
  <c r="E215" i="1"/>
  <c r="D215" i="1"/>
  <c r="E214" i="1"/>
  <c r="D214" i="1"/>
  <c r="C132" i="1" s="1"/>
  <c r="A213" i="1"/>
  <c r="A214" i="1" s="1"/>
  <c r="A215" i="1" s="1"/>
  <c r="A216" i="1" s="1"/>
  <c r="A217" i="1" s="1"/>
  <c r="A220" i="1"/>
  <c r="A221" i="1" s="1"/>
  <c r="A222" i="1" s="1"/>
  <c r="A223" i="1" s="1"/>
  <c r="A224" i="1" s="1"/>
  <c r="A227" i="1"/>
  <c r="A228" i="1" s="1"/>
  <c r="A229" i="1" s="1"/>
  <c r="A230" i="1" s="1"/>
  <c r="A231" i="1" s="1"/>
  <c r="E208" i="1"/>
  <c r="D208" i="1"/>
  <c r="E207" i="1"/>
  <c r="D207" i="1"/>
  <c r="E206" i="1"/>
  <c r="D206" i="1"/>
  <c r="E204" i="1"/>
  <c r="D204" i="1"/>
  <c r="E203" i="1"/>
  <c r="D203" i="1"/>
  <c r="A204" i="1"/>
  <c r="A205" i="1" s="1"/>
  <c r="A206" i="1" s="1"/>
  <c r="A207" i="1" s="1"/>
  <c r="A208" i="1" s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4" i="1"/>
  <c r="D194" i="1"/>
  <c r="E193" i="1"/>
  <c r="D193" i="1"/>
  <c r="E192" i="1"/>
  <c r="D192" i="1"/>
  <c r="E191" i="1"/>
  <c r="D191" i="1"/>
  <c r="E189" i="1"/>
  <c r="D189" i="1"/>
  <c r="C131" i="1" s="1"/>
  <c r="A190" i="1"/>
  <c r="A191" i="1" s="1"/>
  <c r="A192" i="1" s="1"/>
  <c r="A193" i="1" s="1"/>
  <c r="A194" i="1" s="1"/>
  <c r="A197" i="1"/>
  <c r="A198" i="1" s="1"/>
  <c r="A199" i="1" s="1"/>
  <c r="A200" i="1" s="1"/>
  <c r="A201" i="1" s="1"/>
  <c r="E185" i="1"/>
  <c r="D185" i="1"/>
  <c r="E184" i="1"/>
  <c r="D184" i="1"/>
  <c r="E183" i="1"/>
  <c r="D183" i="1"/>
  <c r="E182" i="1"/>
  <c r="D182" i="1"/>
  <c r="E181" i="1"/>
  <c r="D181" i="1"/>
  <c r="E179" i="1"/>
  <c r="D179" i="1"/>
  <c r="E178" i="1"/>
  <c r="D178" i="1"/>
  <c r="A179" i="1"/>
  <c r="A180" i="1" s="1"/>
  <c r="A181" i="1" s="1"/>
  <c r="A182" i="1" s="1"/>
  <c r="A183" i="1" s="1"/>
  <c r="A184" i="1" s="1"/>
  <c r="A185" i="1" s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A170" i="1"/>
  <c r="A171" i="1" s="1"/>
  <c r="A172" i="1" s="1"/>
  <c r="A173" i="1" s="1"/>
  <c r="A174" i="1" s="1"/>
  <c r="A175" i="1" s="1"/>
  <c r="A176" i="1" s="1"/>
  <c r="F266" i="1"/>
  <c r="H266" i="1" s="1"/>
  <c r="F265" i="1"/>
  <c r="H265" i="1" s="1"/>
  <c r="F264" i="1"/>
  <c r="H264" i="1" s="1"/>
  <c r="F263" i="1"/>
  <c r="H263" i="1" s="1"/>
  <c r="F262" i="1"/>
  <c r="H262" i="1" s="1"/>
  <c r="F261" i="1"/>
  <c r="H261" i="1" s="1"/>
  <c r="F260" i="1"/>
  <c r="H260" i="1" s="1"/>
  <c r="A260" i="1"/>
  <c r="A261" i="1" s="1"/>
  <c r="A262" i="1" s="1"/>
  <c r="A263" i="1" s="1"/>
  <c r="A264" i="1" s="1"/>
  <c r="A265" i="1" s="1"/>
  <c r="A266" i="1" s="1"/>
  <c r="F259" i="1"/>
  <c r="H259" i="1" s="1"/>
  <c r="E163" i="1"/>
  <c r="D163" i="1"/>
  <c r="E162" i="1"/>
  <c r="D162" i="1"/>
  <c r="E161" i="1"/>
  <c r="D161" i="1"/>
  <c r="E160" i="1"/>
  <c r="D160" i="1"/>
  <c r="C130" i="1" s="1"/>
  <c r="C134" i="1" s="1"/>
  <c r="A161" i="1"/>
  <c r="A162" i="1" s="1"/>
  <c r="A163" i="1" s="1"/>
  <c r="A164" i="1" s="1"/>
  <c r="A165" i="1" s="1"/>
  <c r="A166" i="1" s="1"/>
  <c r="A167" i="1" s="1"/>
  <c r="J110" i="1"/>
  <c r="J109" i="1"/>
  <c r="J108" i="1"/>
  <c r="J107" i="1"/>
  <c r="J96" i="1"/>
  <c r="J95" i="1"/>
  <c r="J94" i="1"/>
  <c r="J93" i="1"/>
  <c r="J82" i="1"/>
  <c r="J81" i="1"/>
  <c r="J80" i="1"/>
  <c r="J79" i="1"/>
  <c r="H48" i="1"/>
  <c r="G41" i="1"/>
  <c r="H72" i="1"/>
  <c r="H86" i="1"/>
  <c r="H100" i="1"/>
  <c r="F238" i="1" l="1"/>
  <c r="H238" i="1" s="1"/>
  <c r="F245" i="1"/>
  <c r="H245" i="1" s="1"/>
  <c r="F252" i="1"/>
  <c r="H252" i="1" s="1"/>
  <c r="F237" i="1"/>
  <c r="H237" i="1" s="1"/>
  <c r="F235" i="1"/>
  <c r="F239" i="1"/>
  <c r="H239" i="1" s="1"/>
  <c r="F244" i="1"/>
  <c r="H244" i="1" s="1"/>
  <c r="F248" i="1"/>
  <c r="H248" i="1" s="1"/>
  <c r="F253" i="1"/>
  <c r="H253" i="1" s="1"/>
  <c r="F216" i="1"/>
  <c r="H216" i="1" s="1"/>
  <c r="F226" i="1"/>
  <c r="H226" i="1" s="1"/>
  <c r="F230" i="1"/>
  <c r="H230" i="1" s="1"/>
  <c r="F196" i="1"/>
  <c r="H196" i="1" s="1"/>
  <c r="F200" i="1"/>
  <c r="H200" i="1" s="1"/>
  <c r="F217" i="1"/>
  <c r="H217" i="1" s="1"/>
  <c r="F222" i="1"/>
  <c r="H222" i="1" s="1"/>
  <c r="F227" i="1"/>
  <c r="H227" i="1" s="1"/>
  <c r="F206" i="1"/>
  <c r="H206" i="1" s="1"/>
  <c r="F219" i="1"/>
  <c r="H219" i="1" s="1"/>
  <c r="F223" i="1"/>
  <c r="H223" i="1" s="1"/>
  <c r="F194" i="1"/>
  <c r="H194" i="1" s="1"/>
  <c r="F208" i="1"/>
  <c r="H208" i="1" s="1"/>
  <c r="F204" i="1"/>
  <c r="H204" i="1" s="1"/>
  <c r="F215" i="1"/>
  <c r="H215" i="1" s="1"/>
  <c r="F220" i="1"/>
  <c r="H220" i="1" s="1"/>
  <c r="F224" i="1"/>
  <c r="H224" i="1" s="1"/>
  <c r="F229" i="1"/>
  <c r="H229" i="1" s="1"/>
  <c r="F207" i="1"/>
  <c r="H207" i="1" s="1"/>
  <c r="F193" i="1"/>
  <c r="H193" i="1" s="1"/>
  <c r="F214" i="1"/>
  <c r="F228" i="1"/>
  <c r="H228" i="1" s="1"/>
  <c r="F221" i="1"/>
  <c r="H221" i="1" s="1"/>
  <c r="F189" i="1"/>
  <c r="F182" i="1"/>
  <c r="H182" i="1" s="1"/>
  <c r="F201" i="1"/>
  <c r="H201" i="1" s="1"/>
  <c r="F203" i="1"/>
  <c r="H203" i="1" s="1"/>
  <c r="F191" i="1"/>
  <c r="H191" i="1" s="1"/>
  <c r="F179" i="1"/>
  <c r="H179" i="1" s="1"/>
  <c r="F184" i="1"/>
  <c r="H184" i="1" s="1"/>
  <c r="F161" i="1"/>
  <c r="H161" i="1" s="1"/>
  <c r="F192" i="1"/>
  <c r="H192" i="1" s="1"/>
  <c r="F197" i="1"/>
  <c r="H197" i="1" s="1"/>
  <c r="F181" i="1"/>
  <c r="H181" i="1" s="1"/>
  <c r="F198" i="1"/>
  <c r="H198" i="1" s="1"/>
  <c r="F199" i="1"/>
  <c r="H199" i="1" s="1"/>
  <c r="F170" i="1"/>
  <c r="H170" i="1" s="1"/>
  <c r="F174" i="1"/>
  <c r="H174" i="1" s="1"/>
  <c r="F176" i="1"/>
  <c r="H176" i="1" s="1"/>
  <c r="F178" i="1"/>
  <c r="H178" i="1" s="1"/>
  <c r="F183" i="1"/>
  <c r="H183" i="1" s="1"/>
  <c r="F169" i="1"/>
  <c r="H169" i="1" s="1"/>
  <c r="F185" i="1"/>
  <c r="H185" i="1" s="1"/>
  <c r="F171" i="1"/>
  <c r="H171" i="1" s="1"/>
  <c r="F175" i="1"/>
  <c r="H175" i="1" s="1"/>
  <c r="F163" i="1"/>
  <c r="H163" i="1" s="1"/>
  <c r="F172" i="1"/>
  <c r="H172" i="1" s="1"/>
  <c r="F173" i="1"/>
  <c r="H173" i="1" s="1"/>
  <c r="F162" i="1"/>
  <c r="H162" i="1" s="1"/>
  <c r="F160" i="1"/>
  <c r="F112" i="1"/>
  <c r="F108" i="1"/>
  <c r="J104" i="1"/>
  <c r="E103" i="1" s="1"/>
  <c r="F103" i="1" s="1"/>
  <c r="J103" i="1"/>
  <c r="F111" i="1"/>
  <c r="F107" i="1"/>
  <c r="F110" i="1"/>
  <c r="F106" i="1"/>
  <c r="J102" i="1"/>
  <c r="F105" i="1"/>
  <c r="J105" i="1"/>
  <c r="J106" i="1" s="1"/>
  <c r="J111" i="1" s="1"/>
  <c r="J112" i="1" s="1"/>
  <c r="E104" i="1" s="1"/>
  <c r="G103" i="1" s="1"/>
  <c r="F109" i="1"/>
  <c r="F98" i="1"/>
  <c r="F94" i="1"/>
  <c r="F93" i="1"/>
  <c r="J89" i="1"/>
  <c r="F97" i="1"/>
  <c r="F96" i="1"/>
  <c r="F92" i="1"/>
  <c r="J88" i="1"/>
  <c r="J90" i="1"/>
  <c r="E89" i="1" s="1"/>
  <c r="F89" i="1" s="1"/>
  <c r="J91" i="1"/>
  <c r="J92" i="1" s="1"/>
  <c r="J97" i="1" s="1"/>
  <c r="J98" i="1" s="1"/>
  <c r="E90" i="1" s="1"/>
  <c r="G89" i="1" s="1"/>
  <c r="F95" i="1"/>
  <c r="F91" i="1"/>
  <c r="F84" i="1"/>
  <c r="F80" i="1"/>
  <c r="J75" i="1"/>
  <c r="F78" i="1"/>
  <c r="F77" i="1"/>
  <c r="J76" i="1"/>
  <c r="E75" i="1" s="1"/>
  <c r="F75" i="1" s="1"/>
  <c r="F83" i="1"/>
  <c r="F79" i="1"/>
  <c r="J74" i="1"/>
  <c r="F81" i="1"/>
  <c r="F82" i="1"/>
  <c r="J77" i="1"/>
  <c r="J78" i="1" s="1"/>
  <c r="J83" i="1" s="1"/>
  <c r="J84" i="1" s="1"/>
  <c r="E76" i="1" s="1"/>
  <c r="G75" i="1" s="1"/>
  <c r="H160" i="1" l="1"/>
  <c r="G130" i="1" s="1"/>
  <c r="E130" i="1"/>
  <c r="H189" i="1"/>
  <c r="G131" i="1" s="1"/>
  <c r="E131" i="1"/>
  <c r="H214" i="1"/>
  <c r="G132" i="1" s="1"/>
  <c r="E132" i="1"/>
  <c r="H235" i="1"/>
  <c r="G133" i="1" s="1"/>
  <c r="E133" i="1"/>
  <c r="F104" i="1"/>
  <c r="I99" i="1"/>
  <c r="C101" i="1" s="1"/>
  <c r="F90" i="1"/>
  <c r="I85" i="1"/>
  <c r="C87" i="1" s="1"/>
  <c r="F76" i="1"/>
  <c r="I71" i="1"/>
  <c r="C73" i="1" s="1"/>
  <c r="G134" i="1" l="1"/>
  <c r="E134" i="1"/>
  <c r="F331" i="1"/>
  <c r="A327" i="1"/>
  <c r="A328" i="1" s="1"/>
  <c r="A329" i="1" s="1"/>
  <c r="A330" i="1" s="1"/>
  <c r="A331" i="1" s="1"/>
  <c r="A332" i="1" s="1"/>
  <c r="A333" i="1" s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295" i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282" i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69" i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F318" i="1"/>
  <c r="H318" i="1" s="1"/>
  <c r="F317" i="1"/>
  <c r="H317" i="1" s="1"/>
  <c r="F316" i="1"/>
  <c r="H316" i="1" s="1"/>
  <c r="F315" i="1"/>
  <c r="H315" i="1" s="1"/>
  <c r="F314" i="1"/>
  <c r="H314" i="1" s="1"/>
  <c r="F313" i="1"/>
  <c r="H313" i="1" s="1"/>
  <c r="F312" i="1"/>
  <c r="H312" i="1" s="1"/>
  <c r="F311" i="1"/>
  <c r="H311" i="1" s="1"/>
  <c r="F310" i="1"/>
  <c r="H310" i="1" s="1"/>
  <c r="F309" i="1"/>
  <c r="H309" i="1" s="1"/>
  <c r="F308" i="1"/>
  <c r="H308" i="1" s="1"/>
  <c r="F307" i="1"/>
  <c r="H307" i="1" s="1"/>
  <c r="F305" i="1"/>
  <c r="H305" i="1" s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98" i="1"/>
  <c r="H298" i="1" s="1"/>
  <c r="F297" i="1"/>
  <c r="H297" i="1" s="1"/>
  <c r="F296" i="1"/>
  <c r="H296" i="1" s="1"/>
  <c r="F295" i="1"/>
  <c r="H295" i="1" s="1"/>
  <c r="F294" i="1"/>
  <c r="H294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143" i="1"/>
  <c r="H143" i="1" s="1"/>
  <c r="F144" i="1"/>
  <c r="F145" i="1"/>
  <c r="H145" i="1" s="1"/>
  <c r="F146" i="1"/>
  <c r="F147" i="1"/>
  <c r="F148" i="1"/>
  <c r="F149" i="1"/>
  <c r="F150" i="1"/>
  <c r="F151" i="1"/>
  <c r="F152" i="1"/>
  <c r="F153" i="1"/>
  <c r="F142" i="1"/>
  <c r="H142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A334" i="1" l="1"/>
  <c r="A335" i="1" s="1"/>
  <c r="A336" i="1" s="1"/>
  <c r="A337" i="1" s="1"/>
  <c r="E127" i="1"/>
  <c r="C127" i="1"/>
  <c r="C135" i="1" s="1"/>
  <c r="E135" i="1" l="1"/>
  <c r="C8" i="1"/>
  <c r="J68" i="1" l="1"/>
  <c r="J67" i="1"/>
  <c r="J66" i="1"/>
  <c r="J65" i="1"/>
  <c r="H58" i="1"/>
  <c r="J62" i="1" l="1"/>
  <c r="E61" i="1" s="1"/>
  <c r="F61" i="1" s="1"/>
  <c r="J60" i="1"/>
  <c r="F65" i="1"/>
  <c r="F70" i="1"/>
  <c r="F64" i="1"/>
  <c r="J63" i="1"/>
  <c r="J64" i="1" s="1"/>
  <c r="J69" i="1" s="1"/>
  <c r="J70" i="1" s="1"/>
  <c r="E62" i="1" s="1"/>
  <c r="F62" i="1" s="1"/>
  <c r="F66" i="1"/>
  <c r="F69" i="1"/>
  <c r="F63" i="1"/>
  <c r="F67" i="1"/>
  <c r="F68" i="1"/>
  <c r="J61" i="1"/>
  <c r="G61" i="1" l="1"/>
  <c r="I57" i="1" s="1"/>
  <c r="C59" i="1" s="1"/>
  <c r="H144" i="1" l="1"/>
  <c r="H146" i="1"/>
  <c r="H147" i="1"/>
  <c r="H148" i="1"/>
  <c r="H149" i="1"/>
  <c r="H150" i="1"/>
  <c r="H151" i="1"/>
  <c r="H152" i="1"/>
  <c r="H153" i="1"/>
  <c r="G127" i="1" l="1"/>
  <c r="G42" i="1"/>
  <c r="G135" i="1" l="1"/>
  <c r="G5" i="1"/>
  <c r="G43" i="1" l="1"/>
  <c r="G44" i="1" s="1"/>
  <c r="H11" i="4" l="1"/>
  <c r="H10" i="4"/>
  <c r="H9" i="4"/>
  <c r="H8" i="4"/>
  <c r="F2" i="4"/>
  <c r="C12" i="4" l="1"/>
  <c r="C8" i="4"/>
  <c r="C11" i="4"/>
  <c r="C7" i="4"/>
  <c r="H6" i="4"/>
  <c r="H7" i="4" s="1"/>
  <c r="H12" i="4" s="1"/>
  <c r="H13" i="4" s="1"/>
  <c r="B5" i="4" s="1"/>
  <c r="C13" i="4"/>
  <c r="H3" i="4"/>
  <c r="H4" i="4"/>
  <c r="C10" i="4"/>
  <c r="D12" i="4"/>
  <c r="C9" i="4"/>
  <c r="H5" i="4"/>
  <c r="B4" i="4" s="1"/>
  <c r="C4" i="4" l="1"/>
  <c r="D9" i="4" s="1"/>
  <c r="C6" i="4"/>
  <c r="D13" i="4"/>
  <c r="D8" i="4"/>
  <c r="C5" i="4"/>
  <c r="D10" i="4" l="1"/>
  <c r="D11" i="4" l="1"/>
  <c r="D4" i="4" s="1"/>
  <c r="E4" i="4" s="1"/>
  <c r="C338" i="1" l="1"/>
</calcChain>
</file>

<file path=xl/comments1.xml><?xml version="1.0" encoding="utf-8"?>
<comments xmlns="http://schemas.openxmlformats.org/spreadsheetml/2006/main">
  <authors>
    <author>SACHIN</author>
    <author>Windows User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As per CC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Take address from CC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Builder's office address from RERA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Provided during initiation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1" shapeId="0">
      <text>
        <r>
          <rPr>
            <b/>
            <sz val="11"/>
            <color indexed="81"/>
            <rFont val="Tahoma"/>
            <family val="2"/>
          </rPr>
          <t xml:space="preserve">Authority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Apartments or 
Apartments + Shops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15% of Total No of Flats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height should also be mentioned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RERA Start date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</rPr>
          <t>if multiple buildings are in project and are connected internally</t>
        </r>
      </text>
    </comment>
    <comment ref="C117" authorId="0" shapeId="0">
      <text>
        <r>
          <rPr>
            <b/>
            <sz val="9"/>
            <color indexed="81"/>
            <rFont val="Tahoma"/>
            <family val="2"/>
          </rPr>
          <t>AAC Block or Brick</t>
        </r>
      </text>
    </comment>
    <comment ref="H119" authorId="0" shapeId="0">
      <text>
        <r>
          <rPr>
            <b/>
            <sz val="9"/>
            <color indexed="81"/>
            <rFont val="Tahoma"/>
            <family val="2"/>
          </rPr>
          <t>If present on slopy area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<sst xmlns="http://schemas.openxmlformats.org/spreadsheetml/2006/main" count="636" uniqueCount="304">
  <si>
    <t>Name of the project</t>
  </si>
  <si>
    <t xml:space="preserve">Address </t>
  </si>
  <si>
    <t>Name of the builder / developer</t>
  </si>
  <si>
    <t xml:space="preserve">Office address (agreement) </t>
  </si>
  <si>
    <t>Builder Bank Details</t>
  </si>
  <si>
    <t>Contact No.</t>
  </si>
  <si>
    <t>Village</t>
  </si>
  <si>
    <t>Other HFC's Approval / Funding</t>
  </si>
  <si>
    <t>No. of Tenements / Units in Project</t>
  </si>
  <si>
    <t>Verification of the schedule of the property</t>
  </si>
  <si>
    <t>Sale deed</t>
  </si>
  <si>
    <t>Physical on site</t>
  </si>
  <si>
    <t>North</t>
  </si>
  <si>
    <t>South</t>
  </si>
  <si>
    <t>East</t>
  </si>
  <si>
    <t>West</t>
  </si>
  <si>
    <t>Verification of survey No. (Title document)</t>
  </si>
  <si>
    <t xml:space="preserve">Approach road </t>
  </si>
  <si>
    <t>Yes/No</t>
  </si>
  <si>
    <t>Layout approval if applicable</t>
  </si>
  <si>
    <t>Building height / No. of Floors</t>
  </si>
  <si>
    <t>Construction/Building Permission</t>
  </si>
  <si>
    <t>NA / Land conversion</t>
  </si>
  <si>
    <t>CONSTRUCTION PROGRESS</t>
  </si>
  <si>
    <t>Baseline start date</t>
  </si>
  <si>
    <t>Baseline finish date</t>
  </si>
  <si>
    <t>General comment on progress</t>
  </si>
  <si>
    <t>QUALITY/NDMC Parameters</t>
  </si>
  <si>
    <t>Type of Structure</t>
  </si>
  <si>
    <t>Expansion Joint Available</t>
  </si>
  <si>
    <t>Mortar Type</t>
  </si>
  <si>
    <t>Flood Prone Area</t>
  </si>
  <si>
    <t>Masonry Type</t>
  </si>
  <si>
    <t>Projected Parts Available</t>
  </si>
  <si>
    <t>Footing Type</t>
  </si>
  <si>
    <t>Fire Exit Available</t>
  </si>
  <si>
    <t>Soil Type</t>
  </si>
  <si>
    <t>Ground Slope &gt;20%</t>
  </si>
  <si>
    <t>Concrete Grade</t>
  </si>
  <si>
    <t>Ground Slope Vulnerable to land slide</t>
  </si>
  <si>
    <t>Steel Grade</t>
  </si>
  <si>
    <t>Soil liquefiable</t>
  </si>
  <si>
    <t>Cyclone Zone-Wind speed (m/s)</t>
  </si>
  <si>
    <t>Coastal regulatory Zone</t>
  </si>
  <si>
    <t>Seismic Zone</t>
  </si>
  <si>
    <t>Environment exposure condition</t>
  </si>
  <si>
    <t>BUILDING / BLOCK - Configuration Details</t>
  </si>
  <si>
    <t>Floors</t>
  </si>
  <si>
    <t>REMARKS ON RECOMMENDATION</t>
  </si>
  <si>
    <t>RERA No.-</t>
  </si>
  <si>
    <t>Cement &amp; Sand</t>
  </si>
  <si>
    <t>RCC</t>
  </si>
  <si>
    <t>Yes</t>
  </si>
  <si>
    <t>No</t>
  </si>
  <si>
    <t>Moderate</t>
  </si>
  <si>
    <t>III</t>
  </si>
  <si>
    <t>1BHK</t>
  </si>
  <si>
    <t>Progress %</t>
  </si>
  <si>
    <t>Construction details:</t>
  </si>
  <si>
    <t>Basement</t>
  </si>
  <si>
    <t>Ground</t>
  </si>
  <si>
    <t>Podium</t>
  </si>
  <si>
    <t>Type of Work</t>
  </si>
  <si>
    <t>Slab/Floor</t>
  </si>
  <si>
    <t>Complition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</si>
  <si>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</si>
  <si>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</si>
  <si>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</si>
  <si>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</si>
  <si>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</si>
  <si>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</si>
  <si>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</si>
  <si>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</si>
  <si>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</si>
  <si>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</si>
  <si>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</si>
  <si>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</si>
  <si>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</si>
  <si>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</si>
  <si>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</si>
  <si>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</si>
  <si>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</si>
  <si>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</si>
  <si>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</si>
  <si>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</si>
  <si>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</si>
  <si>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APF Valuation Report </t>
  </si>
  <si>
    <t>Approved Plan</t>
  </si>
  <si>
    <t>Location of the project 
Municipal Limit :</t>
  </si>
  <si>
    <t>Project Type
(Apartments/Plot/ Combined)</t>
  </si>
  <si>
    <t>Geo Coordinates</t>
  </si>
  <si>
    <t>Landmark</t>
  </si>
  <si>
    <t>None</t>
  </si>
  <si>
    <t>No of Wings / Buildings</t>
  </si>
  <si>
    <t>Description</t>
  </si>
  <si>
    <t xml:space="preserve">Approval Detail : Plan approval 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</si>
  <si>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</si>
  <si>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</si>
  <si>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</si>
  <si>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</si>
  <si>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</si>
  <si>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Building plan approvals - Approval No :</t>
  </si>
  <si>
    <t>Project Details</t>
  </si>
  <si>
    <t xml:space="preserve">Name of Valuation Agency </t>
  </si>
  <si>
    <t>Date of
Initiation</t>
  </si>
  <si>
    <t>Date &amp; Time of Site Visit</t>
  </si>
  <si>
    <t>Date of Report
Release</t>
  </si>
  <si>
    <t xml:space="preserve">Branch Name/ID </t>
  </si>
  <si>
    <t>Name of the person met at site &amp; Contact No</t>
  </si>
  <si>
    <t>V.S.JADON &amp; CO VALUERS LLP</t>
  </si>
  <si>
    <t>Builder Office Verified</t>
  </si>
  <si>
    <t>Name of the authority :</t>
  </si>
  <si>
    <t>Reference No :</t>
  </si>
  <si>
    <t>Validity &amp; area :
mentioned</t>
  </si>
  <si>
    <t xml:space="preserve"> Building No.4 = G + 3rd Floor</t>
  </si>
  <si>
    <t xml:space="preserve">Speed of Construction is Average. </t>
  </si>
  <si>
    <t>Recommended Rates of the Property :</t>
  </si>
  <si>
    <t>Recommended rate of the flat Per Sq. Ft. ( on Saleable area)</t>
  </si>
  <si>
    <t>Recommended of Parking ( If Available)</t>
  </si>
  <si>
    <t>Name of Engineer Visited the property</t>
  </si>
  <si>
    <t>Photographs Of Property :</t>
  </si>
  <si>
    <t xml:space="preserve">Google Map : </t>
  </si>
  <si>
    <t>Isolated Footing</t>
  </si>
  <si>
    <t>FE415</t>
  </si>
  <si>
    <t>Connectivity</t>
  </si>
  <si>
    <t>Exposure Limit
(Proposed)</t>
  </si>
  <si>
    <t>1st Floor</t>
  </si>
  <si>
    <t>2nd Floor</t>
  </si>
  <si>
    <t>44 meter per sec</t>
  </si>
  <si>
    <t>Alluvial Soil</t>
  </si>
  <si>
    <t>Total Permissible Builtup area of the project (Sq.Mt)</t>
  </si>
  <si>
    <r>
      <t>Remark (</t>
    </r>
    <r>
      <rPr>
        <sz val="10"/>
        <color rgb="FF000000"/>
        <rFont val="Times New Roman"/>
        <family val="1"/>
      </rPr>
      <t>Flat configuration /Bungalows, etc.)</t>
    </r>
  </si>
  <si>
    <t>Plot area mentioned in the sale deed (As per 7/12)</t>
  </si>
  <si>
    <t>Plot area mentioned in the approved drg. on which FSI/FAR calculations computed (Net Plot Area)</t>
  </si>
  <si>
    <t>Stage of construction</t>
  </si>
  <si>
    <t>Building No.1</t>
  </si>
  <si>
    <t>Taluka</t>
  </si>
  <si>
    <t>District</t>
  </si>
  <si>
    <t>Pincode</t>
  </si>
  <si>
    <t>Geo Link</t>
  </si>
  <si>
    <t xml:space="preserve">Stage of construction: </t>
  </si>
  <si>
    <t>All work Completed. OC Received.</t>
  </si>
  <si>
    <t>Project Progress %</t>
  </si>
  <si>
    <t>AAC Block/ Brick</t>
  </si>
  <si>
    <t>M20</t>
  </si>
  <si>
    <t>Saleable Area Sq.Ft.
Loading:</t>
  </si>
  <si>
    <t>Layout Of Property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</si>
  <si>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</si>
  <si>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Latitude, Longitude   </t>
  </si>
  <si>
    <t>Road</t>
  </si>
  <si>
    <t>City</t>
  </si>
  <si>
    <t>CTS No</t>
  </si>
  <si>
    <t xml:space="preserve">Thane </t>
  </si>
  <si>
    <t>Palghar</t>
  </si>
  <si>
    <t>Mumbai</t>
  </si>
  <si>
    <t>Raigad</t>
  </si>
  <si>
    <t>Pune</t>
  </si>
  <si>
    <t>Thane</t>
  </si>
  <si>
    <t>Mokhada</t>
  </si>
  <si>
    <t>Andheri</t>
  </si>
  <si>
    <t>Alibag</t>
  </si>
  <si>
    <t>Pune City</t>
  </si>
  <si>
    <t>Shahpur</t>
  </si>
  <si>
    <t>Talasari</t>
  </si>
  <si>
    <t>Borivali</t>
  </si>
  <si>
    <t>Panvel</t>
  </si>
  <si>
    <t>Haveli</t>
  </si>
  <si>
    <t>Kalyan</t>
  </si>
  <si>
    <t>Vasai</t>
  </si>
  <si>
    <t>Kurla</t>
  </si>
  <si>
    <t>Uran</t>
  </si>
  <si>
    <t>Khed</t>
  </si>
  <si>
    <t>Bhiwandi</t>
  </si>
  <si>
    <t>Vikramgad</t>
  </si>
  <si>
    <t>Karjat</t>
  </si>
  <si>
    <t>Baramati</t>
  </si>
  <si>
    <t>Ulhasnagar</t>
  </si>
  <si>
    <t>Khalapur</t>
  </si>
  <si>
    <t>Junnar</t>
  </si>
  <si>
    <t>Ambernath</t>
  </si>
  <si>
    <t>Dahanu</t>
  </si>
  <si>
    <t>Pen</t>
  </si>
  <si>
    <t>Shirur</t>
  </si>
  <si>
    <t>Murbad</t>
  </si>
  <si>
    <t>Wada</t>
  </si>
  <si>
    <t>Sudhagad</t>
  </si>
  <si>
    <t>Indapur</t>
  </si>
  <si>
    <t>Mahad</t>
  </si>
  <si>
    <t>Daund</t>
  </si>
  <si>
    <t>Roha</t>
  </si>
  <si>
    <t>Mawal</t>
  </si>
  <si>
    <t>Mangaon</t>
  </si>
  <si>
    <t>Ambegaon</t>
  </si>
  <si>
    <t>Poladpur</t>
  </si>
  <si>
    <t>Purandhar</t>
  </si>
  <si>
    <t>Mahasala</t>
  </si>
  <si>
    <t>Bhor</t>
  </si>
  <si>
    <t>Shriwardhan</t>
  </si>
  <si>
    <t>Mulshi</t>
  </si>
  <si>
    <t>Murud</t>
  </si>
  <si>
    <t>Velhe</t>
  </si>
  <si>
    <t>Commercial Area Details :</t>
  </si>
  <si>
    <t>Building &amp; Wing</t>
  </si>
  <si>
    <t>No. of Units</t>
  </si>
  <si>
    <t>Total Carpet Area</t>
  </si>
  <si>
    <t>Total Saleable Area</t>
  </si>
  <si>
    <t>Wing A</t>
  </si>
  <si>
    <t>Total</t>
  </si>
  <si>
    <t>Residential Area Details :</t>
  </si>
  <si>
    <t>Wing B</t>
  </si>
  <si>
    <t>Grand Total</t>
  </si>
  <si>
    <t>Approved No. of Floor</t>
  </si>
  <si>
    <t>Proposed No. of Floor</t>
  </si>
  <si>
    <t>Ground Floor</t>
  </si>
  <si>
    <t>Flat No.
(Approved
Plan)</t>
  </si>
  <si>
    <t>Flat No. (Sale Plan)</t>
  </si>
  <si>
    <t>Carpet area</t>
  </si>
  <si>
    <t>Gross Carpet area</t>
  </si>
  <si>
    <t>Attached Terrace area</t>
  </si>
  <si>
    <t>Attached Loft area</t>
  </si>
  <si>
    <t>Shop</t>
  </si>
  <si>
    <t xml:space="preserve">Details of Residential &amp; Commercials in Building   </t>
  </si>
  <si>
    <t>Shop No.
(Approved
Plan)</t>
  </si>
  <si>
    <t>Shop No. (Sale Plan)</t>
  </si>
  <si>
    <t>AAC block or Bricks, Cement bags, aggregate, Sand, etc found on site in average quantity.</t>
  </si>
  <si>
    <t xml:space="preserve">Labours found on site at the time of visit. </t>
  </si>
  <si>
    <t>We considered Carpet area as per Approved Plan.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</si>
  <si>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</si>
  <si>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</si>
  <si>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</si>
  <si>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considered  Saleable area  as per our calculation. Loading</t>
  </si>
  <si>
    <t xml:space="preserve">Date </t>
  </si>
  <si>
    <t>Mahindra Rural Housing Finance - Vasai</t>
  </si>
  <si>
    <t>Mr. Gopal 7758043953</t>
  </si>
  <si>
    <t>Bachraj Legend</t>
  </si>
  <si>
    <t>24(Old 128) H No. B/3, B/4 (Plot B)</t>
  </si>
  <si>
    <t>Dongre</t>
  </si>
  <si>
    <t>Narangi Bypass Road</t>
  </si>
  <si>
    <t>Virar West</t>
  </si>
  <si>
    <t>Wing A, B &amp; C = P99000051433
Wing D = P99000051803</t>
  </si>
  <si>
    <t>Gurukul Pride International School</t>
  </si>
  <si>
    <t>19.461354,72.797245</t>
  </si>
  <si>
    <t>https://maps.app.goo.gl/4sb1J3pi7TsvhB636</t>
  </si>
  <si>
    <t>Bachraj Developers</t>
  </si>
  <si>
    <t>D- Block, 1st Floor, Shree Sita Sadan, 276 Shamaldas Gandhi Marg, Opp Parsi Dairy Farm, Mumbai - 400002</t>
  </si>
  <si>
    <t>HDFC Bank
IFSC Code - HDFC0000051</t>
  </si>
  <si>
    <t>Vasai-Virar City Municipal Corporation. (VVCMC)</t>
  </si>
  <si>
    <t>Apartments</t>
  </si>
  <si>
    <t>Wing A &amp; D = Stilt + 1st Floor/Pt Podium + 2nd to 19th Floor
Wing B &amp; C = Stilt + 1st Floor/Pt Podium + 2nd to 20th Floor</t>
  </si>
  <si>
    <t>Old Survey No. 128, Hissa No. 14, New Survey No. 24, Hissa No. 14, Survey No. 24/B, Hissa No. 4</t>
  </si>
  <si>
    <t>VVCMC/TP/CC/VP/0541A/463/2022-23</t>
  </si>
  <si>
    <t>Not Provided.</t>
  </si>
  <si>
    <t>NA</t>
  </si>
  <si>
    <t xml:space="preserve"> Fire NOC Details</t>
  </si>
  <si>
    <t>Environmental Clearance Details</t>
  </si>
  <si>
    <t>SIA/MH/MIS/289708/2022
Plot Area = 9150.00 Sqmt
Built up Area = 37648.61 Sqmt
Wing A &amp; D = Stilt + 1st Floor/Pt Podium + 2nd to 19th Floor
Wing B &amp; C = Stilt + 1st Floor/Pt Podium + 2nd to 20th Floor</t>
  </si>
  <si>
    <t>VVCMC/FIRE/HQ/2436/2022-23
Wing A &amp; D = St + 1st to 19th Floor (Height = 62.60M)
Wing B &amp; C = St + 1st to 20th Floor (Height = 65.65M)</t>
  </si>
  <si>
    <t>Wing A = Stilt + 1st Floor/Pt Podium + 2nd to 19th Floor</t>
  </si>
  <si>
    <t>Wing D = Stilt + 1st Floor/Pt Podium + 2nd to 19th Floor</t>
  </si>
  <si>
    <t>Wing B = Stilt + 1st Floor/Pt Podium + 2nd to 20th Floor</t>
  </si>
  <si>
    <t>Wing C = Stilt + 1st Floor/Pt Podium + 2nd to 20th Floor</t>
  </si>
  <si>
    <t>Health Club, Creche, Drivers Room &amp; Society Office</t>
  </si>
  <si>
    <t>FB Area + DB Area + AP Area</t>
  </si>
  <si>
    <t>2BHK</t>
  </si>
  <si>
    <t>1st Floor For Residential (Part Health Club, Chreche, Drivers Room &amp; Society Office)</t>
  </si>
  <si>
    <t>Ground Floor For Meter Room, Entrance Lobby &amp; Parking</t>
  </si>
  <si>
    <t>2nd to 6th, 8th to 11th, 13th to 16th, 18th &amp; 19th Floor</t>
  </si>
  <si>
    <t>7th, 12th &amp; 17th Floor (Part Refuge Area)</t>
  </si>
  <si>
    <t>Refuge Area</t>
  </si>
  <si>
    <t>1st Floor For Residential (Part Chreche &amp; Drivers Room)</t>
  </si>
  <si>
    <t>Creche &amp; Driver Room</t>
  </si>
  <si>
    <t>2nd to 6th, 8th to 11th, 13th to 16th, 18th to 20th Floor</t>
  </si>
  <si>
    <t>Wing C</t>
  </si>
  <si>
    <t>1st Floor For Residential (Part Chreche &amp; Fitness Centre)</t>
  </si>
  <si>
    <t>Creche</t>
  </si>
  <si>
    <t>Fitness Center</t>
  </si>
  <si>
    <t>Wing D</t>
  </si>
  <si>
    <t>1st Floor For Residential</t>
  </si>
  <si>
    <t>3BHK</t>
  </si>
  <si>
    <t>20.00 M. Wide Road</t>
  </si>
  <si>
    <t>Other Plot</t>
  </si>
  <si>
    <t>S. No 127</t>
  </si>
  <si>
    <t>Internal Road</t>
  </si>
  <si>
    <t>Open Plot/Lake</t>
  </si>
  <si>
    <t>Open Plot</t>
  </si>
  <si>
    <t>Flats - 506</t>
  </si>
  <si>
    <t>On Site, we meet Mr. Gopal 7758043953.</t>
  </si>
  <si>
    <t>We considered Gross carpet area = Net carpet + DB Area + FB Area + AP Area.</t>
  </si>
  <si>
    <t xml:space="preserve">1. Gurukul Pride International School - 0.097Km
2. Utkarsha Vidyalaya English School - 1.3 Km
3. Mahavir Hospital - 1.5 Km
4. Wellcare Multispeciality Hospital - 1.2Km
5. Dmart YK Nagar - 1.2 Km
6. Dinesh Supermarket - 1.2 Km
4. Dmart Bus Stop - 1.1 Km
5. Virar Railway Station - 2.1 Km
</t>
  </si>
  <si>
    <t>Yes, Approx 55ft</t>
  </si>
  <si>
    <t>Wing A &amp; D = Stilt + 1st Floor/Pt Podium + 2nd to 19th Floor (Height = 62.60M)
Wing B &amp; C = Stilt + 1st Floor/Pt Podium + 2nd to 20th Floor (Height = 65.65M)</t>
  </si>
  <si>
    <t>We have referred Approved Plan &amp; CC dated 03/03/2023 from RERA site.</t>
  </si>
  <si>
    <t>VVCMC/TP/CC/VP-0541A/463/2022-23
Wing A &amp; D = Stilt + 1st Floor/Pt Podium + 2nd to 19th Floor
Wing B &amp; C = Stilt + 1st Floor/Pt Podium + 2nd to 20th Floor</t>
  </si>
  <si>
    <t xml:space="preserve">Authorized Signatory
Name &amp; Seal of the agency                                               </t>
  </si>
  <si>
    <t>3,00,000/-</t>
  </si>
  <si>
    <t>Other Charges</t>
  </si>
  <si>
    <t xml:space="preserve">100000/- </t>
  </si>
  <si>
    <t>Floor Rise (7th to 13th Floor) per Flat</t>
  </si>
  <si>
    <t xml:space="preserve">200000/- </t>
  </si>
  <si>
    <t>Floor Rise (14th to 19th Floor) per Flat</t>
  </si>
  <si>
    <t xml:space="preserve">GST value can be considered from Cost Sheet i.e.
1BHK = 2,30,000/- 
2BHK = 2,80,000/- 
2BHK = 3,10,000/- </t>
  </si>
  <si>
    <t>03/10/2025 at 16:24</t>
  </si>
  <si>
    <t>Mr. Navnath Bhatkar</t>
  </si>
  <si>
    <t>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</si>
</sst>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E3F2F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3F2F3"/>
        <bgColor indexed="64"/>
      </patternFill>
    </fill>
    <fill>
      <patternFill patternType="solid">
        <fgColor rgb="FFE5EEF1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/>
  </cellStyleXfs>
  <cellXfs count="251">
    <xf numFmtId="0" fontId="0" fillId="0" borderId="0" xfId="0"/>
    <xf numFmtId="0" fontId="5" fillId="0" borderId="0" xfId="0" applyFont="1" applyProtection="1">
      <protection hidden="1"/>
    </xf>
    <xf numFmtId="0" fontId="8" fillId="4" borderId="5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wrapText="1"/>
      <protection locked="0"/>
    </xf>
    <xf numFmtId="1" fontId="8" fillId="4" borderId="4" xfId="1" applyNumberFormat="1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8" fillId="2" borderId="4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center" vertical="center"/>
      <protection locked="0"/>
    </xf>
    <xf numFmtId="0" fontId="8" fillId="2" borderId="17" xfId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 wrapText="1"/>
    </xf>
    <xf numFmtId="9" fontId="9" fillId="2" borderId="13" xfId="0" applyNumberFormat="1" applyFont="1" applyFill="1" applyBorder="1" applyAlignment="1">
      <alignment horizontal="center" vertical="top" wrapText="1"/>
    </xf>
    <xf numFmtId="0" fontId="8" fillId="4" borderId="7" xfId="1" applyFont="1" applyFill="1" applyBorder="1" applyAlignment="1" applyProtection="1">
      <alignment horizontal="center" vertical="top" wrapText="1"/>
      <protection locked="0"/>
    </xf>
    <xf numFmtId="9" fontId="8" fillId="4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4" borderId="14" xfId="1" applyFont="1" applyFill="1" applyBorder="1" applyAlignment="1" applyProtection="1">
      <alignment horizontal="center" vertical="top" wrapText="1"/>
      <protection locked="0"/>
    </xf>
    <xf numFmtId="9" fontId="8" fillId="4" borderId="26" xfId="1" applyNumberFormat="1" applyFont="1" applyFill="1" applyBorder="1" applyAlignment="1" applyProtection="1">
      <alignment horizontal="center" vertical="center"/>
      <protection hidden="1"/>
    </xf>
    <xf numFmtId="9" fontId="12" fillId="4" borderId="14" xfId="1" applyNumberFormat="1" applyFont="1" applyFill="1" applyBorder="1" applyAlignment="1" applyProtection="1">
      <alignment horizontal="left" vertical="center"/>
      <protection hidden="1"/>
    </xf>
    <xf numFmtId="9" fontId="12" fillId="4" borderId="26" xfId="1" applyNumberFormat="1" applyFont="1" applyFill="1" applyBorder="1" applyAlignment="1" applyProtection="1">
      <alignment horizontal="left" vertical="center"/>
      <protection hidden="1"/>
    </xf>
    <xf numFmtId="0" fontId="6" fillId="0" borderId="24" xfId="1" applyFont="1" applyBorder="1"/>
    <xf numFmtId="0" fontId="5" fillId="0" borderId="19" xfId="0" applyFont="1" applyBorder="1" applyProtection="1">
      <protection hidden="1"/>
    </xf>
    <xf numFmtId="1" fontId="4" fillId="0" borderId="19" xfId="0" applyNumberFormat="1" applyFont="1" applyBorder="1"/>
    <xf numFmtId="1" fontId="4" fillId="0" borderId="19" xfId="0" applyNumberFormat="1" applyFont="1" applyBorder="1" applyAlignment="1">
      <alignment horizontal="right"/>
    </xf>
    <xf numFmtId="1" fontId="4" fillId="0" borderId="22" xfId="0" applyNumberFormat="1" applyFont="1" applyBorder="1"/>
    <xf numFmtId="0" fontId="5" fillId="0" borderId="25" xfId="0" applyFont="1" applyBorder="1" applyProtection="1">
      <protection hidden="1"/>
    </xf>
    <xf numFmtId="0" fontId="5" fillId="0" borderId="21" xfId="0" applyFont="1" applyBorder="1" applyProtection="1">
      <protection hidden="1"/>
    </xf>
    <xf numFmtId="0" fontId="8" fillId="4" borderId="11" xfId="1" applyFont="1" applyFill="1" applyBorder="1" applyAlignment="1" applyProtection="1">
      <alignment horizontal="center" vertical="top" wrapText="1"/>
      <protection locked="0"/>
    </xf>
    <xf numFmtId="0" fontId="8" fillId="4" borderId="12" xfId="1" applyFont="1" applyFill="1" applyBorder="1" applyAlignment="1" applyProtection="1">
      <alignment horizontal="center" wrapText="1"/>
      <protection locked="0"/>
    </xf>
    <xf numFmtId="9" fontId="8" fillId="4" borderId="27" xfId="1" applyNumberFormat="1" applyFont="1" applyFill="1" applyBorder="1" applyAlignment="1" applyProtection="1">
      <alignment horizontal="center" vertical="center" wrapText="1"/>
      <protection hidden="1"/>
    </xf>
    <xf numFmtId="9" fontId="12" fillId="4" borderId="28" xfId="1" applyNumberFormat="1" applyFont="1" applyFill="1" applyBorder="1" applyAlignment="1" applyProtection="1">
      <alignment horizontal="left" vertical="center"/>
      <protection hidden="1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0" borderId="30" xfId="1" applyFont="1" applyBorder="1" applyProtection="1">
      <protection hidden="1"/>
    </xf>
    <xf numFmtId="0" fontId="6" fillId="0" borderId="31" xfId="1" applyFont="1" applyBorder="1" applyProtection="1">
      <protection hidden="1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0" borderId="0" xfId="1" applyFont="1" applyProtection="1">
      <protection hidden="1"/>
    </xf>
    <xf numFmtId="0" fontId="6" fillId="0" borderId="3" xfId="1" applyFont="1" applyBorder="1" applyProtection="1">
      <protection hidden="1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0" fontId="6" fillId="0" borderId="3" xfId="1" applyFont="1" applyBorder="1"/>
    <xf numFmtId="0" fontId="6" fillId="3" borderId="4" xfId="1" applyFont="1" applyFill="1" applyBorder="1" applyAlignment="1" applyProtection="1">
      <alignment horizontal="center" wrapText="1"/>
      <protection locked="0"/>
    </xf>
    <xf numFmtId="9" fontId="6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Protection="1">
      <protection hidden="1"/>
    </xf>
    <xf numFmtId="1" fontId="6" fillId="3" borderId="4" xfId="1" applyNumberFormat="1" applyFont="1" applyFill="1" applyBorder="1" applyAlignment="1" applyProtection="1">
      <alignment horizontal="center" wrapText="1"/>
      <protection locked="0"/>
    </xf>
    <xf numFmtId="1" fontId="6" fillId="0" borderId="3" xfId="0" applyNumberFormat="1" applyFont="1" applyBorder="1"/>
    <xf numFmtId="1" fontId="6" fillId="0" borderId="3" xfId="0" applyNumberFormat="1" applyFont="1" applyBorder="1" applyAlignment="1">
      <alignment horizontal="right"/>
    </xf>
    <xf numFmtId="0" fontId="6" fillId="3" borderId="12" xfId="1" applyFont="1" applyFill="1" applyBorder="1" applyAlignment="1" applyProtection="1">
      <alignment horizontal="center" wrapText="1"/>
      <protection locked="0"/>
    </xf>
    <xf numFmtId="9" fontId="6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Protection="1">
      <protection hidden="1"/>
    </xf>
    <xf numFmtId="1" fontId="6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vertical="top" wrapText="1"/>
    </xf>
    <xf numFmtId="14" fontId="5" fillId="3" borderId="4" xfId="0" applyNumberFormat="1" applyFont="1" applyFill="1" applyBorder="1" applyAlignment="1">
      <alignment horizontal="left" vertical="top" wrapText="1"/>
    </xf>
    <xf numFmtId="9" fontId="1" fillId="3" borderId="8" xfId="0" applyNumberFormat="1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8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5" xfId="1" applyFont="1" applyFill="1" applyBorder="1" applyAlignment="1" applyProtection="1">
      <alignment horizontal="center" vertical="top" wrapText="1"/>
      <protection locked="0"/>
    </xf>
    <xf numFmtId="0" fontId="6" fillId="3" borderId="4" xfId="1" applyFont="1" applyFill="1" applyBorder="1" applyAlignment="1" applyProtection="1">
      <alignment horizontal="center" vertical="top" wrapText="1"/>
      <protection locked="0"/>
    </xf>
    <xf numFmtId="9" fontId="6" fillId="3" borderId="4" xfId="0" applyNumberFormat="1" applyFont="1" applyFill="1" applyBorder="1" applyAlignment="1">
      <alignment horizontal="center"/>
    </xf>
    <xf numFmtId="9" fontId="6" fillId="3" borderId="4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6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12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32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6" fillId="3" borderId="12" xfId="1" applyFont="1" applyFill="1" applyBorder="1" applyAlignment="1" applyProtection="1">
      <alignment horizontal="center" vertical="top" wrapText="1"/>
      <protection locked="0"/>
    </xf>
    <xf numFmtId="9" fontId="6" fillId="3" borderId="12" xfId="0" applyNumberFormat="1" applyFont="1" applyFill="1" applyBorder="1" applyAlignment="1">
      <alignment horizontal="center"/>
    </xf>
    <xf numFmtId="0" fontId="1" fillId="2" borderId="33" xfId="1" applyFont="1" applyFill="1" applyBorder="1" applyAlignment="1" applyProtection="1">
      <alignment horizontal="left" vertical="top" wrapText="1"/>
      <protection locked="0"/>
    </xf>
    <xf numFmtId="0" fontId="1" fillId="2" borderId="30" xfId="1" applyFont="1" applyFill="1" applyBorder="1" applyAlignment="1" applyProtection="1">
      <alignment horizontal="left" vertical="top" wrapText="1"/>
      <protection locked="0"/>
    </xf>
    <xf numFmtId="0" fontId="1" fillId="2" borderId="34" xfId="1" applyFont="1" applyFill="1" applyBorder="1" applyAlignment="1" applyProtection="1">
      <alignment horizontal="left" vertical="top" wrapText="1"/>
      <protection locked="0"/>
    </xf>
    <xf numFmtId="0" fontId="1" fillId="2" borderId="35" xfId="1" applyFont="1" applyFill="1" applyBorder="1" applyAlignment="1" applyProtection="1">
      <alignment horizontal="left" vertical="top" wrapText="1"/>
      <protection locked="0"/>
    </xf>
    <xf numFmtId="0" fontId="1" fillId="2" borderId="21" xfId="1" applyFont="1" applyFill="1" applyBorder="1" applyAlignment="1" applyProtection="1">
      <alignment horizontal="left" vertical="top" wrapText="1"/>
      <protection locked="0"/>
    </xf>
    <xf numFmtId="0" fontId="1" fillId="2" borderId="22" xfId="1" applyFont="1" applyFill="1" applyBorder="1" applyAlignment="1" applyProtection="1">
      <alignment horizontal="left" vertical="top" wrapText="1"/>
      <protection locked="0"/>
    </xf>
    <xf numFmtId="0" fontId="1" fillId="3" borderId="4" xfId="1" applyFont="1" applyFill="1" applyBorder="1" applyAlignment="1" applyProtection="1">
      <alignment horizontal="left" vertical="top" wrapText="1"/>
      <protection locked="0"/>
    </xf>
    <xf numFmtId="0" fontId="1" fillId="3" borderId="6" xfId="1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>
      <alignment horizontal="center"/>
    </xf>
    <xf numFmtId="0" fontId="6" fillId="3" borderId="4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7" fillId="2" borderId="14" xfId="1" applyFont="1" applyFill="1" applyBorder="1" applyAlignment="1" applyProtection="1">
      <alignment horizontal="center" vertical="top" wrapText="1"/>
      <protection locked="0"/>
    </xf>
    <xf numFmtId="14" fontId="6" fillId="3" borderId="7" xfId="0" applyNumberFormat="1" applyFont="1" applyFill="1" applyBorder="1" applyAlignment="1">
      <alignment horizontal="center" vertical="center"/>
    </xf>
    <xf numFmtId="14" fontId="6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164" fontId="8" fillId="3" borderId="4" xfId="1" applyNumberFormat="1" applyFont="1" applyFill="1" applyBorder="1" applyAlignment="1" applyProtection="1">
      <alignment horizontal="left" vertical="center" wrapText="1"/>
      <protection locked="0"/>
    </xf>
    <xf numFmtId="22" fontId="6" fillId="3" borderId="4" xfId="0" applyNumberFormat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9" fillId="2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6" fillId="3" borderId="7" xfId="2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1" fontId="6" fillId="3" borderId="4" xfId="0" applyNumberFormat="1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7" fillId="2" borderId="15" xfId="1" applyFont="1" applyFill="1" applyBorder="1" applyAlignment="1" applyProtection="1">
      <alignment horizontal="left" vertical="top" wrapText="1"/>
      <protection locked="0"/>
    </xf>
    <xf numFmtId="0" fontId="7" fillId="2" borderId="16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 applyProtection="1">
      <alignment horizontal="left" vertical="top" wrapText="1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9" fontId="8" fillId="4" borderId="25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0" xfId="1" applyNumberFormat="1" applyFont="1" applyFill="1" applyAlignment="1" applyProtection="1">
      <alignment horizontal="center" vertical="center" wrapText="1"/>
      <protection hidden="1"/>
    </xf>
    <xf numFmtId="9" fontId="8" fillId="4" borderId="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1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3F2F3"/>
      <color rgb="FFE5EEF1"/>
      <color rgb="FFBBDDBD"/>
      <color rgb="FFE1F5E7"/>
      <color rgb="FFF2FCDA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438978</xdr:colOff>
      <xdr:row>393</xdr:row>
      <xdr:rowOff>107674</xdr:rowOff>
    </xdr:from>
    <xdr:to>
      <xdr:col>7</xdr:col>
      <xdr:colOff>284367</xdr:colOff>
      <xdr:row>417</xdr:row>
      <xdr:rowOff>87213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xmlns="" id="{62FE1D65-34D4-4822-BA48-8A8BE4824B19}"/>
            </a:ext>
          </a:extLst>
        </xdr:cNvPr>
        <xdr:cNvGrpSpPr/>
      </xdr:nvGrpSpPr>
      <xdr:grpSpPr>
        <a:xfrm>
          <a:off x="438978" y="62029699"/>
          <a:ext cx="5731839" cy="3865739"/>
          <a:chOff x="545410" y="224286"/>
          <a:chExt cx="5760000" cy="3931586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xmlns="" id="{8D03B77C-9929-00E6-6AE2-61C1A53BFB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5410" y="224286"/>
            <a:ext cx="5760000" cy="393158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xmlns="" id="{A759999E-400D-0469-D042-42992FC9C128}"/>
              </a:ext>
            </a:extLst>
          </xdr:cNvPr>
          <xdr:cNvSpPr/>
        </xdr:nvSpPr>
        <xdr:spPr>
          <a:xfrm>
            <a:off x="1714500" y="1573530"/>
            <a:ext cx="807720" cy="108966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xmlns="" id="{951C569F-46AC-E8DD-DE73-A687C70E093C}"/>
              </a:ext>
            </a:extLst>
          </xdr:cNvPr>
          <xdr:cNvSpPr/>
        </xdr:nvSpPr>
        <xdr:spPr>
          <a:xfrm>
            <a:off x="3425410" y="1558290"/>
            <a:ext cx="807720" cy="110490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xmlns="" id="{81E2B01B-1858-5826-5EBC-87A59F79B2AB}"/>
              </a:ext>
            </a:extLst>
          </xdr:cNvPr>
          <xdr:cNvSpPr/>
        </xdr:nvSpPr>
        <xdr:spPr>
          <a:xfrm>
            <a:off x="1528210" y="2716530"/>
            <a:ext cx="1062590" cy="59055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xmlns="" id="{608D2EC6-316A-010A-272B-69C404DCCF3A}"/>
              </a:ext>
            </a:extLst>
          </xdr:cNvPr>
          <xdr:cNvSpPr/>
        </xdr:nvSpPr>
        <xdr:spPr>
          <a:xfrm>
            <a:off x="2663590" y="2716530"/>
            <a:ext cx="1062590" cy="590550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0" name="TextBox 6">
            <a:extLst>
              <a:ext uri="{FF2B5EF4-FFF2-40B4-BE49-F238E27FC236}">
                <a16:creationId xmlns:a16="http://schemas.microsoft.com/office/drawing/2014/main" xmlns="" id="{5A10FA68-26F7-239B-3349-E969603C4889}"/>
              </a:ext>
            </a:extLst>
          </xdr:cNvPr>
          <xdr:cNvSpPr txBox="1"/>
        </xdr:nvSpPr>
        <xdr:spPr>
          <a:xfrm>
            <a:off x="3725379" y="3146584"/>
            <a:ext cx="98296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FF00"/>
                </a:solidFill>
              </a:rPr>
              <a:t>WING C 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31" name="TextBox 7">
            <a:extLst>
              <a:ext uri="{FF2B5EF4-FFF2-40B4-BE49-F238E27FC236}">
                <a16:creationId xmlns:a16="http://schemas.microsoft.com/office/drawing/2014/main" xmlns="" id="{F735E78C-8AEE-6BEE-A92F-44A0D477F020}"/>
              </a:ext>
            </a:extLst>
          </xdr:cNvPr>
          <xdr:cNvSpPr txBox="1"/>
        </xdr:nvSpPr>
        <xdr:spPr>
          <a:xfrm>
            <a:off x="4229924" y="1749028"/>
            <a:ext cx="100700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FF00"/>
                </a:solidFill>
              </a:rPr>
              <a:t>WING D 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32" name="TextBox 8">
            <a:extLst>
              <a:ext uri="{FF2B5EF4-FFF2-40B4-BE49-F238E27FC236}">
                <a16:creationId xmlns:a16="http://schemas.microsoft.com/office/drawing/2014/main" xmlns="" id="{DB469DBC-3935-422B-6ECC-8B61613ABD2B}"/>
              </a:ext>
            </a:extLst>
          </xdr:cNvPr>
          <xdr:cNvSpPr txBox="1"/>
        </xdr:nvSpPr>
        <xdr:spPr>
          <a:xfrm>
            <a:off x="564689" y="2958346"/>
            <a:ext cx="99097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FF00"/>
                </a:solidFill>
              </a:rPr>
              <a:t>WING B 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33" name="TextBox 9">
            <a:extLst>
              <a:ext uri="{FF2B5EF4-FFF2-40B4-BE49-F238E27FC236}">
                <a16:creationId xmlns:a16="http://schemas.microsoft.com/office/drawing/2014/main" xmlns="" id="{12295DAB-5001-291C-1579-12CF094E07DD}"/>
              </a:ext>
            </a:extLst>
          </xdr:cNvPr>
          <xdr:cNvSpPr txBox="1"/>
        </xdr:nvSpPr>
        <xdr:spPr>
          <a:xfrm>
            <a:off x="762608" y="1683072"/>
            <a:ext cx="100059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FF00"/>
                </a:solidFill>
              </a:rPr>
              <a:t>WING A </a:t>
            </a:r>
            <a:endParaRPr lang="en-IN" b="1">
              <a:solidFill>
                <a:srgbClr val="FFFF00"/>
              </a:solidFill>
            </a:endParaRPr>
          </a:p>
        </xdr:txBody>
      </xdr:sp>
    </xdr:grpSp>
    <xdr:clientData/>
  </xdr:twoCellAnchor>
  <xdr:twoCellAnchor editAs="oneCell">
    <xdr:from>
      <xdr:col>1</xdr:col>
      <xdr:colOff>496314</xdr:colOff>
      <xdr:row>418</xdr:row>
      <xdr:rowOff>102235</xdr:rowOff>
    </xdr:from>
    <xdr:to>
      <xdr:col>6</xdr:col>
      <xdr:colOff>288737</xdr:colOff>
      <xdr:row>441</xdr:row>
      <xdr:rowOff>140804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EB8ACA0A-C92C-4B4A-A7F9-D3D375F96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727" y="65410605"/>
          <a:ext cx="4041401" cy="38485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441528</xdr:colOff>
      <xdr:row>447</xdr:row>
      <xdr:rowOff>157370</xdr:rowOff>
    </xdr:from>
    <xdr:to>
      <xdr:col>6</xdr:col>
      <xdr:colOff>512550</xdr:colOff>
      <xdr:row>461</xdr:row>
      <xdr:rowOff>41304</xdr:rowOff>
    </xdr:to>
    <xdr:pic>
      <xdr:nvPicPr>
        <xdr:cNvPr id="35" name="Picture 34" descr="A screenshot of a computer screen&#10;&#10;Description automatically generated">
          <a:extLst>
            <a:ext uri="{FF2B5EF4-FFF2-40B4-BE49-F238E27FC236}">
              <a16:creationId xmlns:a16="http://schemas.microsoft.com/office/drawing/2014/main" xmlns="" id="{23B7BEA3-C4E1-F281-D6E5-AB6DE195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4941" y="70269653"/>
          <a:ext cx="4320000" cy="22030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538370</xdr:colOff>
      <xdr:row>462</xdr:row>
      <xdr:rowOff>160883</xdr:rowOff>
    </xdr:from>
    <xdr:to>
      <xdr:col>7</xdr:col>
      <xdr:colOff>357730</xdr:colOff>
      <xdr:row>485</xdr:row>
      <xdr:rowOff>153627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xmlns="" id="{7AE08C82-6653-519F-31BB-0D755A723EFD}"/>
            </a:ext>
          </a:extLst>
        </xdr:cNvPr>
        <xdr:cNvGrpSpPr/>
      </xdr:nvGrpSpPr>
      <xdr:grpSpPr>
        <a:xfrm>
          <a:off x="538370" y="73255733"/>
          <a:ext cx="5705810" cy="3717019"/>
          <a:chOff x="1633197" y="5254172"/>
          <a:chExt cx="5733143" cy="3802744"/>
        </a:xfrm>
      </xdr:grpSpPr>
      <xdr:pic>
        <xdr:nvPicPr>
          <xdr:cNvPr id="37" name="Picture 36" descr="A screenshot of a computer&#10;&#10;Description automatically generated">
            <a:extLst>
              <a:ext uri="{FF2B5EF4-FFF2-40B4-BE49-F238E27FC236}">
                <a16:creationId xmlns:a16="http://schemas.microsoft.com/office/drawing/2014/main" xmlns="" id="{3FE4DDA1-36D7-3D28-5CDB-8F7BB5DFBB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633197" y="5254172"/>
            <a:ext cx="5733143" cy="380274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xmlns="" id="{D0EF713C-505D-1DD8-A922-89D09288AEC3}"/>
              </a:ext>
            </a:extLst>
          </xdr:cNvPr>
          <xdr:cNvSpPr/>
        </xdr:nvSpPr>
        <xdr:spPr>
          <a:xfrm>
            <a:off x="3444240" y="7078980"/>
            <a:ext cx="1409700" cy="906780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9" name="TextBox 62">
            <a:extLst>
              <a:ext uri="{FF2B5EF4-FFF2-40B4-BE49-F238E27FC236}">
                <a16:creationId xmlns:a16="http://schemas.microsoft.com/office/drawing/2014/main" xmlns="" id="{900D9F93-1FEC-1CF1-50D5-14FF141215F3}"/>
              </a:ext>
            </a:extLst>
          </xdr:cNvPr>
          <xdr:cNvSpPr txBox="1"/>
        </xdr:nvSpPr>
        <xdr:spPr>
          <a:xfrm>
            <a:off x="3909060" y="7147560"/>
            <a:ext cx="29527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A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40" name="TextBox 63">
            <a:extLst>
              <a:ext uri="{FF2B5EF4-FFF2-40B4-BE49-F238E27FC236}">
                <a16:creationId xmlns:a16="http://schemas.microsoft.com/office/drawing/2014/main" xmlns="" id="{DC574A41-2E70-0643-4395-56308ED692E5}"/>
              </a:ext>
            </a:extLst>
          </xdr:cNvPr>
          <xdr:cNvSpPr txBox="1"/>
        </xdr:nvSpPr>
        <xdr:spPr>
          <a:xfrm>
            <a:off x="3829050" y="7412771"/>
            <a:ext cx="29527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B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41" name="TextBox 64">
            <a:extLst>
              <a:ext uri="{FF2B5EF4-FFF2-40B4-BE49-F238E27FC236}">
                <a16:creationId xmlns:a16="http://schemas.microsoft.com/office/drawing/2014/main" xmlns="" id="{C270EC25-A76F-BD8A-0768-7441E801F3E4}"/>
              </a:ext>
            </a:extLst>
          </xdr:cNvPr>
          <xdr:cNvSpPr txBox="1"/>
        </xdr:nvSpPr>
        <xdr:spPr>
          <a:xfrm>
            <a:off x="4136707" y="7412770"/>
            <a:ext cx="3113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C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42" name="TextBox 65">
            <a:extLst>
              <a:ext uri="{FF2B5EF4-FFF2-40B4-BE49-F238E27FC236}">
                <a16:creationId xmlns:a16="http://schemas.microsoft.com/office/drawing/2014/main" xmlns="" id="{D7B4CCEE-E189-B8FC-B284-161FA9EBD710}"/>
              </a:ext>
            </a:extLst>
          </xdr:cNvPr>
          <xdr:cNvSpPr txBox="1"/>
        </xdr:nvSpPr>
        <xdr:spPr>
          <a:xfrm>
            <a:off x="4463332" y="6993668"/>
            <a:ext cx="3113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</a:rPr>
              <a:t>D</a:t>
            </a:r>
            <a:endParaRPr lang="en-IN" sz="1400" b="1">
              <a:solidFill>
                <a:srgbClr val="FFFF00"/>
              </a:solidFill>
            </a:endParaRPr>
          </a:p>
        </xdr:txBody>
      </xdr:sp>
      <xdr:sp macro="" textlink="">
        <xdr:nvSpPr>
          <xdr:cNvPr id="43" name="TextBox 66">
            <a:extLst>
              <a:ext uri="{FF2B5EF4-FFF2-40B4-BE49-F238E27FC236}">
                <a16:creationId xmlns:a16="http://schemas.microsoft.com/office/drawing/2014/main" xmlns="" id="{CE4FF612-FE0E-A271-22E9-EDDCFCF3F1AF}"/>
              </a:ext>
            </a:extLst>
          </xdr:cNvPr>
          <xdr:cNvSpPr txBox="1"/>
        </xdr:nvSpPr>
        <xdr:spPr>
          <a:xfrm>
            <a:off x="1656635" y="5319853"/>
            <a:ext cx="1787605" cy="369332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Bachraj Legend</a:t>
            </a:r>
            <a:endParaRPr lang="en-IN" b="1"/>
          </a:p>
        </xdr:txBody>
      </xdr:sp>
      <xdr:cxnSp macro="">
        <xdr:nvCxnSpPr>
          <xdr:cNvPr id="44" name="Straight Arrow Connector 43">
            <a:extLst>
              <a:ext uri="{FF2B5EF4-FFF2-40B4-BE49-F238E27FC236}">
                <a16:creationId xmlns:a16="http://schemas.microsoft.com/office/drawing/2014/main" xmlns="" id="{0C0E9DD3-9EA6-4524-EA34-22866D01E4C8}"/>
              </a:ext>
            </a:extLst>
          </xdr:cNvPr>
          <xdr:cNvCxnSpPr>
            <a:endCxn id="38" idx="0"/>
          </xdr:cNvCxnSpPr>
        </xdr:nvCxnSpPr>
        <xdr:spPr>
          <a:xfrm>
            <a:off x="2499360" y="5692140"/>
            <a:ext cx="1649730" cy="1386840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132522</xdr:colOff>
      <xdr:row>50</xdr:row>
      <xdr:rowOff>256761</xdr:rowOff>
    </xdr:from>
    <xdr:to>
      <xdr:col>13</xdr:col>
      <xdr:colOff>353218</xdr:colOff>
      <xdr:row>51</xdr:row>
      <xdr:rowOff>246998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98D44535-D8BD-186A-AD61-7E723CADB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7696" y="14627087"/>
          <a:ext cx="3600000" cy="3215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112644</xdr:colOff>
      <xdr:row>51</xdr:row>
      <xdr:rowOff>282437</xdr:rowOff>
    </xdr:from>
    <xdr:to>
      <xdr:col>15</xdr:col>
      <xdr:colOff>10827</xdr:colOff>
      <xdr:row>52</xdr:row>
      <xdr:rowOff>462495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39DA3387-2845-4F28-1E80-1CB8B5D87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6344" y="14950937"/>
          <a:ext cx="4479708" cy="7134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295275</xdr:colOff>
      <xdr:row>37</xdr:row>
      <xdr:rowOff>1209675</xdr:rowOff>
    </xdr:from>
    <xdr:to>
      <xdr:col>11</xdr:col>
      <xdr:colOff>312150</xdr:colOff>
      <xdr:row>47</xdr:row>
      <xdr:rowOff>352734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380B36B2-F5D8-90DC-FFB5-F4034FC8C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38975" y="11353800"/>
          <a:ext cx="2160000" cy="24387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85725</xdr:colOff>
      <xdr:row>54</xdr:row>
      <xdr:rowOff>85725</xdr:rowOff>
    </xdr:from>
    <xdr:to>
      <xdr:col>11</xdr:col>
      <xdr:colOff>542600</xdr:colOff>
      <xdr:row>61</xdr:row>
      <xdr:rowOff>28394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C5A59EDF-BBD2-32D8-A42E-0CA5B7134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29425" y="16335375"/>
          <a:ext cx="2600000" cy="14476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104775</xdr:colOff>
      <xdr:row>52</xdr:row>
      <xdr:rowOff>609600</xdr:rowOff>
    </xdr:from>
    <xdr:to>
      <xdr:col>14</xdr:col>
      <xdr:colOff>189993</xdr:colOff>
      <xdr:row>53</xdr:row>
      <xdr:rowOff>133299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EA6E1FCB-0783-B406-698A-368A45A9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48475" y="15811500"/>
          <a:ext cx="4057143" cy="4095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276225</xdr:colOff>
      <xdr:row>7</xdr:row>
      <xdr:rowOff>228601</xdr:rowOff>
    </xdr:from>
    <xdr:to>
      <xdr:col>13</xdr:col>
      <xdr:colOff>513900</xdr:colOff>
      <xdr:row>9</xdr:row>
      <xdr:rowOff>152884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5E67ADD-7ECE-ECB3-19F0-786CDB35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9925" y="2266951"/>
          <a:ext cx="3600000" cy="4386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156883</xdr:colOff>
      <xdr:row>339</xdr:row>
      <xdr:rowOff>49310</xdr:rowOff>
    </xdr:from>
    <xdr:to>
      <xdr:col>7</xdr:col>
      <xdr:colOff>794083</xdr:colOff>
      <xdr:row>388</xdr:row>
      <xdr:rowOff>128755</xdr:rowOff>
    </xdr:to>
    <xdr:grpSp>
      <xdr:nvGrpSpPr>
        <xdr:cNvPr id="95" name="Group 94"/>
        <xdr:cNvGrpSpPr/>
      </xdr:nvGrpSpPr>
      <xdr:grpSpPr>
        <a:xfrm>
          <a:off x="156883" y="53065460"/>
          <a:ext cx="6523650" cy="8013770"/>
          <a:chOff x="145677" y="52425605"/>
          <a:chExt cx="6542700" cy="7766680"/>
        </a:xfrm>
      </xdr:grpSpPr>
      <xdr:grpSp>
        <xdr:nvGrpSpPr>
          <xdr:cNvPr id="94" name="Group 93"/>
          <xdr:cNvGrpSpPr/>
        </xdr:nvGrpSpPr>
        <xdr:grpSpPr>
          <a:xfrm>
            <a:off x="145677" y="52425605"/>
            <a:ext cx="6542700" cy="7766680"/>
            <a:chOff x="145677" y="52425605"/>
            <a:chExt cx="6542700" cy="7766680"/>
          </a:xfrm>
        </xdr:grpSpPr>
        <xdr:grpSp>
          <xdr:nvGrpSpPr>
            <xdr:cNvPr id="88" name="Group 87"/>
            <xdr:cNvGrpSpPr/>
          </xdr:nvGrpSpPr>
          <xdr:grpSpPr>
            <a:xfrm>
              <a:off x="145677" y="52425605"/>
              <a:ext cx="6542700" cy="7766680"/>
              <a:chOff x="96088" y="53054250"/>
              <a:chExt cx="6523524" cy="8012583"/>
            </a:xfrm>
          </xdr:grpSpPr>
          <xdr:grpSp>
            <xdr:nvGrpSpPr>
              <xdr:cNvPr id="87" name="Group 86"/>
              <xdr:cNvGrpSpPr/>
            </xdr:nvGrpSpPr>
            <xdr:grpSpPr>
              <a:xfrm>
                <a:off x="96088" y="53059682"/>
                <a:ext cx="6523524" cy="8007151"/>
                <a:chOff x="96088" y="53059682"/>
                <a:chExt cx="6523524" cy="8007151"/>
              </a:xfrm>
            </xdr:grpSpPr>
            <xdr:grpSp>
              <xdr:nvGrpSpPr>
                <xdr:cNvPr id="3" name="Group 2"/>
                <xdr:cNvGrpSpPr/>
              </xdr:nvGrpSpPr>
              <xdr:grpSpPr>
                <a:xfrm>
                  <a:off x="96088" y="53059682"/>
                  <a:ext cx="6523524" cy="8007151"/>
                  <a:chOff x="57988" y="52916807"/>
                  <a:chExt cx="6523524" cy="8007151"/>
                </a:xfrm>
              </xdr:grpSpPr>
              <xdr:pic>
                <xdr:nvPicPr>
                  <xdr:cNvPr id="65" name="Picture 64" descr="https://vsjcllp.vsjadon.com/upload/insp-249966-1525.jpg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1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4907503" y="58683953"/>
                    <a:ext cx="1674009" cy="2234339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66" name="Picture 65" descr="https://vsjcllp.vsjadon.com/upload/insp-249966-843.jpg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2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57988" y="58690345"/>
                    <a:ext cx="2975393" cy="2233613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67" name="Picture 66" descr="https://vsjcllp.vsjadon.com/upload/insp-249966-851.jpg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3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135019" y="55806998"/>
                    <a:ext cx="2083803" cy="2781300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68" name="Picture 67" descr="https://vsjcllp.vsjadon.com/upload/insp-249966-877.jpg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4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139580" y="52916829"/>
                    <a:ext cx="2083803" cy="2781300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69" name="Picture 68" descr="https://vsjcllp.vsjadon.com/upload/insp-249966-916.jpg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5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4477200" y="52916830"/>
                    <a:ext cx="2083803" cy="2781300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70" name="Picture 69" descr="https://vsjcllp.vsjadon.com/upload/insp-249966-928.jpg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6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3127806" y="58683953"/>
                    <a:ext cx="1674009" cy="2234339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71" name="Picture 70" descr="https://vsjcllp.vsjadon.com/upload/insp-249966-1512.jpg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7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2308797" y="55806974"/>
                    <a:ext cx="2079881" cy="2776065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  <xdr:pic>
                <xdr:nvPicPr>
                  <xdr:cNvPr id="74" name="Picture 73" descr="https://vsjcllp.vsjadon.com/upload/insp-249966-849.jpg"/>
                  <xdr:cNvPicPr>
                    <a:picLocks noChangeAspect="1" noChangeArrowheads="1"/>
                  </xdr:cNvPicPr>
                </xdr:nvPicPr>
                <xdr:blipFill>
                  <a:blip xmlns:r="http://schemas.openxmlformats.org/officeDocument/2006/relationships" r:embed="rId18" cstate="print">
                    <a:extLst>
                      <a:ext uri="{28A0092B-C50C-407E-A947-70E740481C1C}">
                        <a14:useLocalDpi xmlns:a14="http://schemas.microsoft.com/office/drawing/2010/main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2307234" y="52916807"/>
                    <a:ext cx="2079878" cy="2776062"/>
                  </a:xfrm>
                  <a:prstGeom prst="rect">
                    <a:avLst/>
                  </a:prstGeom>
                  <a:noFill/>
                  <a:ln>
                    <a:solidFill>
                      <a:schemeClr val="tx1"/>
                    </a:solidFill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</xdr:pic>
            </xdr:grpSp>
            <xdr:sp macro="" textlink="">
              <xdr:nvSpPr>
                <xdr:cNvPr id="78" name="TextBox 17">
                  <a:extLst>
                    <a:ext uri="{FF2B5EF4-FFF2-40B4-BE49-F238E27FC236}">
                      <a16:creationId xmlns:a16="http://schemas.microsoft.com/office/drawing/2014/main" xmlns="" id="{FE859C0F-4886-4003-B658-721113D0358D}"/>
                    </a:ext>
                  </a:extLst>
                </xdr:cNvPr>
                <xdr:cNvSpPr txBox="1"/>
              </xdr:nvSpPr>
              <xdr:spPr>
                <a:xfrm>
                  <a:off x="2469798" y="56502224"/>
                  <a:ext cx="871467" cy="36104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 b="1">
                      <a:solidFill>
                        <a:sysClr val="windowText" lastClr="000000"/>
                      </a:solidFill>
                    </a:rPr>
                    <a:t>Wing D</a:t>
                  </a:r>
                  <a:endParaRPr lang="en-IN" sz="1200" b="1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79" name="TextBox 17">
                  <a:extLst>
                    <a:ext uri="{FF2B5EF4-FFF2-40B4-BE49-F238E27FC236}">
                      <a16:creationId xmlns:a16="http://schemas.microsoft.com/office/drawing/2014/main" xmlns="" id="{FE859C0F-4886-4003-B658-721113D0358D}"/>
                    </a:ext>
                  </a:extLst>
                </xdr:cNvPr>
                <xdr:cNvSpPr txBox="1"/>
              </xdr:nvSpPr>
              <xdr:spPr>
                <a:xfrm>
                  <a:off x="2811050" y="55922658"/>
                  <a:ext cx="681641" cy="306151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 b="1">
                      <a:solidFill>
                        <a:sysClr val="windowText" lastClr="000000"/>
                      </a:solidFill>
                    </a:rPr>
                    <a:t>Wing A</a:t>
                  </a:r>
                  <a:endParaRPr lang="en-IN" sz="1200" b="1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80" name="TextBox 17">
                  <a:extLst>
                    <a:ext uri="{FF2B5EF4-FFF2-40B4-BE49-F238E27FC236}">
                      <a16:creationId xmlns:a16="http://schemas.microsoft.com/office/drawing/2014/main" xmlns="" id="{FE859C0F-4886-4003-B658-721113D0358D}"/>
                    </a:ext>
                  </a:extLst>
                </xdr:cNvPr>
                <xdr:cNvSpPr txBox="1"/>
              </xdr:nvSpPr>
              <xdr:spPr>
                <a:xfrm>
                  <a:off x="3667380" y="56036957"/>
                  <a:ext cx="663289" cy="272776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200" b="1">
                      <a:solidFill>
                        <a:sysClr val="windowText" lastClr="000000"/>
                      </a:solidFill>
                    </a:rPr>
                    <a:t>Wing B</a:t>
                  </a:r>
                  <a:endParaRPr lang="en-IN" sz="1200" b="1">
                    <a:solidFill>
                      <a:sysClr val="windowText" lastClr="000000"/>
                    </a:solidFill>
                  </a:endParaRPr>
                </a:p>
              </xdr:txBody>
            </xdr:sp>
            <xdr:cxnSp macro="">
              <xdr:nvCxnSpPr>
                <xdr:cNvPr id="81" name="Straight Arrow Connector 80"/>
                <xdr:cNvCxnSpPr/>
              </xdr:nvCxnSpPr>
              <xdr:spPr>
                <a:xfrm>
                  <a:off x="3973132" y="56344415"/>
                  <a:ext cx="134077" cy="427745"/>
                </a:xfrm>
                <a:prstGeom prst="straightConnector1">
                  <a:avLst/>
                </a:prstGeom>
                <a:ln w="28575">
                  <a:solidFill>
                    <a:schemeClr val="tx1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2" name="Straight Arrow Connector 81"/>
                <xdr:cNvCxnSpPr/>
              </xdr:nvCxnSpPr>
              <xdr:spPr>
                <a:xfrm>
                  <a:off x="3163112" y="56207025"/>
                  <a:ext cx="206675" cy="333922"/>
                </a:xfrm>
                <a:prstGeom prst="straightConnector1">
                  <a:avLst/>
                </a:prstGeom>
                <a:ln w="28575">
                  <a:solidFill>
                    <a:schemeClr val="tx1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3" name="Straight Arrow Connector 82"/>
                <xdr:cNvCxnSpPr/>
              </xdr:nvCxnSpPr>
              <xdr:spPr>
                <a:xfrm flipH="1">
                  <a:off x="2736498" y="56749875"/>
                  <a:ext cx="95251" cy="342900"/>
                </a:xfrm>
                <a:prstGeom prst="straightConnector1">
                  <a:avLst/>
                </a:prstGeom>
                <a:ln w="28575">
                  <a:solidFill>
                    <a:schemeClr val="tx1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75" name="TextBox 17">
                <a:extLst>
                  <a:ext uri="{FF2B5EF4-FFF2-40B4-BE49-F238E27FC236}">
                    <a16:creationId xmlns:a16="http://schemas.microsoft.com/office/drawing/2014/main" xmlns="" id="{FE859C0F-4886-4003-B658-721113D0358D}"/>
                  </a:ext>
                </a:extLst>
              </xdr:cNvPr>
              <xdr:cNvSpPr txBox="1"/>
            </xdr:nvSpPr>
            <xdr:spPr>
              <a:xfrm>
                <a:off x="1485900" y="53054250"/>
                <a:ext cx="871467" cy="36104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600" b="1">
                    <a:solidFill>
                      <a:sysClr val="windowText" lastClr="000000"/>
                    </a:solidFill>
                  </a:rPr>
                  <a:t>Wing A</a:t>
                </a:r>
                <a:endParaRPr lang="en-IN" sz="1600" b="1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6" name="TextBox 17">
                <a:extLst>
                  <a:ext uri="{FF2B5EF4-FFF2-40B4-BE49-F238E27FC236}">
                    <a16:creationId xmlns:a16="http://schemas.microsoft.com/office/drawing/2014/main" xmlns="" id="{FE859C0F-4886-4003-B658-721113D0358D}"/>
                  </a:ext>
                </a:extLst>
              </xdr:cNvPr>
              <xdr:cNvSpPr txBox="1"/>
            </xdr:nvSpPr>
            <xdr:spPr>
              <a:xfrm>
                <a:off x="1035117" y="56198829"/>
                <a:ext cx="871467" cy="36104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600" b="1">
                    <a:solidFill>
                      <a:sysClr val="windowText" lastClr="000000"/>
                    </a:solidFill>
                  </a:rPr>
                  <a:t>Wing D</a:t>
                </a:r>
                <a:endParaRPr lang="en-IN" sz="1600" b="1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7" name="TextBox 17">
                <a:extLst>
                  <a:ext uri="{FF2B5EF4-FFF2-40B4-BE49-F238E27FC236}">
                    <a16:creationId xmlns:a16="http://schemas.microsoft.com/office/drawing/2014/main" xmlns="" id="{FE859C0F-4886-4003-B658-721113D0358D}"/>
                  </a:ext>
                </a:extLst>
              </xdr:cNvPr>
              <xdr:cNvSpPr txBox="1"/>
            </xdr:nvSpPr>
            <xdr:spPr>
              <a:xfrm>
                <a:off x="5153837" y="53069228"/>
                <a:ext cx="871467" cy="36104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600" b="1">
                    <a:solidFill>
                      <a:sysClr val="windowText" lastClr="000000"/>
                    </a:solidFill>
                  </a:rPr>
                  <a:t>Wing C</a:t>
                </a:r>
                <a:endParaRPr lang="en-IN" sz="1600" b="1">
                  <a:solidFill>
                    <a:sysClr val="windowText" lastClr="000000"/>
                  </a:solidFill>
                </a:endParaRPr>
              </a:p>
            </xdr:txBody>
          </xdr:sp>
        </xdr:grpSp>
        <xdr:pic>
          <xdr:nvPicPr>
            <xdr:cNvPr id="93" name="Picture 92" descr="https://vsjcllp.vsjadon.com/upload/insp-249966-91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83206" y="55233794"/>
              <a:ext cx="2023354" cy="27006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89" name="TextBox 17">
            <a:extLst>
              <a:ext uri="{FF2B5EF4-FFF2-40B4-BE49-F238E27FC236}">
                <a16:creationId xmlns:a16="http://schemas.microsoft.com/office/drawing/2014/main" xmlns="" id="{FE859C0F-4886-4003-B658-721113D0358D}"/>
              </a:ext>
            </a:extLst>
          </xdr:cNvPr>
          <xdr:cNvSpPr txBox="1"/>
        </xdr:nvSpPr>
        <xdr:spPr>
          <a:xfrm>
            <a:off x="3048000" y="52430891"/>
            <a:ext cx="874029" cy="34996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>
                <a:solidFill>
                  <a:sysClr val="windowText" lastClr="000000"/>
                </a:solidFill>
              </a:rPr>
              <a:t>Wing B</a:t>
            </a:r>
            <a:endParaRPr lang="en-IN" sz="16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4sb1J3pi7TsvhB63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96"/>
  <sheetViews>
    <sheetView tabSelected="1" view="pageBreakPreview" zoomScaleNormal="115" zoomScaleSheetLayoutView="100" workbookViewId="0">
      <selection activeCell="L2" sqref="L2"/>
    </sheetView>
  </sheetViews>
  <sheetFormatPr defaultRowHeight="12.75" x14ac:dyDescent="0.2"/>
  <cols>
    <col min="1" max="2" width="12" style="6" customWidth="1"/>
    <col min="3" max="8" width="12.85546875" style="6" customWidth="1"/>
    <col min="9" max="9" width="13.85546875" style="6" customWidth="1"/>
    <col min="10" max="16384" width="9.140625" style="6"/>
  </cols>
  <sheetData>
    <row r="1" spans="1:20" ht="41.25" customHeight="1" x14ac:dyDescent="0.2">
      <c r="A1" s="210" t="s">
        <v>147</v>
      </c>
      <c r="B1" s="210"/>
      <c r="C1" s="211"/>
      <c r="D1" s="211"/>
      <c r="E1" s="211"/>
      <c r="F1" s="211"/>
      <c r="G1" s="211"/>
      <c r="H1" s="211"/>
    </row>
    <row r="2" spans="1:20" ht="14.25" x14ac:dyDescent="0.2">
      <c r="A2" s="217" t="s">
        <v>86</v>
      </c>
      <c r="B2" s="217"/>
      <c r="C2" s="217"/>
      <c r="D2" s="217"/>
      <c r="E2" s="217"/>
      <c r="F2" s="217"/>
      <c r="G2" s="217"/>
      <c r="H2" s="217"/>
    </row>
    <row r="3" spans="1:20" ht="25.5" x14ac:dyDescent="0.2">
      <c r="A3" s="12" t="s">
        <v>103</v>
      </c>
      <c r="B3" s="12"/>
      <c r="C3" s="155" t="s">
        <v>109</v>
      </c>
      <c r="D3" s="156"/>
      <c r="E3" s="157"/>
      <c r="F3" s="11" t="s">
        <v>104</v>
      </c>
      <c r="G3" s="158">
        <v>45933</v>
      </c>
      <c r="H3" s="158"/>
    </row>
    <row r="4" spans="1:20" ht="25.5" x14ac:dyDescent="0.2">
      <c r="A4" s="12" t="s">
        <v>107</v>
      </c>
      <c r="B4" s="12"/>
      <c r="C4" s="155" t="s">
        <v>232</v>
      </c>
      <c r="D4" s="156"/>
      <c r="E4" s="157"/>
      <c r="F4" s="11" t="s">
        <v>105</v>
      </c>
      <c r="G4" s="159" t="s">
        <v>301</v>
      </c>
      <c r="H4" s="159"/>
    </row>
    <row r="5" spans="1:20" ht="25.5" x14ac:dyDescent="0.2">
      <c r="A5" s="221" t="s">
        <v>108</v>
      </c>
      <c r="B5" s="222"/>
      <c r="C5" s="155" t="s">
        <v>233</v>
      </c>
      <c r="D5" s="156"/>
      <c r="E5" s="157"/>
      <c r="F5" s="11" t="s">
        <v>106</v>
      </c>
      <c r="G5" s="158" t="str">
        <f ca="1">TEXT(TODAY(),"DD/MM/YYYY")</f>
        <v>04/10/2025</v>
      </c>
      <c r="H5" s="158"/>
    </row>
    <row r="6" spans="1:20" ht="14.25" x14ac:dyDescent="0.2">
      <c r="A6" s="217" t="s">
        <v>102</v>
      </c>
      <c r="B6" s="217"/>
      <c r="C6" s="217"/>
      <c r="D6" s="217"/>
      <c r="E6" s="217"/>
      <c r="F6" s="217"/>
      <c r="G6" s="217"/>
      <c r="H6" s="217"/>
    </row>
    <row r="7" spans="1:20" ht="14.25" x14ac:dyDescent="0.2">
      <c r="A7" s="164" t="s">
        <v>0</v>
      </c>
      <c r="B7" s="165"/>
      <c r="C7" s="219" t="s">
        <v>234</v>
      </c>
      <c r="D7" s="219"/>
      <c r="E7" s="219"/>
      <c r="F7" s="219"/>
      <c r="G7" s="219"/>
      <c r="H7" s="219"/>
    </row>
    <row r="8" spans="1:20" ht="25.5" customHeight="1" x14ac:dyDescent="0.2">
      <c r="A8" s="164" t="s">
        <v>1</v>
      </c>
      <c r="B8" s="165"/>
      <c r="C8" s="212" t="str">
        <f>CONCATENATE((IF(OR(C7="",C7="NA"),"",C7)),", ",(IF(OR(A9="",A9="NA"),"",A9)),".",(IF(OR(C9="",C9="NA"),"",C9)),", near ",(IF(OR(C17="",C17="NA"),"",C17)),", ",(IF(OR(C11="",C11="NA"),"",C11)),", ",(IF(OR(C10="",C10="NA"),"",C10)),", ",(IF(OR(C12="",C12="NA"),"",C12)),", ",(IF(OR(C13="",C13="NA"),"",C13)),", ",(IF(OR(C14="",C14="NA"),"",C14))," - ",(IF(OR(C15="",C15="NA"),"",C15)),".")</f>
        <v>Bachraj Legend, CTS No.24(Old 128) H No. B/3, B/4 (Plot B), near Gurukul Pride International School, Narangi Bypass Road, Dongre, Virar West, Vasai, Palghar - 401303.</v>
      </c>
      <c r="D8" s="212"/>
      <c r="E8" s="212"/>
      <c r="F8" s="212"/>
      <c r="G8" s="212"/>
      <c r="H8" s="212"/>
      <c r="P8" s="59" t="s">
        <v>152</v>
      </c>
      <c r="Q8" s="59" t="s">
        <v>153</v>
      </c>
      <c r="R8" s="59" t="s">
        <v>154</v>
      </c>
      <c r="S8" s="59" t="s">
        <v>155</v>
      </c>
      <c r="T8" s="59" t="s">
        <v>156</v>
      </c>
    </row>
    <row r="9" spans="1:20" ht="15" x14ac:dyDescent="0.2">
      <c r="A9" s="164" t="s">
        <v>151</v>
      </c>
      <c r="B9" s="165"/>
      <c r="C9" s="212" t="s">
        <v>235</v>
      </c>
      <c r="D9" s="212"/>
      <c r="E9" s="212"/>
      <c r="F9" s="212"/>
      <c r="G9" s="212"/>
      <c r="H9" s="212"/>
      <c r="P9" s="59" t="s">
        <v>157</v>
      </c>
      <c r="Q9" s="59" t="s">
        <v>158</v>
      </c>
      <c r="R9" s="59" t="s">
        <v>159</v>
      </c>
      <c r="S9" s="59" t="s">
        <v>160</v>
      </c>
      <c r="T9" s="59" t="s">
        <v>161</v>
      </c>
    </row>
    <row r="10" spans="1:20" ht="15" x14ac:dyDescent="0.2">
      <c r="A10" s="164" t="s">
        <v>6</v>
      </c>
      <c r="B10" s="165"/>
      <c r="C10" s="213" t="s">
        <v>236</v>
      </c>
      <c r="D10" s="213"/>
      <c r="E10" s="213" t="s">
        <v>236</v>
      </c>
      <c r="F10" s="213"/>
      <c r="G10" s="213" t="s">
        <v>236</v>
      </c>
      <c r="H10" s="213"/>
      <c r="P10" s="59" t="s">
        <v>162</v>
      </c>
      <c r="Q10" s="59" t="s">
        <v>163</v>
      </c>
      <c r="R10" s="59" t="s">
        <v>164</v>
      </c>
      <c r="S10" s="59" t="s">
        <v>165</v>
      </c>
      <c r="T10" s="59" t="s">
        <v>166</v>
      </c>
    </row>
    <row r="11" spans="1:20" ht="15" x14ac:dyDescent="0.2">
      <c r="A11" s="164" t="s">
        <v>149</v>
      </c>
      <c r="B11" s="165"/>
      <c r="C11" s="213" t="s">
        <v>237</v>
      </c>
      <c r="D11" s="213"/>
      <c r="E11" s="213" t="s">
        <v>237</v>
      </c>
      <c r="F11" s="213"/>
      <c r="G11" s="213" t="s">
        <v>237</v>
      </c>
      <c r="H11" s="213"/>
      <c r="P11" s="59" t="s">
        <v>167</v>
      </c>
      <c r="Q11" s="59" t="s">
        <v>168</v>
      </c>
      <c r="R11" s="59" t="s">
        <v>169</v>
      </c>
      <c r="S11" s="59" t="s">
        <v>170</v>
      </c>
      <c r="T11" s="59" t="s">
        <v>171</v>
      </c>
    </row>
    <row r="12" spans="1:20" ht="15" x14ac:dyDescent="0.2">
      <c r="A12" s="164" t="s">
        <v>150</v>
      </c>
      <c r="B12" s="165"/>
      <c r="C12" s="213" t="s">
        <v>238</v>
      </c>
      <c r="D12" s="213"/>
      <c r="E12" s="213" t="s">
        <v>238</v>
      </c>
      <c r="F12" s="213"/>
      <c r="G12" s="213" t="s">
        <v>238</v>
      </c>
      <c r="H12" s="213"/>
      <c r="P12" s="59" t="s">
        <v>172</v>
      </c>
      <c r="Q12" s="59" t="s">
        <v>173</v>
      </c>
      <c r="R12" s="59" t="s">
        <v>154</v>
      </c>
      <c r="S12" s="59" t="s">
        <v>174</v>
      </c>
      <c r="T12" s="59" t="s">
        <v>175</v>
      </c>
    </row>
    <row r="13" spans="1:20" ht="15" x14ac:dyDescent="0.2">
      <c r="A13" s="164" t="s">
        <v>136</v>
      </c>
      <c r="B13" s="165"/>
      <c r="C13" s="213" t="s">
        <v>168</v>
      </c>
      <c r="D13" s="213"/>
      <c r="E13" s="213" t="s">
        <v>168</v>
      </c>
      <c r="F13" s="213"/>
      <c r="G13" s="213" t="s">
        <v>168</v>
      </c>
      <c r="H13" s="213"/>
      <c r="P13" s="59" t="s">
        <v>176</v>
      </c>
      <c r="Q13" s="59" t="s">
        <v>153</v>
      </c>
      <c r="R13" s="59"/>
      <c r="S13" s="59" t="s">
        <v>177</v>
      </c>
      <c r="T13" s="59" t="s">
        <v>178</v>
      </c>
    </row>
    <row r="14" spans="1:20" ht="15" x14ac:dyDescent="0.2">
      <c r="A14" s="164" t="s">
        <v>137</v>
      </c>
      <c r="B14" s="165"/>
      <c r="C14" s="213" t="s">
        <v>153</v>
      </c>
      <c r="D14" s="213"/>
      <c r="E14" s="213" t="s">
        <v>153</v>
      </c>
      <c r="F14" s="213"/>
      <c r="G14" s="213" t="s">
        <v>153</v>
      </c>
      <c r="H14" s="213"/>
      <c r="P14" s="59" t="s">
        <v>179</v>
      </c>
      <c r="Q14" s="59" t="s">
        <v>180</v>
      </c>
      <c r="R14" s="59"/>
      <c r="S14" s="59" t="s">
        <v>181</v>
      </c>
      <c r="T14" s="59" t="s">
        <v>182</v>
      </c>
    </row>
    <row r="15" spans="1:20" ht="15" x14ac:dyDescent="0.2">
      <c r="A15" s="164" t="s">
        <v>138</v>
      </c>
      <c r="B15" s="165"/>
      <c r="C15" s="214">
        <v>401303</v>
      </c>
      <c r="D15" s="214"/>
      <c r="E15" s="214">
        <v>401303</v>
      </c>
      <c r="F15" s="214"/>
      <c r="G15" s="214">
        <v>401303</v>
      </c>
      <c r="H15" s="214"/>
      <c r="P15" s="59" t="s">
        <v>183</v>
      </c>
      <c r="Q15" s="59" t="s">
        <v>184</v>
      </c>
      <c r="R15" s="59"/>
      <c r="S15" s="59" t="s">
        <v>185</v>
      </c>
      <c r="T15" s="59" t="s">
        <v>186</v>
      </c>
    </row>
    <row r="16" spans="1:20" ht="30" customHeight="1" x14ac:dyDescent="0.2">
      <c r="A16" s="164" t="s">
        <v>49</v>
      </c>
      <c r="B16" s="165"/>
      <c r="C16" s="212" t="s">
        <v>239</v>
      </c>
      <c r="D16" s="212"/>
      <c r="E16" s="212"/>
      <c r="F16" s="212"/>
      <c r="G16" s="212"/>
      <c r="H16" s="212"/>
      <c r="P16" s="59"/>
      <c r="Q16" s="59"/>
      <c r="R16" s="59"/>
      <c r="S16" s="59" t="s">
        <v>187</v>
      </c>
      <c r="T16" s="59" t="s">
        <v>188</v>
      </c>
    </row>
    <row r="17" spans="1:20" ht="15" x14ac:dyDescent="0.2">
      <c r="A17" s="164" t="s">
        <v>91</v>
      </c>
      <c r="B17" s="165"/>
      <c r="C17" s="216" t="s">
        <v>240</v>
      </c>
      <c r="D17" s="216"/>
      <c r="E17" s="216" t="s">
        <v>240</v>
      </c>
      <c r="F17" s="216"/>
      <c r="G17" s="216" t="s">
        <v>240</v>
      </c>
      <c r="H17" s="216"/>
      <c r="P17" s="59"/>
      <c r="Q17" s="59"/>
      <c r="R17" s="59"/>
      <c r="S17" s="59" t="s">
        <v>189</v>
      </c>
      <c r="T17" s="59" t="s">
        <v>190</v>
      </c>
    </row>
    <row r="18" spans="1:20" ht="15" x14ac:dyDescent="0.2">
      <c r="A18" s="164" t="s">
        <v>90</v>
      </c>
      <c r="B18" s="165"/>
      <c r="C18" s="174" t="s">
        <v>148</v>
      </c>
      <c r="D18" s="175"/>
      <c r="E18" s="176"/>
      <c r="F18" s="174" t="s">
        <v>241</v>
      </c>
      <c r="G18" s="175"/>
      <c r="H18" s="176"/>
      <c r="P18" s="59"/>
      <c r="Q18" s="59"/>
      <c r="R18" s="59"/>
      <c r="S18" s="59" t="s">
        <v>191</v>
      </c>
      <c r="T18" s="59" t="s">
        <v>192</v>
      </c>
    </row>
    <row r="19" spans="1:20" ht="15" x14ac:dyDescent="0.2">
      <c r="A19" s="164" t="s">
        <v>139</v>
      </c>
      <c r="B19" s="165"/>
      <c r="C19" s="220" t="s">
        <v>242</v>
      </c>
      <c r="D19" s="175"/>
      <c r="E19" s="175"/>
      <c r="F19" s="175"/>
      <c r="G19" s="175"/>
      <c r="H19" s="176"/>
      <c r="P19" s="59"/>
      <c r="Q19" s="59"/>
      <c r="R19" s="59"/>
      <c r="S19" s="59" t="s">
        <v>193</v>
      </c>
      <c r="T19" s="59" t="s">
        <v>194</v>
      </c>
    </row>
    <row r="20" spans="1:20" ht="15" x14ac:dyDescent="0.2">
      <c r="A20" s="164" t="s">
        <v>2</v>
      </c>
      <c r="B20" s="165"/>
      <c r="C20" s="212" t="s">
        <v>243</v>
      </c>
      <c r="D20" s="212"/>
      <c r="E20" s="212"/>
      <c r="F20" s="212"/>
      <c r="G20" s="212"/>
      <c r="H20" s="212"/>
      <c r="P20" s="59"/>
      <c r="Q20" s="59"/>
      <c r="R20" s="59"/>
      <c r="S20" s="59" t="s">
        <v>195</v>
      </c>
      <c r="T20" s="59" t="s">
        <v>196</v>
      </c>
    </row>
    <row r="21" spans="1:20" ht="27" customHeight="1" x14ac:dyDescent="0.2">
      <c r="A21" s="164" t="s">
        <v>3</v>
      </c>
      <c r="B21" s="165"/>
      <c r="C21" s="218" t="s">
        <v>244</v>
      </c>
      <c r="D21" s="218"/>
      <c r="E21" s="218"/>
      <c r="F21" s="218"/>
      <c r="G21" s="218"/>
      <c r="H21" s="218"/>
      <c r="P21" s="59"/>
      <c r="Q21" s="59"/>
      <c r="R21" s="59"/>
      <c r="S21" s="59" t="s">
        <v>197</v>
      </c>
      <c r="T21" s="59" t="s">
        <v>198</v>
      </c>
    </row>
    <row r="22" spans="1:20" ht="15" customHeight="1" x14ac:dyDescent="0.2">
      <c r="A22" s="164" t="s">
        <v>110</v>
      </c>
      <c r="B22" s="165"/>
      <c r="C22" s="214" t="s">
        <v>53</v>
      </c>
      <c r="D22" s="214"/>
      <c r="E22" s="214"/>
      <c r="F22" s="214"/>
      <c r="G22" s="214"/>
      <c r="H22" s="214"/>
      <c r="P22" s="59"/>
      <c r="Q22" s="59"/>
      <c r="R22" s="59"/>
      <c r="S22" s="59" t="s">
        <v>199</v>
      </c>
      <c r="T22" s="59" t="s">
        <v>200</v>
      </c>
    </row>
    <row r="23" spans="1:20" ht="25.5" customHeight="1" x14ac:dyDescent="0.2">
      <c r="A23" s="164" t="s">
        <v>4</v>
      </c>
      <c r="B23" s="165"/>
      <c r="C23" s="212" t="s">
        <v>245</v>
      </c>
      <c r="D23" s="213"/>
      <c r="E23" s="213"/>
      <c r="F23" s="213"/>
      <c r="G23" s="213"/>
      <c r="H23" s="213"/>
    </row>
    <row r="24" spans="1:20" x14ac:dyDescent="0.2">
      <c r="A24" s="164" t="s">
        <v>5</v>
      </c>
      <c r="B24" s="165"/>
      <c r="C24" s="213" t="s">
        <v>233</v>
      </c>
      <c r="D24" s="213"/>
      <c r="E24" s="213"/>
      <c r="F24" s="213" t="s">
        <v>233</v>
      </c>
      <c r="G24" s="213"/>
      <c r="H24" s="213"/>
    </row>
    <row r="25" spans="1:20" ht="27.75" customHeight="1" x14ac:dyDescent="0.2">
      <c r="A25" s="164" t="s">
        <v>88</v>
      </c>
      <c r="B25" s="165"/>
      <c r="C25" s="213" t="s">
        <v>246</v>
      </c>
      <c r="D25" s="213"/>
      <c r="E25" s="213"/>
      <c r="F25" s="213"/>
      <c r="G25" s="213"/>
      <c r="H25" s="213"/>
    </row>
    <row r="26" spans="1:20" ht="45.75" customHeight="1" x14ac:dyDescent="0.2">
      <c r="A26" s="166" t="s">
        <v>89</v>
      </c>
      <c r="B26" s="167"/>
      <c r="C26" s="215" t="s">
        <v>247</v>
      </c>
      <c r="D26" s="215"/>
      <c r="E26" s="215"/>
      <c r="F26" s="215"/>
      <c r="G26" s="215"/>
      <c r="H26" s="215"/>
    </row>
    <row r="27" spans="1:20" ht="51.75" customHeight="1" x14ac:dyDescent="0.2">
      <c r="A27" s="164" t="s">
        <v>93</v>
      </c>
      <c r="B27" s="165"/>
      <c r="C27" s="223" t="s">
        <v>248</v>
      </c>
      <c r="D27" s="223"/>
      <c r="E27" s="223"/>
      <c r="F27" s="13" t="s">
        <v>7</v>
      </c>
      <c r="G27" s="229" t="s">
        <v>92</v>
      </c>
      <c r="H27" s="229"/>
    </row>
    <row r="28" spans="1:20" ht="25.5" x14ac:dyDescent="0.2">
      <c r="A28" s="164" t="s">
        <v>8</v>
      </c>
      <c r="B28" s="165"/>
      <c r="C28" s="214" t="s">
        <v>285</v>
      </c>
      <c r="D28" s="214"/>
      <c r="E28" s="214"/>
      <c r="F28" s="13" t="s">
        <v>125</v>
      </c>
      <c r="G28" s="230">
        <f>0.15*506</f>
        <v>75.899999999999991</v>
      </c>
      <c r="H28" s="230"/>
    </row>
    <row r="29" spans="1:20" ht="28.5" customHeight="1" x14ac:dyDescent="0.2">
      <c r="A29" s="164" t="s">
        <v>211</v>
      </c>
      <c r="B29" s="165"/>
      <c r="C29" s="150" t="s">
        <v>248</v>
      </c>
      <c r="D29" s="151"/>
      <c r="E29" s="185"/>
      <c r="F29" s="185" t="s">
        <v>248</v>
      </c>
      <c r="G29" s="185"/>
      <c r="H29" s="186"/>
    </row>
    <row r="30" spans="1:20" ht="27" customHeight="1" x14ac:dyDescent="0.2">
      <c r="A30" s="164" t="s">
        <v>212</v>
      </c>
      <c r="B30" s="165"/>
      <c r="C30" s="150" t="s">
        <v>248</v>
      </c>
      <c r="D30" s="151"/>
      <c r="E30" s="185"/>
      <c r="F30" s="185"/>
      <c r="G30" s="185"/>
      <c r="H30" s="186"/>
    </row>
    <row r="31" spans="1:20" ht="12.75" customHeight="1" x14ac:dyDescent="0.2">
      <c r="A31" s="168" t="s">
        <v>9</v>
      </c>
      <c r="B31" s="169"/>
      <c r="C31" s="160" t="s">
        <v>94</v>
      </c>
      <c r="D31" s="161"/>
      <c r="E31" s="14" t="s">
        <v>12</v>
      </c>
      <c r="F31" s="14" t="s">
        <v>13</v>
      </c>
      <c r="G31" s="14" t="s">
        <v>14</v>
      </c>
      <c r="H31" s="14" t="s">
        <v>15</v>
      </c>
    </row>
    <row r="32" spans="1:20" ht="12.75" customHeight="1" x14ac:dyDescent="0.2">
      <c r="A32" s="170"/>
      <c r="B32" s="171"/>
      <c r="C32" s="162" t="s">
        <v>10</v>
      </c>
      <c r="D32" s="163"/>
      <c r="E32" s="15" t="s">
        <v>252</v>
      </c>
      <c r="F32" s="15" t="s">
        <v>252</v>
      </c>
      <c r="G32" s="15" t="s">
        <v>252</v>
      </c>
      <c r="H32" s="15" t="s">
        <v>252</v>
      </c>
    </row>
    <row r="33" spans="1:8" ht="12.75" customHeight="1" x14ac:dyDescent="0.2">
      <c r="A33" s="170"/>
      <c r="B33" s="171"/>
      <c r="C33" s="162" t="s">
        <v>87</v>
      </c>
      <c r="D33" s="163"/>
      <c r="E33" s="15" t="s">
        <v>279</v>
      </c>
      <c r="F33" s="16" t="s">
        <v>280</v>
      </c>
      <c r="G33" s="16" t="s">
        <v>281</v>
      </c>
      <c r="H33" s="16" t="s">
        <v>280</v>
      </c>
    </row>
    <row r="34" spans="1:8" ht="12.75" customHeight="1" x14ac:dyDescent="0.2">
      <c r="A34" s="172"/>
      <c r="B34" s="173"/>
      <c r="C34" s="162" t="s">
        <v>11</v>
      </c>
      <c r="D34" s="163"/>
      <c r="E34" s="15" t="s">
        <v>282</v>
      </c>
      <c r="F34" s="15" t="s">
        <v>283</v>
      </c>
      <c r="G34" s="15" t="s">
        <v>284</v>
      </c>
      <c r="H34" s="15" t="s">
        <v>284</v>
      </c>
    </row>
    <row r="35" spans="1:8" ht="29.25" customHeight="1" x14ac:dyDescent="0.2">
      <c r="A35" s="164" t="s">
        <v>16</v>
      </c>
      <c r="B35" s="165"/>
      <c r="C35" s="224" t="s">
        <v>249</v>
      </c>
      <c r="D35" s="224"/>
      <c r="E35" s="224"/>
      <c r="F35" s="224"/>
      <c r="G35" s="224"/>
      <c r="H35" s="224"/>
    </row>
    <row r="36" spans="1:8" ht="38.25" customHeight="1" x14ac:dyDescent="0.2">
      <c r="A36" s="164" t="s">
        <v>132</v>
      </c>
      <c r="B36" s="165"/>
      <c r="C36" s="233">
        <v>9150</v>
      </c>
      <c r="D36" s="234"/>
      <c r="E36" s="228" t="s">
        <v>133</v>
      </c>
      <c r="F36" s="228"/>
      <c r="G36" s="227">
        <v>7200.5</v>
      </c>
      <c r="H36" s="227"/>
    </row>
    <row r="37" spans="1:8" x14ac:dyDescent="0.2">
      <c r="A37" s="164" t="s">
        <v>17</v>
      </c>
      <c r="B37" s="165"/>
      <c r="C37" s="227" t="s">
        <v>289</v>
      </c>
      <c r="D37" s="227"/>
      <c r="E37" s="227"/>
      <c r="F37" s="227"/>
      <c r="G37" s="227"/>
      <c r="H37" s="227"/>
    </row>
    <row r="38" spans="1:8" ht="105.75" customHeight="1" x14ac:dyDescent="0.2">
      <c r="A38" s="164" t="s">
        <v>124</v>
      </c>
      <c r="B38" s="165"/>
      <c r="C38" s="232" t="s">
        <v>288</v>
      </c>
      <c r="D38" s="232"/>
      <c r="E38" s="215"/>
      <c r="F38" s="215"/>
      <c r="G38" s="215"/>
      <c r="H38" s="215"/>
    </row>
    <row r="39" spans="1:8" x14ac:dyDescent="0.2">
      <c r="A39" s="231" t="s">
        <v>95</v>
      </c>
      <c r="B39" s="231"/>
      <c r="C39" s="231"/>
      <c r="D39" s="231"/>
      <c r="E39" s="231"/>
      <c r="F39" s="231"/>
      <c r="G39" s="231"/>
      <c r="H39" s="231"/>
    </row>
    <row r="40" spans="1:8" ht="12.75" customHeight="1" x14ac:dyDescent="0.2">
      <c r="A40" s="187" t="s">
        <v>19</v>
      </c>
      <c r="B40" s="188"/>
      <c r="C40" s="142" t="s">
        <v>96</v>
      </c>
      <c r="D40" s="142"/>
      <c r="E40" s="142"/>
      <c r="F40" s="142"/>
      <c r="G40" s="226">
        <v>7200.5</v>
      </c>
      <c r="H40" s="226"/>
    </row>
    <row r="41" spans="1:8" x14ac:dyDescent="0.2">
      <c r="A41" s="189"/>
      <c r="B41" s="190"/>
      <c r="C41" s="142" t="s">
        <v>97</v>
      </c>
      <c r="D41" s="142"/>
      <c r="E41" s="142"/>
      <c r="F41" s="142"/>
      <c r="G41" s="226">
        <f>7920.55/G40</f>
        <v>1.1000000000000001</v>
      </c>
      <c r="H41" s="226"/>
    </row>
    <row r="42" spans="1:8" x14ac:dyDescent="0.2">
      <c r="A42" s="189"/>
      <c r="B42" s="190"/>
      <c r="C42" s="142" t="s">
        <v>98</v>
      </c>
      <c r="D42" s="142"/>
      <c r="E42" s="142"/>
      <c r="F42" s="142"/>
      <c r="G42" s="199">
        <f>G45/G40-G41</f>
        <v>3.4737087702242895</v>
      </c>
      <c r="H42" s="199"/>
    </row>
    <row r="43" spans="1:8" x14ac:dyDescent="0.2">
      <c r="A43" s="189"/>
      <c r="B43" s="190"/>
      <c r="C43" s="142" t="s">
        <v>99</v>
      </c>
      <c r="D43" s="142"/>
      <c r="E43" s="142"/>
      <c r="F43" s="142"/>
      <c r="G43" s="199">
        <f>G41+G42</f>
        <v>4.5737087702242896</v>
      </c>
      <c r="H43" s="199"/>
    </row>
    <row r="44" spans="1:8" x14ac:dyDescent="0.2">
      <c r="A44" s="189"/>
      <c r="B44" s="190"/>
      <c r="C44" s="142" t="s">
        <v>130</v>
      </c>
      <c r="D44" s="142"/>
      <c r="E44" s="142"/>
      <c r="F44" s="142"/>
      <c r="G44" s="199">
        <f>G40*G43</f>
        <v>32932.99</v>
      </c>
      <c r="H44" s="199"/>
    </row>
    <row r="45" spans="1:8" x14ac:dyDescent="0.2">
      <c r="A45" s="191"/>
      <c r="B45" s="192"/>
      <c r="C45" s="142" t="s">
        <v>100</v>
      </c>
      <c r="D45" s="142"/>
      <c r="E45" s="142"/>
      <c r="F45" s="142"/>
      <c r="G45" s="199">
        <v>32932.99</v>
      </c>
      <c r="H45" s="199"/>
    </row>
    <row r="46" spans="1:8" ht="32.25" customHeight="1" x14ac:dyDescent="0.2">
      <c r="A46" s="164" t="s">
        <v>101</v>
      </c>
      <c r="B46" s="165"/>
      <c r="C46" s="147" t="s">
        <v>250</v>
      </c>
      <c r="D46" s="148"/>
      <c r="E46" s="148"/>
      <c r="F46" s="149"/>
      <c r="G46" s="62" t="s">
        <v>231</v>
      </c>
      <c r="H46" s="63">
        <v>44988</v>
      </c>
    </row>
    <row r="47" spans="1:8" ht="32.25" customHeight="1" x14ac:dyDescent="0.2">
      <c r="A47" s="164" t="s">
        <v>20</v>
      </c>
      <c r="B47" s="165"/>
      <c r="C47" s="224" t="s">
        <v>290</v>
      </c>
      <c r="D47" s="224"/>
      <c r="E47" s="142"/>
      <c r="F47" s="142"/>
      <c r="G47" s="142"/>
      <c r="H47" s="142"/>
    </row>
    <row r="48" spans="1:8" s="67" customFormat="1" ht="45" customHeight="1" x14ac:dyDescent="0.25">
      <c r="A48" s="164" t="s">
        <v>21</v>
      </c>
      <c r="B48" s="165"/>
      <c r="C48" s="150" t="s">
        <v>292</v>
      </c>
      <c r="D48" s="151"/>
      <c r="E48" s="151"/>
      <c r="F48" s="152"/>
      <c r="G48" s="62" t="s">
        <v>231</v>
      </c>
      <c r="H48" s="63">
        <f>H46</f>
        <v>44988</v>
      </c>
    </row>
    <row r="49" spans="1:10" ht="25.5" customHeight="1" x14ac:dyDescent="0.2">
      <c r="A49" s="193" t="s">
        <v>22</v>
      </c>
      <c r="B49" s="194"/>
      <c r="C49" s="140" t="s">
        <v>111</v>
      </c>
      <c r="D49" s="141"/>
      <c r="E49" s="225" t="s">
        <v>251</v>
      </c>
      <c r="F49" s="225"/>
      <c r="G49" s="225"/>
      <c r="H49" s="225"/>
    </row>
    <row r="50" spans="1:10" x14ac:dyDescent="0.2">
      <c r="A50" s="195"/>
      <c r="B50" s="196"/>
      <c r="C50" s="140" t="s">
        <v>112</v>
      </c>
      <c r="D50" s="141"/>
      <c r="E50" s="225" t="s">
        <v>252</v>
      </c>
      <c r="F50" s="225"/>
      <c r="G50" s="225"/>
      <c r="H50" s="225"/>
    </row>
    <row r="51" spans="1:10" ht="26.25" customHeight="1" x14ac:dyDescent="0.2">
      <c r="A51" s="197"/>
      <c r="B51" s="198"/>
      <c r="C51" s="140" t="s">
        <v>113</v>
      </c>
      <c r="D51" s="141"/>
      <c r="E51" s="225" t="s">
        <v>252</v>
      </c>
      <c r="F51" s="225"/>
      <c r="G51" s="225"/>
      <c r="H51" s="225"/>
    </row>
    <row r="52" spans="1:10" ht="42" customHeight="1" x14ac:dyDescent="0.2">
      <c r="A52" s="153" t="s">
        <v>253</v>
      </c>
      <c r="B52" s="154"/>
      <c r="C52" s="150" t="s">
        <v>256</v>
      </c>
      <c r="D52" s="151"/>
      <c r="E52" s="151"/>
      <c r="F52" s="152"/>
      <c r="G52" s="62" t="s">
        <v>231</v>
      </c>
      <c r="H52" s="63">
        <v>44872</v>
      </c>
    </row>
    <row r="53" spans="1:10" ht="69.75" customHeight="1" x14ac:dyDescent="0.2">
      <c r="A53" s="153" t="s">
        <v>254</v>
      </c>
      <c r="B53" s="154"/>
      <c r="C53" s="150" t="s">
        <v>255</v>
      </c>
      <c r="D53" s="151"/>
      <c r="E53" s="151"/>
      <c r="F53" s="152"/>
      <c r="G53" s="62" t="s">
        <v>231</v>
      </c>
      <c r="H53" s="63">
        <v>45027</v>
      </c>
    </row>
    <row r="54" spans="1:10" x14ac:dyDescent="0.2">
      <c r="A54" s="128" t="s">
        <v>23</v>
      </c>
      <c r="B54" s="128"/>
      <c r="C54" s="128"/>
      <c r="D54" s="128"/>
      <c r="E54" s="128"/>
      <c r="F54" s="128"/>
      <c r="G54" s="128"/>
      <c r="H54" s="128"/>
    </row>
    <row r="55" spans="1:10" ht="25.5" customHeight="1" x14ac:dyDescent="0.2">
      <c r="A55" s="125" t="s">
        <v>24</v>
      </c>
      <c r="B55" s="127"/>
      <c r="C55" s="144">
        <v>45091</v>
      </c>
      <c r="D55" s="146"/>
      <c r="E55" s="125" t="s">
        <v>25</v>
      </c>
      <c r="F55" s="127"/>
      <c r="G55" s="144">
        <v>46722</v>
      </c>
      <c r="H55" s="145"/>
    </row>
    <row r="56" spans="1:10" ht="13.5" thickBot="1" x14ac:dyDescent="0.25">
      <c r="A56" s="143" t="s">
        <v>58</v>
      </c>
      <c r="B56" s="143"/>
      <c r="C56" s="143"/>
      <c r="D56" s="143"/>
      <c r="E56" s="143"/>
      <c r="F56" s="143"/>
      <c r="G56" s="143"/>
      <c r="H56" s="143"/>
    </row>
    <row r="57" spans="1:10" ht="12.75" customHeight="1" x14ac:dyDescent="0.2">
      <c r="A57" s="101" t="s">
        <v>257</v>
      </c>
      <c r="B57" s="102"/>
      <c r="C57" s="102"/>
      <c r="D57" s="103"/>
      <c r="E57" s="39" t="s">
        <v>59</v>
      </c>
      <c r="F57" s="39" t="s">
        <v>60</v>
      </c>
      <c r="G57" s="39" t="s">
        <v>61</v>
      </c>
      <c r="H57" s="40" t="s">
        <v>47</v>
      </c>
      <c r="I57" s="41" t="str">
        <f ca="1">(IF(G61&gt;99%,"All work completed. Please provide OC.",IF(G61&gt;89.8%,"Plinth, RCC, Brick, Plaster, Flooring, Painting work Completed. Finishing work is in process.",IF(G61&lt;94%,(IF(E61=0,"Work not yet Started.",IF(F61=25%,"Piling work in process",IF(F61=50%,"Excavation work in process",IF(F61=100%,"Excavation work Completed. ","0")))&amp;(IF(E62=0%,"",IF(E62=J63,"Footing work is process",IF(E62=J64,"Footing work Completed",IF(E62=J65,"1st Basement Completed",IF(E62=J66,"1st &amp; 2nd Basement Completed",IF(E62=J67,"1st to 3rd Basement Completed",IF(E62=J68,"1st to 4th Basement Completed",IF(E62=J69,"Plinth work is process",IF(E62=J70,"Plinth work completed","0")))))))))))&amp;(IF(E63=(F58+G58+H58),", RCC Slab",IF(E63&gt;0,", RCC upto "&amp;E63&amp;" Slab",""))&amp;(IF(E64=H58,", Brickwork",IF(E64&gt;0,", Brickwork upto "&amp;E64&amp;" Floor",""))&amp;(IF(E65=H58,", Internal Plaster",IF(E65&gt;0,", Internal Plaster upto "&amp;E65&amp;" Floor",""))&amp;(IF(E66=H58,", External Plaster",IF(E66&gt;0,", External Plaster upto "&amp;E66&amp;" Floor",""))&amp;(IF(E67=H58,", Flooring",IF(E67&gt;0,", Flooring upto "&amp;E67&amp;" Floor",""))&amp;(IF(E68=H58,", Painting",IF(E68&gt;0,", Painting upto "&amp;E68&amp;" Floor",""))&amp;(IF(E69&gt;0,", Finishing upto "&amp;E69&amp;" Floor","")&amp;(IF(E63&gt;0.5," Completed",""))))))))))))))</f>
        <v>Excavation work Completed. Plinth work completed, RCC Slab, Brickwork, Internal Plaster upto 17 Floor, External Plaster upto 11 Floor, Flooring upto 5 Floor Completed</v>
      </c>
      <c r="J57" s="42"/>
    </row>
    <row r="58" spans="1:10" x14ac:dyDescent="0.2">
      <c r="A58" s="104"/>
      <c r="B58" s="105"/>
      <c r="C58" s="105"/>
      <c r="D58" s="106"/>
      <c r="E58" s="43">
        <v>0</v>
      </c>
      <c r="F58" s="43">
        <v>1</v>
      </c>
      <c r="G58" s="43">
        <v>0</v>
      </c>
      <c r="H58" s="44">
        <f ca="1">--TRIM(RIGHT(SUBSTITUTE(LEFT(A57,_xlfn.AGGREGATE(16,6,FIND({0,1,2,3,4,5,6,7,8,9},A57,ROW(INDIRECT("1:"&amp;LEN(A57)))),1))," ",REPT(" ",LEN(A57))),LEN(A57)))</f>
        <v>19</v>
      </c>
      <c r="I58" s="45"/>
      <c r="J58" s="46"/>
    </row>
    <row r="59" spans="1:10" ht="26.25" customHeight="1" x14ac:dyDescent="0.2">
      <c r="A59" s="61" t="s">
        <v>140</v>
      </c>
      <c r="B59" s="60"/>
      <c r="C59" s="107" t="str">
        <f ca="1">I57</f>
        <v>Excavation work Completed. Plinth work completed, RCC Slab, Brickwork, Internal Plaster upto 17 Floor, External Plaster upto 11 Floor, Flooring upto 5 Floor Completed</v>
      </c>
      <c r="D59" s="107"/>
      <c r="E59" s="107"/>
      <c r="F59" s="107"/>
      <c r="G59" s="107"/>
      <c r="H59" s="108"/>
      <c r="I59" s="45" t="s">
        <v>141</v>
      </c>
      <c r="J59" s="46"/>
    </row>
    <row r="60" spans="1:10" x14ac:dyDescent="0.2">
      <c r="A60" s="91" t="s">
        <v>62</v>
      </c>
      <c r="B60" s="92"/>
      <c r="C60" s="109" t="s">
        <v>142</v>
      </c>
      <c r="D60" s="109"/>
      <c r="E60" s="47" t="s">
        <v>63</v>
      </c>
      <c r="F60" s="47" t="s">
        <v>64</v>
      </c>
      <c r="G60" s="110" t="s">
        <v>57</v>
      </c>
      <c r="H60" s="111"/>
      <c r="I60" s="1" t="s">
        <v>65</v>
      </c>
      <c r="J60" s="48">
        <f ca="1">H58*25%</f>
        <v>4.75</v>
      </c>
    </row>
    <row r="61" spans="1:10" ht="15" customHeight="1" x14ac:dyDescent="0.2">
      <c r="A61" s="91" t="s">
        <v>66</v>
      </c>
      <c r="B61" s="92"/>
      <c r="C61" s="93">
        <v>0</v>
      </c>
      <c r="D61" s="93"/>
      <c r="E61" s="49">
        <f ca="1">J62</f>
        <v>19</v>
      </c>
      <c r="F61" s="50">
        <f ca="1">((100/H58)*E61)/100</f>
        <v>1</v>
      </c>
      <c r="G61" s="94">
        <f ca="1">(((E62/H58*10)+(40/(F58+G58+H58)*E63)+(15/(H58)*E64)+(5/(H58)*E65)+(5/H58*E66)+(10/H58*E67)+(5/H58*E68)+(5/H58*E69)+(5/H58*E70))/100)</f>
        <v>0.75</v>
      </c>
      <c r="H61" s="95"/>
      <c r="I61" s="1" t="s">
        <v>67</v>
      </c>
      <c r="J61" s="51">
        <f ca="1">H58*50%</f>
        <v>9.5</v>
      </c>
    </row>
    <row r="62" spans="1:10" ht="15" customHeight="1" x14ac:dyDescent="0.2">
      <c r="A62" s="91" t="s">
        <v>68</v>
      </c>
      <c r="B62" s="92"/>
      <c r="C62" s="93">
        <v>0.1</v>
      </c>
      <c r="D62" s="93"/>
      <c r="E62" s="52">
        <f ca="1">J70</f>
        <v>19</v>
      </c>
      <c r="F62" s="50">
        <f ca="1">((100/H58)*E62)/100</f>
        <v>1</v>
      </c>
      <c r="G62" s="94"/>
      <c r="H62" s="95"/>
      <c r="I62" s="1" t="s">
        <v>69</v>
      </c>
      <c r="J62" s="51">
        <f ca="1">H58</f>
        <v>19</v>
      </c>
    </row>
    <row r="63" spans="1:10" ht="15" customHeight="1" x14ac:dyDescent="0.2">
      <c r="A63" s="91" t="s">
        <v>70</v>
      </c>
      <c r="B63" s="92"/>
      <c r="C63" s="93">
        <v>0.4</v>
      </c>
      <c r="D63" s="93"/>
      <c r="E63" s="52">
        <v>20</v>
      </c>
      <c r="F63" s="50">
        <f ca="1">((100/(F58+G58+H58))*E63)/100</f>
        <v>1</v>
      </c>
      <c r="G63" s="94"/>
      <c r="H63" s="95"/>
      <c r="I63" s="1" t="s">
        <v>71</v>
      </c>
      <c r="J63" s="53">
        <f ca="1">(IF(E58&gt;1,(H58/(E58+2)),H58/4))</f>
        <v>4.75</v>
      </c>
    </row>
    <row r="64" spans="1:10" ht="15" customHeight="1" x14ac:dyDescent="0.2">
      <c r="A64" s="91" t="s">
        <v>72</v>
      </c>
      <c r="B64" s="92"/>
      <c r="C64" s="93">
        <v>0.15</v>
      </c>
      <c r="D64" s="93"/>
      <c r="E64" s="49">
        <v>19</v>
      </c>
      <c r="F64" s="50">
        <f ca="1">((100/H58)*E64)/100</f>
        <v>1</v>
      </c>
      <c r="G64" s="94"/>
      <c r="H64" s="95"/>
      <c r="I64" s="1" t="s">
        <v>73</v>
      </c>
      <c r="J64" s="53">
        <f ca="1">(IF(E58&gt;1,(H58/(E58+2)+J63),H58/4+J63))</f>
        <v>9.5</v>
      </c>
    </row>
    <row r="65" spans="1:10" ht="15" customHeight="1" x14ac:dyDescent="0.2">
      <c r="A65" s="91" t="s">
        <v>74</v>
      </c>
      <c r="B65" s="92"/>
      <c r="C65" s="93">
        <v>0.05</v>
      </c>
      <c r="D65" s="93"/>
      <c r="E65" s="49">
        <v>17</v>
      </c>
      <c r="F65" s="50">
        <f ca="1">((100/H58)*E65)/100</f>
        <v>0.89473684210526327</v>
      </c>
      <c r="G65" s="94"/>
      <c r="H65" s="95"/>
      <c r="I65" s="1" t="s">
        <v>75</v>
      </c>
      <c r="J65" s="53">
        <f>(IF(E58&gt;1,(H58/(E58+2)+J64),0))</f>
        <v>0</v>
      </c>
    </row>
    <row r="66" spans="1:10" ht="15" customHeight="1" x14ac:dyDescent="0.2">
      <c r="A66" s="91" t="s">
        <v>76</v>
      </c>
      <c r="B66" s="92"/>
      <c r="C66" s="93">
        <v>0.05</v>
      </c>
      <c r="D66" s="93"/>
      <c r="E66" s="49">
        <v>11</v>
      </c>
      <c r="F66" s="50">
        <f ca="1">((100/(H58))*E66)/100</f>
        <v>0.57894736842105265</v>
      </c>
      <c r="G66" s="94"/>
      <c r="H66" s="95"/>
      <c r="I66" s="1" t="s">
        <v>77</v>
      </c>
      <c r="J66" s="53">
        <f>(IF(E58&gt;2,(H58/(E58+2)+J65),0))</f>
        <v>0</v>
      </c>
    </row>
    <row r="67" spans="1:10" ht="15" customHeight="1" x14ac:dyDescent="0.2">
      <c r="A67" s="91" t="s">
        <v>78</v>
      </c>
      <c r="B67" s="92"/>
      <c r="C67" s="93">
        <v>0.1</v>
      </c>
      <c r="D67" s="93"/>
      <c r="E67" s="49">
        <v>5</v>
      </c>
      <c r="F67" s="50">
        <f ca="1">((100/H58)*E67)/100</f>
        <v>0.26315789473684215</v>
      </c>
      <c r="G67" s="94"/>
      <c r="H67" s="95"/>
      <c r="I67" s="1" t="s">
        <v>79</v>
      </c>
      <c r="J67" s="54">
        <f>(IF(E58&gt;3,(H58/(E58+2)+J66),0))</f>
        <v>0</v>
      </c>
    </row>
    <row r="68" spans="1:10" ht="15" customHeight="1" x14ac:dyDescent="0.2">
      <c r="A68" s="91" t="s">
        <v>80</v>
      </c>
      <c r="B68" s="92"/>
      <c r="C68" s="93">
        <v>0.05</v>
      </c>
      <c r="D68" s="93"/>
      <c r="E68" s="49">
        <v>0</v>
      </c>
      <c r="F68" s="50">
        <f ca="1">((100/H58)*E68)/100</f>
        <v>0</v>
      </c>
      <c r="G68" s="94"/>
      <c r="H68" s="95"/>
      <c r="I68" s="1" t="s">
        <v>81</v>
      </c>
      <c r="J68" s="53">
        <f>(IF(E58&gt;4,(H58/(E58+2)+J67),0))</f>
        <v>0</v>
      </c>
    </row>
    <row r="69" spans="1:10" ht="15" customHeight="1" x14ac:dyDescent="0.2">
      <c r="A69" s="91" t="s">
        <v>82</v>
      </c>
      <c r="B69" s="92"/>
      <c r="C69" s="93">
        <v>0.05</v>
      </c>
      <c r="D69" s="93"/>
      <c r="E69" s="49">
        <v>0</v>
      </c>
      <c r="F69" s="50">
        <f ca="1">((100/(H58))*E69)/100</f>
        <v>0</v>
      </c>
      <c r="G69" s="94"/>
      <c r="H69" s="95"/>
      <c r="I69" s="1" t="s">
        <v>83</v>
      </c>
      <c r="J69" s="53">
        <f ca="1">(IF(E58=1,(H58/(E58+3)+J64),IF(E58=0,(H58/4+J64),IF(E58&gt;1,0))))</f>
        <v>14.25</v>
      </c>
    </row>
    <row r="70" spans="1:10" ht="15.75" customHeight="1" thickBot="1" x14ac:dyDescent="0.25">
      <c r="A70" s="98" t="s">
        <v>84</v>
      </c>
      <c r="B70" s="99"/>
      <c r="C70" s="100">
        <v>0.05</v>
      </c>
      <c r="D70" s="100"/>
      <c r="E70" s="55">
        <v>0</v>
      </c>
      <c r="F70" s="56">
        <f ca="1">((100/(H58))*E70)/100</f>
        <v>0</v>
      </c>
      <c r="G70" s="96"/>
      <c r="H70" s="97"/>
      <c r="I70" s="57" t="s">
        <v>85</v>
      </c>
      <c r="J70" s="58">
        <f ca="1">(IF(E58&gt;1.5,(H58/(E58+2)+J64+MAX(0,J65-J64)+MAX(0,J66-J65)+MAX(0,J67-J66)+MAX(0,J68-J67)+MAX(0,J69-J68)),IF(E58=1,(H58/(E58+3)+J69),IF(E58=0,H58/4+J69))))</f>
        <v>19</v>
      </c>
    </row>
    <row r="71" spans="1:10" ht="12.75" customHeight="1" x14ac:dyDescent="0.2">
      <c r="A71" s="101" t="s">
        <v>259</v>
      </c>
      <c r="B71" s="102"/>
      <c r="C71" s="102"/>
      <c r="D71" s="103"/>
      <c r="E71" s="39" t="s">
        <v>59</v>
      </c>
      <c r="F71" s="39" t="s">
        <v>60</v>
      </c>
      <c r="G71" s="39" t="s">
        <v>61</v>
      </c>
      <c r="H71" s="40" t="s">
        <v>47</v>
      </c>
      <c r="I71" s="41" t="str">
        <f ca="1">(IF(G75&gt;99%,"All work completed. Please provide OC.",IF(G75&gt;89.8%,"Plinth, RCC, Brick, Plaster, Flooring, Painting work Completed. Finishing work is in process.",IF(G75&lt;94%,(IF(E75=0,"Work not yet Started.",IF(F75=25%,"Piling work in process",IF(F75=50%,"Excavation work in process",IF(F75=100%,"Excavation work Completed. ","0")))&amp;(IF(E76=0%,"",IF(E76=J77,"Footing work is process",IF(E76=J78,"Footing work Completed",IF(E76=J79,"1st Basement Completed",IF(E76=J80,"1st &amp; 2nd Basement Completed",IF(E76=J81,"1st to 3rd Basement Completed",IF(E76=J82,"1st to 4th Basement Completed",IF(E76=J83,"Plinth work is process",IF(E76=J84,"Plinth work completed","0")))))))))))&amp;(IF(E77=(F72+G72+H72),", RCC Slab",IF(E77&gt;0,", RCC upto "&amp;E77&amp;" Slab",""))&amp;(IF(E78=H72,", Brickwork",IF(E78&gt;0,", Brickwork upto "&amp;E78&amp;" Floor",""))&amp;(IF(E79=H72,", Internal Plaster",IF(E79&gt;0,", Internal Plaster upto "&amp;E79&amp;" Floor",""))&amp;(IF(E80=H72,", External Plaster",IF(E80&gt;0,", External Plaster upto "&amp;E80&amp;" Floor",""))&amp;(IF(E81=H72,", Flooring",IF(E81&gt;0,", Flooring upto "&amp;E81&amp;" Floor",""))&amp;(IF(E82=H72,", Painting",IF(E82&gt;0,", Painting upto "&amp;E82&amp;" Floor",""))&amp;(IF(E83&gt;0,", Finishing upto "&amp;E83&amp;" Floor","")&amp;(IF(E77&gt;0.5," Completed",""))))))))))))))</f>
        <v>Excavation work Completed. Plinth work completed, RCC Slab, Brickwork, Internal Plaster upto 15 Floor, External Plaster upto 13 Floor, Flooring upto 7 Floor Completed</v>
      </c>
      <c r="J71" s="42"/>
    </row>
    <row r="72" spans="1:10" x14ac:dyDescent="0.2">
      <c r="A72" s="104"/>
      <c r="B72" s="105"/>
      <c r="C72" s="105"/>
      <c r="D72" s="106"/>
      <c r="E72" s="43">
        <v>0</v>
      </c>
      <c r="F72" s="43">
        <v>1</v>
      </c>
      <c r="G72" s="43">
        <v>0</v>
      </c>
      <c r="H72" s="44">
        <f ca="1">--TRIM(RIGHT(SUBSTITUTE(LEFT(A71,_xlfn.AGGREGATE(16,6,FIND({0,1,2,3,4,5,6,7,8,9},A71,ROW(INDIRECT("1:"&amp;LEN(A71)))),1))," ",REPT(" ",LEN(A71))),LEN(A71)))</f>
        <v>20</v>
      </c>
      <c r="I72" s="45"/>
      <c r="J72" s="46"/>
    </row>
    <row r="73" spans="1:10" ht="26.25" customHeight="1" x14ac:dyDescent="0.2">
      <c r="A73" s="61" t="s">
        <v>140</v>
      </c>
      <c r="B73" s="60"/>
      <c r="C73" s="107" t="str">
        <f ca="1">I71</f>
        <v>Excavation work Completed. Plinth work completed, RCC Slab, Brickwork, Internal Plaster upto 15 Floor, External Plaster upto 13 Floor, Flooring upto 7 Floor Completed</v>
      </c>
      <c r="D73" s="107"/>
      <c r="E73" s="107"/>
      <c r="F73" s="107"/>
      <c r="G73" s="107"/>
      <c r="H73" s="108"/>
      <c r="I73" s="45" t="s">
        <v>141</v>
      </c>
      <c r="J73" s="46"/>
    </row>
    <row r="74" spans="1:10" x14ac:dyDescent="0.2">
      <c r="A74" s="91" t="s">
        <v>62</v>
      </c>
      <c r="B74" s="92"/>
      <c r="C74" s="109" t="s">
        <v>142</v>
      </c>
      <c r="D74" s="109"/>
      <c r="E74" s="47" t="s">
        <v>63</v>
      </c>
      <c r="F74" s="47" t="s">
        <v>64</v>
      </c>
      <c r="G74" s="110" t="s">
        <v>57</v>
      </c>
      <c r="H74" s="111"/>
      <c r="I74" s="1" t="s">
        <v>65</v>
      </c>
      <c r="J74" s="48">
        <f ca="1">H72*25%</f>
        <v>5</v>
      </c>
    </row>
    <row r="75" spans="1:10" ht="15" customHeight="1" x14ac:dyDescent="0.2">
      <c r="A75" s="91" t="s">
        <v>66</v>
      </c>
      <c r="B75" s="92"/>
      <c r="C75" s="93">
        <v>0</v>
      </c>
      <c r="D75" s="93"/>
      <c r="E75" s="49">
        <f ca="1" xml:space="preserve"> J76</f>
        <v>20</v>
      </c>
      <c r="F75" s="50">
        <f ca="1">((100/H72)*E75)/100</f>
        <v>1</v>
      </c>
      <c r="G75" s="94">
        <f ca="1">(((E76/H72*10)+(40/(F72+G72+H72)*E77)+(15/(H72)*E78)+(5/(H72)*E79)+(5/H72*E80)+(10/H72*E81)+(5/H72*E82)+(5/H72*E83)+(5/H72*E84))/100)</f>
        <v>0.755</v>
      </c>
      <c r="H75" s="95"/>
      <c r="I75" s="1" t="s">
        <v>67</v>
      </c>
      <c r="J75" s="51">
        <f ca="1">H72*50%</f>
        <v>10</v>
      </c>
    </row>
    <row r="76" spans="1:10" ht="15" customHeight="1" x14ac:dyDescent="0.2">
      <c r="A76" s="91" t="s">
        <v>68</v>
      </c>
      <c r="B76" s="92"/>
      <c r="C76" s="93">
        <v>0.1</v>
      </c>
      <c r="D76" s="93"/>
      <c r="E76" s="52">
        <f ca="1">J84</f>
        <v>20</v>
      </c>
      <c r="F76" s="50">
        <f ca="1">((100/H72)*E76)/100</f>
        <v>1</v>
      </c>
      <c r="G76" s="94"/>
      <c r="H76" s="95"/>
      <c r="I76" s="1" t="s">
        <v>69</v>
      </c>
      <c r="J76" s="51">
        <f ca="1">H72</f>
        <v>20</v>
      </c>
    </row>
    <row r="77" spans="1:10" ht="15" customHeight="1" x14ac:dyDescent="0.2">
      <c r="A77" s="91" t="s">
        <v>70</v>
      </c>
      <c r="B77" s="92"/>
      <c r="C77" s="93">
        <v>0.4</v>
      </c>
      <c r="D77" s="93"/>
      <c r="E77" s="52">
        <v>21</v>
      </c>
      <c r="F77" s="50">
        <f ca="1">((100/(F72+G72+H72))*E77)/100</f>
        <v>1</v>
      </c>
      <c r="G77" s="94"/>
      <c r="H77" s="95"/>
      <c r="I77" s="1" t="s">
        <v>71</v>
      </c>
      <c r="J77" s="53">
        <f ca="1">(IF(E72&gt;1,(H72/(E72+2)),H72/4))</f>
        <v>5</v>
      </c>
    </row>
    <row r="78" spans="1:10" ht="15" customHeight="1" x14ac:dyDescent="0.2">
      <c r="A78" s="91" t="s">
        <v>72</v>
      </c>
      <c r="B78" s="92"/>
      <c r="C78" s="93">
        <v>0.15</v>
      </c>
      <c r="D78" s="93"/>
      <c r="E78" s="49">
        <v>20</v>
      </c>
      <c r="F78" s="50">
        <f ca="1">((100/H72)*E78)/100</f>
        <v>1</v>
      </c>
      <c r="G78" s="94"/>
      <c r="H78" s="95"/>
      <c r="I78" s="1" t="s">
        <v>73</v>
      </c>
      <c r="J78" s="53">
        <f ca="1">(IF(E72&gt;1,(H72/(E72+2)+J77),H72/4+J77))</f>
        <v>10</v>
      </c>
    </row>
    <row r="79" spans="1:10" ht="15" customHeight="1" x14ac:dyDescent="0.2">
      <c r="A79" s="91" t="s">
        <v>74</v>
      </c>
      <c r="B79" s="92"/>
      <c r="C79" s="93">
        <v>0.05</v>
      </c>
      <c r="D79" s="93"/>
      <c r="E79" s="49">
        <v>15</v>
      </c>
      <c r="F79" s="50">
        <f ca="1">((100/H72)*E79)/100</f>
        <v>0.75</v>
      </c>
      <c r="G79" s="94"/>
      <c r="H79" s="95"/>
      <c r="I79" s="1" t="s">
        <v>75</v>
      </c>
      <c r="J79" s="53">
        <f>(IF(E72&gt;1,(H72/(E72+2)+J78),0))</f>
        <v>0</v>
      </c>
    </row>
    <row r="80" spans="1:10" ht="15" customHeight="1" x14ac:dyDescent="0.2">
      <c r="A80" s="91" t="s">
        <v>76</v>
      </c>
      <c r="B80" s="92"/>
      <c r="C80" s="93">
        <v>0.05</v>
      </c>
      <c r="D80" s="93"/>
      <c r="E80" s="49">
        <v>13</v>
      </c>
      <c r="F80" s="50">
        <f ca="1">((100/(H72))*E80)/100</f>
        <v>0.65</v>
      </c>
      <c r="G80" s="94"/>
      <c r="H80" s="95"/>
      <c r="I80" s="1" t="s">
        <v>77</v>
      </c>
      <c r="J80" s="53">
        <f>(IF(E72&gt;2,(H72/(E72+2)+J79),0))</f>
        <v>0</v>
      </c>
    </row>
    <row r="81" spans="1:10" ht="15" customHeight="1" x14ac:dyDescent="0.2">
      <c r="A81" s="91" t="s">
        <v>78</v>
      </c>
      <c r="B81" s="92"/>
      <c r="C81" s="93">
        <v>0.1</v>
      </c>
      <c r="D81" s="93"/>
      <c r="E81" s="49">
        <v>7</v>
      </c>
      <c r="F81" s="50">
        <f ca="1">((100/H72)*E81)/100</f>
        <v>0.35</v>
      </c>
      <c r="G81" s="94"/>
      <c r="H81" s="95"/>
      <c r="I81" s="1" t="s">
        <v>79</v>
      </c>
      <c r="J81" s="54">
        <f>(IF(E72&gt;3,(H72/(E72+2)+J80),0))</f>
        <v>0</v>
      </c>
    </row>
    <row r="82" spans="1:10" ht="15" customHeight="1" x14ac:dyDescent="0.2">
      <c r="A82" s="91" t="s">
        <v>80</v>
      </c>
      <c r="B82" s="92"/>
      <c r="C82" s="93">
        <v>0.05</v>
      </c>
      <c r="D82" s="93"/>
      <c r="E82" s="49">
        <v>0</v>
      </c>
      <c r="F82" s="50">
        <f ca="1">((100/H72)*E82)/100</f>
        <v>0</v>
      </c>
      <c r="G82" s="94"/>
      <c r="H82" s="95"/>
      <c r="I82" s="1" t="s">
        <v>81</v>
      </c>
      <c r="J82" s="53">
        <f>(IF(E72&gt;4,(H72/(E72+2)+J81),0))</f>
        <v>0</v>
      </c>
    </row>
    <row r="83" spans="1:10" ht="15" customHeight="1" x14ac:dyDescent="0.2">
      <c r="A83" s="91" t="s">
        <v>82</v>
      </c>
      <c r="B83" s="92"/>
      <c r="C83" s="93">
        <v>0.05</v>
      </c>
      <c r="D83" s="93"/>
      <c r="E83" s="49">
        <v>0</v>
      </c>
      <c r="F83" s="50">
        <f ca="1">((100/(H72))*E83)/100</f>
        <v>0</v>
      </c>
      <c r="G83" s="94"/>
      <c r="H83" s="95"/>
      <c r="I83" s="1" t="s">
        <v>83</v>
      </c>
      <c r="J83" s="53">
        <f ca="1">(IF(E72=1,(H72/(E72+3)+J78),IF(E72=0,(H72/4+J78),IF(E72&gt;1,0))))</f>
        <v>15</v>
      </c>
    </row>
    <row r="84" spans="1:10" ht="15.75" customHeight="1" thickBot="1" x14ac:dyDescent="0.25">
      <c r="A84" s="98" t="s">
        <v>84</v>
      </c>
      <c r="B84" s="99"/>
      <c r="C84" s="100">
        <v>0.05</v>
      </c>
      <c r="D84" s="100"/>
      <c r="E84" s="55">
        <v>0</v>
      </c>
      <c r="F84" s="56">
        <f ca="1">((100/(H72))*E84)/100</f>
        <v>0</v>
      </c>
      <c r="G84" s="96"/>
      <c r="H84" s="97"/>
      <c r="I84" s="57" t="s">
        <v>85</v>
      </c>
      <c r="J84" s="58">
        <f ca="1">(IF(E72&gt;1.5,(H72/(E72+2)+J78+MAX(0,J79-J78)+MAX(0,J80-J79)+MAX(0,J81-J80)+MAX(0,J82-J81)+MAX(0,J83-J82)),IF(E72=1,(H72/(E72+3)+J83),IF(E72=0,H72/4+J83))))</f>
        <v>20</v>
      </c>
    </row>
    <row r="85" spans="1:10" ht="12.75" customHeight="1" x14ac:dyDescent="0.2">
      <c r="A85" s="101" t="s">
        <v>260</v>
      </c>
      <c r="B85" s="102"/>
      <c r="C85" s="102"/>
      <c r="D85" s="103"/>
      <c r="E85" s="39" t="s">
        <v>59</v>
      </c>
      <c r="F85" s="39" t="s">
        <v>60</v>
      </c>
      <c r="G85" s="39" t="s">
        <v>61</v>
      </c>
      <c r="H85" s="40" t="s">
        <v>47</v>
      </c>
      <c r="I85" s="41" t="str">
        <f ca="1">(IF(G89&gt;99%,"All work completed. Please provide OC.",IF(G89&gt;89.8%,"Plinth, RCC, Brick, Plaster, Flooring, Painting work Completed. Finishing work is in process.",IF(G89&lt;94%,(IF(E89=0,"Work not yet Started.",IF(F89=25%,"Piling work in process",IF(F89=50%,"Excavation work in process",IF(F89=100%,"Excavation work Completed. ","0")))&amp;(IF(E90=0%,"",IF(E90=J91,"Footing work is process",IF(E90=J92,"Footing work Completed",IF(E90=J93,"1st Basement Completed",IF(E90=J94,"1st &amp; 2nd Basement Completed",IF(E90=J95,"1st to 3rd Basement Completed",IF(E90=J96,"1st to 4th Basement Completed",IF(E90=J97,"Plinth work is process",IF(E90=J98,"Plinth work completed","0")))))))))))&amp;(IF(E91=(F86+G86+H86),", RCC Slab",IF(E91&gt;0,", RCC upto "&amp;E91&amp;" Slab",""))&amp;(IF(E92=H86,", Brickwork",IF(E92&gt;0,", Brickwork upto "&amp;E92&amp;" Floor",""))&amp;(IF(E93=H86,", Internal Plaster",IF(E93&gt;0,", Internal Plaster upto "&amp;E93&amp;" Floor",""))&amp;(IF(E94=H86,", External Plaster",IF(E94&gt;0,", External Plaster upto "&amp;E94&amp;" Floor",""))&amp;(IF(E95=H86,", Flooring",IF(E95&gt;0,", Flooring upto "&amp;E95&amp;" Floor",""))&amp;(IF(E96=H86,", Painting",IF(E96&gt;0,", Painting upto "&amp;E96&amp;" Floor",""))&amp;(IF(E97&gt;0,", Finishing upto "&amp;E97&amp;" Floor","")&amp;(IF(E91&gt;0.5," Completed",""))))))))))))))</f>
        <v>Excavation work Completed. Plinth work completed, RCC Slab, Brickwork, Internal Plaster upto 17 Floor, External Plaster upto 13 Floor, Flooring upto 6 Floor Completed</v>
      </c>
      <c r="J85" s="42"/>
    </row>
    <row r="86" spans="1:10" x14ac:dyDescent="0.2">
      <c r="A86" s="104"/>
      <c r="B86" s="105"/>
      <c r="C86" s="105"/>
      <c r="D86" s="106"/>
      <c r="E86" s="43">
        <v>0</v>
      </c>
      <c r="F86" s="43">
        <v>1</v>
      </c>
      <c r="G86" s="43">
        <v>0</v>
      </c>
      <c r="H86" s="44">
        <f ca="1">--TRIM(RIGHT(SUBSTITUTE(LEFT(A85,_xlfn.AGGREGATE(16,6,FIND({0,1,2,3,4,5,6,7,8,9},A85,ROW(INDIRECT("1:"&amp;LEN(A85)))),1))," ",REPT(" ",LEN(A85))),LEN(A85)))</f>
        <v>20</v>
      </c>
      <c r="I86" s="45"/>
      <c r="J86" s="46"/>
    </row>
    <row r="87" spans="1:10" ht="26.25" customHeight="1" x14ac:dyDescent="0.2">
      <c r="A87" s="61" t="s">
        <v>140</v>
      </c>
      <c r="B87" s="60"/>
      <c r="C87" s="107" t="str">
        <f ca="1">I85</f>
        <v>Excavation work Completed. Plinth work completed, RCC Slab, Brickwork, Internal Plaster upto 17 Floor, External Plaster upto 13 Floor, Flooring upto 6 Floor Completed</v>
      </c>
      <c r="D87" s="107"/>
      <c r="E87" s="107"/>
      <c r="F87" s="107"/>
      <c r="G87" s="107"/>
      <c r="H87" s="108"/>
      <c r="I87" s="45" t="s">
        <v>141</v>
      </c>
      <c r="J87" s="46"/>
    </row>
    <row r="88" spans="1:10" x14ac:dyDescent="0.2">
      <c r="A88" s="91" t="s">
        <v>62</v>
      </c>
      <c r="B88" s="92"/>
      <c r="C88" s="109" t="s">
        <v>142</v>
      </c>
      <c r="D88" s="109"/>
      <c r="E88" s="47" t="s">
        <v>63</v>
      </c>
      <c r="F88" s="47" t="s">
        <v>64</v>
      </c>
      <c r="G88" s="110" t="s">
        <v>57</v>
      </c>
      <c r="H88" s="111"/>
      <c r="I88" s="1" t="s">
        <v>65</v>
      </c>
      <c r="J88" s="48">
        <f ca="1">H86*25%</f>
        <v>5</v>
      </c>
    </row>
    <row r="89" spans="1:10" ht="15" customHeight="1" x14ac:dyDescent="0.2">
      <c r="A89" s="91" t="s">
        <v>66</v>
      </c>
      <c r="B89" s="92"/>
      <c r="C89" s="93">
        <v>0</v>
      </c>
      <c r="D89" s="93"/>
      <c r="E89" s="49">
        <f ca="1">J90</f>
        <v>20</v>
      </c>
      <c r="F89" s="50">
        <f ca="1">((100/H86)*E89)/100</f>
        <v>1</v>
      </c>
      <c r="G89" s="94">
        <f ca="1">(((E90/H86*10)+(40/(F86+G86+H86)*E91)+(15/(H86)*E92)+(5/(H86)*E93)+(5/H86*E94)+(10/H86*E95)+(5/H86*E96)+(5/H86*E97)+(5/H86*E98))/100)</f>
        <v>0.755</v>
      </c>
      <c r="H89" s="95"/>
      <c r="I89" s="1" t="s">
        <v>67</v>
      </c>
      <c r="J89" s="51">
        <f ca="1">H86*50%</f>
        <v>10</v>
      </c>
    </row>
    <row r="90" spans="1:10" ht="15" customHeight="1" x14ac:dyDescent="0.2">
      <c r="A90" s="91" t="s">
        <v>68</v>
      </c>
      <c r="B90" s="92"/>
      <c r="C90" s="93">
        <v>0.1</v>
      </c>
      <c r="D90" s="93"/>
      <c r="E90" s="52">
        <f ca="1">J98</f>
        <v>20</v>
      </c>
      <c r="F90" s="50">
        <f ca="1">((100/H86)*E90)/100</f>
        <v>1</v>
      </c>
      <c r="G90" s="94"/>
      <c r="H90" s="95"/>
      <c r="I90" s="1" t="s">
        <v>69</v>
      </c>
      <c r="J90" s="51">
        <f ca="1">H86</f>
        <v>20</v>
      </c>
    </row>
    <row r="91" spans="1:10" ht="15" customHeight="1" x14ac:dyDescent="0.2">
      <c r="A91" s="91" t="s">
        <v>70</v>
      </c>
      <c r="B91" s="92"/>
      <c r="C91" s="93">
        <v>0.4</v>
      </c>
      <c r="D91" s="93"/>
      <c r="E91" s="52">
        <v>21</v>
      </c>
      <c r="F91" s="50">
        <f ca="1">((100/(F86+G86+H86))*E91)/100</f>
        <v>1</v>
      </c>
      <c r="G91" s="94"/>
      <c r="H91" s="95"/>
      <c r="I91" s="1" t="s">
        <v>71</v>
      </c>
      <c r="J91" s="53">
        <f ca="1">(IF(E86&gt;1,(H86/(E86+2)),H86/4))</f>
        <v>5</v>
      </c>
    </row>
    <row r="92" spans="1:10" ht="15" customHeight="1" x14ac:dyDescent="0.2">
      <c r="A92" s="91" t="s">
        <v>72</v>
      </c>
      <c r="B92" s="92"/>
      <c r="C92" s="93">
        <v>0.15</v>
      </c>
      <c r="D92" s="93"/>
      <c r="E92" s="49">
        <v>20</v>
      </c>
      <c r="F92" s="50">
        <f ca="1">((100/H86)*E92)/100</f>
        <v>1</v>
      </c>
      <c r="G92" s="94"/>
      <c r="H92" s="95"/>
      <c r="I92" s="1" t="s">
        <v>73</v>
      </c>
      <c r="J92" s="53">
        <f ca="1">(IF(E86&gt;1,(H86/(E86+2)+J91),H86/4+J91))</f>
        <v>10</v>
      </c>
    </row>
    <row r="93" spans="1:10" ht="15" customHeight="1" x14ac:dyDescent="0.2">
      <c r="A93" s="91" t="s">
        <v>74</v>
      </c>
      <c r="B93" s="92"/>
      <c r="C93" s="93">
        <v>0.05</v>
      </c>
      <c r="D93" s="93"/>
      <c r="E93" s="49">
        <v>17</v>
      </c>
      <c r="F93" s="50">
        <f ca="1">((100/H86)*E93)/100</f>
        <v>0.85</v>
      </c>
      <c r="G93" s="94"/>
      <c r="H93" s="95"/>
      <c r="I93" s="1" t="s">
        <v>75</v>
      </c>
      <c r="J93" s="53">
        <f>(IF(E86&gt;1,(H86/(E86+2)+J92),0))</f>
        <v>0</v>
      </c>
    </row>
    <row r="94" spans="1:10" ht="15" customHeight="1" x14ac:dyDescent="0.2">
      <c r="A94" s="91" t="s">
        <v>76</v>
      </c>
      <c r="B94" s="92"/>
      <c r="C94" s="93">
        <v>0.05</v>
      </c>
      <c r="D94" s="93"/>
      <c r="E94" s="49">
        <v>13</v>
      </c>
      <c r="F94" s="50">
        <f ca="1">((100/(H86))*E94)/100</f>
        <v>0.65</v>
      </c>
      <c r="G94" s="94"/>
      <c r="H94" s="95"/>
      <c r="I94" s="1" t="s">
        <v>77</v>
      </c>
      <c r="J94" s="53">
        <f>(IF(E86&gt;2,(H86/(E86+2)+J93),0))</f>
        <v>0</v>
      </c>
    </row>
    <row r="95" spans="1:10" ht="15" customHeight="1" x14ac:dyDescent="0.2">
      <c r="A95" s="91" t="s">
        <v>78</v>
      </c>
      <c r="B95" s="92"/>
      <c r="C95" s="93">
        <v>0.1</v>
      </c>
      <c r="D95" s="93"/>
      <c r="E95" s="49">
        <v>6</v>
      </c>
      <c r="F95" s="50">
        <f ca="1">((100/H86)*E95)/100</f>
        <v>0.3</v>
      </c>
      <c r="G95" s="94"/>
      <c r="H95" s="95"/>
      <c r="I95" s="1" t="s">
        <v>79</v>
      </c>
      <c r="J95" s="54">
        <f>(IF(E86&gt;3,(H86/(E86+2)+J94),0))</f>
        <v>0</v>
      </c>
    </row>
    <row r="96" spans="1:10" ht="15" customHeight="1" x14ac:dyDescent="0.2">
      <c r="A96" s="91" t="s">
        <v>80</v>
      </c>
      <c r="B96" s="92"/>
      <c r="C96" s="93">
        <v>0.05</v>
      </c>
      <c r="D96" s="93"/>
      <c r="E96" s="49">
        <v>0</v>
      </c>
      <c r="F96" s="50">
        <f ca="1">((100/H86)*E96)/100</f>
        <v>0</v>
      </c>
      <c r="G96" s="94"/>
      <c r="H96" s="95"/>
      <c r="I96" s="1" t="s">
        <v>81</v>
      </c>
      <c r="J96" s="53">
        <f>(IF(E86&gt;4,(H86/(E86+2)+J95),0))</f>
        <v>0</v>
      </c>
    </row>
    <row r="97" spans="1:10" ht="15" customHeight="1" x14ac:dyDescent="0.2">
      <c r="A97" s="91" t="s">
        <v>82</v>
      </c>
      <c r="B97" s="92"/>
      <c r="C97" s="93">
        <v>0.05</v>
      </c>
      <c r="D97" s="93"/>
      <c r="E97" s="49">
        <v>0</v>
      </c>
      <c r="F97" s="50">
        <f ca="1">((100/(H86))*E97)/100</f>
        <v>0</v>
      </c>
      <c r="G97" s="94"/>
      <c r="H97" s="95"/>
      <c r="I97" s="1" t="s">
        <v>83</v>
      </c>
      <c r="J97" s="53">
        <f ca="1">(IF(E86=1,(H86/(E86+3)+J92),IF(E86=0,(H86/4+J92),IF(E86&gt;1,0))))</f>
        <v>15</v>
      </c>
    </row>
    <row r="98" spans="1:10" ht="15.75" customHeight="1" thickBot="1" x14ac:dyDescent="0.25">
      <c r="A98" s="98" t="s">
        <v>84</v>
      </c>
      <c r="B98" s="99"/>
      <c r="C98" s="100">
        <v>0.05</v>
      </c>
      <c r="D98" s="100"/>
      <c r="E98" s="55">
        <v>0</v>
      </c>
      <c r="F98" s="56">
        <f ca="1">((100/(H86))*E98)/100</f>
        <v>0</v>
      </c>
      <c r="G98" s="96"/>
      <c r="H98" s="97"/>
      <c r="I98" s="57" t="s">
        <v>85</v>
      </c>
      <c r="J98" s="58">
        <f ca="1">(IF(E86&gt;1.5,(H86/(E86+2)+J92+MAX(0,J93-J92)+MAX(0,J94-J93)+MAX(0,J95-J94)+MAX(0,J96-J95)+MAX(0,J97-J96)),IF(E86=1,(H86/(E86+3)+J97),IF(E86=0,H86/4+J97))))</f>
        <v>20</v>
      </c>
    </row>
    <row r="99" spans="1:10" ht="12.75" customHeight="1" x14ac:dyDescent="0.2">
      <c r="A99" s="101" t="s">
        <v>258</v>
      </c>
      <c r="B99" s="102"/>
      <c r="C99" s="102"/>
      <c r="D99" s="103"/>
      <c r="E99" s="39" t="s">
        <v>59</v>
      </c>
      <c r="F99" s="39" t="s">
        <v>60</v>
      </c>
      <c r="G99" s="39" t="s">
        <v>61</v>
      </c>
      <c r="H99" s="40" t="s">
        <v>47</v>
      </c>
      <c r="I99" s="41" t="str">
        <f ca="1">(IF(G103&gt;99%,"All work completed. Please provide OC.",IF(G103&gt;89.8%,"Plinth, RCC, Brick, Plaster, Flooring, Painting work Completed. Finishing work is in process.",IF(G103&lt;94%,(IF(E103=0,"Work not yet Started.",IF(F103=25%,"Piling work in process",IF(F103=50%,"Excavation work in process",IF(F103=100%,"Excavation work Completed. ","0")))&amp;(IF(E104=0%,"",IF(E104=J105,"Footing work is process",IF(E104=J106,"Footing work Completed",IF(E104=J107,"1st Basement Completed",IF(E104=J108,"1st &amp; 2nd Basement Completed",IF(E104=J109,"1st to 3rd Basement Completed",IF(E104=J110,"1st to 4th Basement Completed",IF(E104=J111,"Plinth work is process",IF(E104=J112,"Plinth work completed","0")))))))))))&amp;(IF(E105=(F100+G100+H100),", RCC Slab",IF(E105&gt;0,", RCC upto "&amp;E105&amp;" Slab",""))&amp;(IF(E106=H100,", Brickwork",IF(E106&gt;0,", Brickwork upto "&amp;E106&amp;" Floor",""))&amp;(IF(E107=H100,", Internal Plaster",IF(E107&gt;0,", Internal Plaster upto "&amp;E107&amp;" Floor",""))&amp;(IF(E108=H100,", External Plaster",IF(E108&gt;0,", External Plaster upto "&amp;E108&amp;" Floor",""))&amp;(IF(E109=H100,", Flooring",IF(E109&gt;0,", Flooring upto "&amp;E109&amp;" Floor",""))&amp;(IF(E110=H100,", Painting",IF(E110&gt;0,", Painting upto "&amp;E110&amp;" Floor",""))&amp;(IF(E111&gt;0,", Finishing upto "&amp;E111&amp;" Floor","")&amp;(IF(E105&gt;0.5," Completed",""))))))))))))))</f>
        <v>Excavation work Completed. Plinth work completed, RCC Slab, Brickwork, Internal Plaster upto 18 Floor, External Plaster upto 12 Floor, Flooring upto 5 Floor Completed</v>
      </c>
      <c r="J99" s="42"/>
    </row>
    <row r="100" spans="1:10" x14ac:dyDescent="0.2">
      <c r="A100" s="104"/>
      <c r="B100" s="105"/>
      <c r="C100" s="105"/>
      <c r="D100" s="106"/>
      <c r="E100" s="43">
        <v>0</v>
      </c>
      <c r="F100" s="43">
        <v>1</v>
      </c>
      <c r="G100" s="43">
        <v>0</v>
      </c>
      <c r="H100" s="44">
        <f ca="1">--TRIM(RIGHT(SUBSTITUTE(LEFT(A99,_xlfn.AGGREGATE(16,6,FIND({0,1,2,3,4,5,6,7,8,9},A99,ROW(INDIRECT("1:"&amp;LEN(A99)))),1))," ",REPT(" ",LEN(A99))),LEN(A99)))</f>
        <v>19</v>
      </c>
      <c r="I100" s="45"/>
      <c r="J100" s="46"/>
    </row>
    <row r="101" spans="1:10" ht="26.25" customHeight="1" x14ac:dyDescent="0.2">
      <c r="A101" s="61" t="s">
        <v>140</v>
      </c>
      <c r="B101" s="60"/>
      <c r="C101" s="107" t="str">
        <f ca="1">I99</f>
        <v>Excavation work Completed. Plinth work completed, RCC Slab, Brickwork, Internal Plaster upto 18 Floor, External Plaster upto 12 Floor, Flooring upto 5 Floor Completed</v>
      </c>
      <c r="D101" s="107"/>
      <c r="E101" s="107"/>
      <c r="F101" s="107"/>
      <c r="G101" s="107"/>
      <c r="H101" s="108"/>
      <c r="I101" s="45" t="s">
        <v>141</v>
      </c>
      <c r="J101" s="46"/>
    </row>
    <row r="102" spans="1:10" x14ac:dyDescent="0.2">
      <c r="A102" s="91" t="s">
        <v>62</v>
      </c>
      <c r="B102" s="92"/>
      <c r="C102" s="109" t="s">
        <v>142</v>
      </c>
      <c r="D102" s="109"/>
      <c r="E102" s="47" t="s">
        <v>63</v>
      </c>
      <c r="F102" s="47" t="s">
        <v>64</v>
      </c>
      <c r="G102" s="110" t="s">
        <v>57</v>
      </c>
      <c r="H102" s="111"/>
      <c r="I102" s="1" t="s">
        <v>65</v>
      </c>
      <c r="J102" s="48">
        <f ca="1">H100*25%</f>
        <v>4.75</v>
      </c>
    </row>
    <row r="103" spans="1:10" ht="15" customHeight="1" x14ac:dyDescent="0.2">
      <c r="A103" s="91" t="s">
        <v>66</v>
      </c>
      <c r="B103" s="92"/>
      <c r="C103" s="93">
        <v>0</v>
      </c>
      <c r="D103" s="93"/>
      <c r="E103" s="49">
        <f ca="1">J104</f>
        <v>19</v>
      </c>
      <c r="F103" s="50">
        <f ca="1">((100/H100)*E103)/100</f>
        <v>1</v>
      </c>
      <c r="G103" s="94">
        <f ca="1">(((E104/H100*10)+(40/(F100+G100+H100)*E105)+(15/(H100)*E106)+(5/(H100)*E107)+(5/H100*E108)+(10/H100*E109)+(5/H100*E110)+(5/H100*E111)+(5/H100*E112))/100)</f>
        <v>0.75526315789473686</v>
      </c>
      <c r="H103" s="95"/>
      <c r="I103" s="1" t="s">
        <v>67</v>
      </c>
      <c r="J103" s="51">
        <f ca="1">H100*50%</f>
        <v>9.5</v>
      </c>
    </row>
    <row r="104" spans="1:10" ht="15" customHeight="1" x14ac:dyDescent="0.2">
      <c r="A104" s="91" t="s">
        <v>68</v>
      </c>
      <c r="B104" s="92"/>
      <c r="C104" s="93">
        <v>0.1</v>
      </c>
      <c r="D104" s="93"/>
      <c r="E104" s="52">
        <f ca="1">J112</f>
        <v>19</v>
      </c>
      <c r="F104" s="50">
        <f ca="1">((100/H100)*E104)/100</f>
        <v>1</v>
      </c>
      <c r="G104" s="94"/>
      <c r="H104" s="95"/>
      <c r="I104" s="1" t="s">
        <v>69</v>
      </c>
      <c r="J104" s="51">
        <f ca="1">H100</f>
        <v>19</v>
      </c>
    </row>
    <row r="105" spans="1:10" ht="15" customHeight="1" x14ac:dyDescent="0.2">
      <c r="A105" s="91" t="s">
        <v>70</v>
      </c>
      <c r="B105" s="92"/>
      <c r="C105" s="93">
        <v>0.4</v>
      </c>
      <c r="D105" s="93"/>
      <c r="E105" s="52">
        <v>20</v>
      </c>
      <c r="F105" s="50">
        <f ca="1">((100/(F100+G100+H100))*E105)/100</f>
        <v>1</v>
      </c>
      <c r="G105" s="94"/>
      <c r="H105" s="95"/>
      <c r="I105" s="1" t="s">
        <v>71</v>
      </c>
      <c r="J105" s="53">
        <f ca="1">(IF(E100&gt;1,(H100/(E100+2)),H100/4))</f>
        <v>4.75</v>
      </c>
    </row>
    <row r="106" spans="1:10" ht="15" customHeight="1" x14ac:dyDescent="0.2">
      <c r="A106" s="91" t="s">
        <v>72</v>
      </c>
      <c r="B106" s="92"/>
      <c r="C106" s="93">
        <v>0.15</v>
      </c>
      <c r="D106" s="93"/>
      <c r="E106" s="49">
        <v>19</v>
      </c>
      <c r="F106" s="50">
        <f ca="1">((100/H100)*E106)/100</f>
        <v>1</v>
      </c>
      <c r="G106" s="94"/>
      <c r="H106" s="95"/>
      <c r="I106" s="1" t="s">
        <v>73</v>
      </c>
      <c r="J106" s="53">
        <f ca="1">(IF(E100&gt;1,(H100/(E100+2)+J105),H100/4+J105))</f>
        <v>9.5</v>
      </c>
    </row>
    <row r="107" spans="1:10" ht="15" customHeight="1" x14ac:dyDescent="0.2">
      <c r="A107" s="91" t="s">
        <v>74</v>
      </c>
      <c r="B107" s="92"/>
      <c r="C107" s="93">
        <v>0.05</v>
      </c>
      <c r="D107" s="93"/>
      <c r="E107" s="49">
        <v>18</v>
      </c>
      <c r="F107" s="50">
        <f ca="1">((100/H100)*E107)/100</f>
        <v>0.94736842105263164</v>
      </c>
      <c r="G107" s="94"/>
      <c r="H107" s="95"/>
      <c r="I107" s="1" t="s">
        <v>75</v>
      </c>
      <c r="J107" s="53">
        <f>(IF(E100&gt;1,(H100/(E100+2)+J106),0))</f>
        <v>0</v>
      </c>
    </row>
    <row r="108" spans="1:10" ht="15" customHeight="1" x14ac:dyDescent="0.2">
      <c r="A108" s="91" t="s">
        <v>76</v>
      </c>
      <c r="B108" s="92"/>
      <c r="C108" s="93">
        <v>0.05</v>
      </c>
      <c r="D108" s="93"/>
      <c r="E108" s="49">
        <v>12</v>
      </c>
      <c r="F108" s="50">
        <f ca="1">((100/(H100))*E108)/100</f>
        <v>0.63157894736842113</v>
      </c>
      <c r="G108" s="94"/>
      <c r="H108" s="95"/>
      <c r="I108" s="1" t="s">
        <v>77</v>
      </c>
      <c r="J108" s="53">
        <f>(IF(E100&gt;2,(H100/(E100+2)+J107),0))</f>
        <v>0</v>
      </c>
    </row>
    <row r="109" spans="1:10" ht="15" customHeight="1" x14ac:dyDescent="0.2">
      <c r="A109" s="91" t="s">
        <v>78</v>
      </c>
      <c r="B109" s="92"/>
      <c r="C109" s="93">
        <v>0.1</v>
      </c>
      <c r="D109" s="93"/>
      <c r="E109" s="49">
        <v>5</v>
      </c>
      <c r="F109" s="50">
        <f ca="1">((100/H100)*E109)/100</f>
        <v>0.26315789473684215</v>
      </c>
      <c r="G109" s="94"/>
      <c r="H109" s="95"/>
      <c r="I109" s="1" t="s">
        <v>79</v>
      </c>
      <c r="J109" s="54">
        <f>(IF(E100&gt;3,(H100/(E100+2)+J108),0))</f>
        <v>0</v>
      </c>
    </row>
    <row r="110" spans="1:10" ht="15" customHeight="1" x14ac:dyDescent="0.2">
      <c r="A110" s="91" t="s">
        <v>80</v>
      </c>
      <c r="B110" s="92"/>
      <c r="C110" s="93">
        <v>0.05</v>
      </c>
      <c r="D110" s="93"/>
      <c r="E110" s="49">
        <v>0</v>
      </c>
      <c r="F110" s="50">
        <f ca="1">((100/H100)*E110)/100</f>
        <v>0</v>
      </c>
      <c r="G110" s="94"/>
      <c r="H110" s="95"/>
      <c r="I110" s="1" t="s">
        <v>81</v>
      </c>
      <c r="J110" s="53">
        <f>(IF(E100&gt;4,(H100/(E100+2)+J109),0))</f>
        <v>0</v>
      </c>
    </row>
    <row r="111" spans="1:10" ht="15" customHeight="1" x14ac:dyDescent="0.2">
      <c r="A111" s="91" t="s">
        <v>82</v>
      </c>
      <c r="B111" s="92"/>
      <c r="C111" s="93">
        <v>0.05</v>
      </c>
      <c r="D111" s="93"/>
      <c r="E111" s="49">
        <v>0</v>
      </c>
      <c r="F111" s="50">
        <f ca="1">((100/(H100))*E111)/100</f>
        <v>0</v>
      </c>
      <c r="G111" s="94"/>
      <c r="H111" s="95"/>
      <c r="I111" s="1" t="s">
        <v>83</v>
      </c>
      <c r="J111" s="53">
        <f ca="1">(IF(E100=1,(H100/(E100+3)+J106),IF(E100=0,(H100/4+J106),IF(E100&gt;1,0))))</f>
        <v>14.25</v>
      </c>
    </row>
    <row r="112" spans="1:10" ht="15.75" customHeight="1" thickBot="1" x14ac:dyDescent="0.25">
      <c r="A112" s="98" t="s">
        <v>84</v>
      </c>
      <c r="B112" s="99"/>
      <c r="C112" s="100">
        <v>0.05</v>
      </c>
      <c r="D112" s="100"/>
      <c r="E112" s="55">
        <v>0</v>
      </c>
      <c r="F112" s="56">
        <f ca="1">((100/(H100))*E112)/100</f>
        <v>0</v>
      </c>
      <c r="G112" s="96"/>
      <c r="H112" s="97"/>
      <c r="I112" s="57" t="s">
        <v>85</v>
      </c>
      <c r="J112" s="58">
        <f ca="1">(IF(E100&gt;1.5,(H100/(E100+2)+J106+MAX(0,J107-J106)+MAX(0,J108-J107)+MAX(0,J109-J108)+MAX(0,J110-J109)+MAX(0,J111-J110)),IF(E100=1,(H100/(E100+3)+J111),IF(E100=0,H100/4+J111))))</f>
        <v>19</v>
      </c>
    </row>
    <row r="113" spans="1:8" ht="28.5" customHeight="1" x14ac:dyDescent="0.2">
      <c r="A113" s="180" t="s">
        <v>26</v>
      </c>
      <c r="B113" s="181"/>
      <c r="C113" s="208" t="s">
        <v>115</v>
      </c>
      <c r="D113" s="208"/>
      <c r="E113" s="208"/>
      <c r="F113" s="208"/>
      <c r="G113" s="208"/>
      <c r="H113" s="208"/>
    </row>
    <row r="114" spans="1:8" x14ac:dyDescent="0.2">
      <c r="A114" s="209" t="s">
        <v>27</v>
      </c>
      <c r="B114" s="209"/>
      <c r="C114" s="209"/>
      <c r="D114" s="209"/>
      <c r="E114" s="209"/>
      <c r="F114" s="209"/>
      <c r="G114" s="209"/>
      <c r="H114" s="209"/>
    </row>
    <row r="115" spans="1:8" x14ac:dyDescent="0.2">
      <c r="A115" s="182" t="s">
        <v>28</v>
      </c>
      <c r="B115" s="183"/>
      <c r="C115" s="205" t="s">
        <v>51</v>
      </c>
      <c r="D115" s="206"/>
      <c r="E115" s="200" t="s">
        <v>29</v>
      </c>
      <c r="F115" s="200"/>
      <c r="G115" s="68" t="s">
        <v>18</v>
      </c>
      <c r="H115" s="68" t="s">
        <v>52</v>
      </c>
    </row>
    <row r="116" spans="1:8" x14ac:dyDescent="0.2">
      <c r="A116" s="182" t="s">
        <v>30</v>
      </c>
      <c r="B116" s="183"/>
      <c r="C116" s="205" t="s">
        <v>50</v>
      </c>
      <c r="D116" s="206"/>
      <c r="E116" s="200" t="s">
        <v>31</v>
      </c>
      <c r="F116" s="200"/>
      <c r="G116" s="68" t="s">
        <v>18</v>
      </c>
      <c r="H116" s="68" t="s">
        <v>53</v>
      </c>
    </row>
    <row r="117" spans="1:8" x14ac:dyDescent="0.2">
      <c r="A117" s="182" t="s">
        <v>32</v>
      </c>
      <c r="B117" s="183"/>
      <c r="C117" s="205" t="s">
        <v>143</v>
      </c>
      <c r="D117" s="206"/>
      <c r="E117" s="200" t="s">
        <v>33</v>
      </c>
      <c r="F117" s="200"/>
      <c r="G117" s="68" t="s">
        <v>18</v>
      </c>
      <c r="H117" s="68" t="s">
        <v>52</v>
      </c>
    </row>
    <row r="118" spans="1:8" x14ac:dyDescent="0.2">
      <c r="A118" s="182" t="s">
        <v>34</v>
      </c>
      <c r="B118" s="183"/>
      <c r="C118" s="205" t="s">
        <v>122</v>
      </c>
      <c r="D118" s="206"/>
      <c r="E118" s="200" t="s">
        <v>35</v>
      </c>
      <c r="F118" s="200"/>
      <c r="G118" s="68" t="s">
        <v>18</v>
      </c>
      <c r="H118" s="68" t="s">
        <v>52</v>
      </c>
    </row>
    <row r="119" spans="1:8" x14ac:dyDescent="0.2">
      <c r="A119" s="182" t="s">
        <v>36</v>
      </c>
      <c r="B119" s="183"/>
      <c r="C119" s="205" t="s">
        <v>129</v>
      </c>
      <c r="D119" s="206"/>
      <c r="E119" s="200" t="s">
        <v>37</v>
      </c>
      <c r="F119" s="200"/>
      <c r="G119" s="68" t="s">
        <v>18</v>
      </c>
      <c r="H119" s="68" t="s">
        <v>53</v>
      </c>
    </row>
    <row r="120" spans="1:8" x14ac:dyDescent="0.2">
      <c r="A120" s="182" t="s">
        <v>38</v>
      </c>
      <c r="B120" s="183"/>
      <c r="C120" s="205" t="s">
        <v>144</v>
      </c>
      <c r="D120" s="206"/>
      <c r="E120" s="200" t="s">
        <v>39</v>
      </c>
      <c r="F120" s="200"/>
      <c r="G120" s="68" t="s">
        <v>18</v>
      </c>
      <c r="H120" s="68" t="s">
        <v>53</v>
      </c>
    </row>
    <row r="121" spans="1:8" x14ac:dyDescent="0.2">
      <c r="A121" s="182" t="s">
        <v>40</v>
      </c>
      <c r="B121" s="183"/>
      <c r="C121" s="205" t="s">
        <v>123</v>
      </c>
      <c r="D121" s="206"/>
      <c r="E121" s="200" t="s">
        <v>41</v>
      </c>
      <c r="F121" s="200"/>
      <c r="G121" s="68" t="s">
        <v>18</v>
      </c>
      <c r="H121" s="68" t="s">
        <v>53</v>
      </c>
    </row>
    <row r="122" spans="1:8" ht="38.25" customHeight="1" x14ac:dyDescent="0.2">
      <c r="A122" s="177" t="s">
        <v>42</v>
      </c>
      <c r="B122" s="179"/>
      <c r="C122" s="205" t="s">
        <v>128</v>
      </c>
      <c r="D122" s="206"/>
      <c r="E122" s="209" t="s">
        <v>43</v>
      </c>
      <c r="F122" s="209"/>
      <c r="G122" s="200" t="s">
        <v>53</v>
      </c>
      <c r="H122" s="200"/>
    </row>
    <row r="123" spans="1:8" x14ac:dyDescent="0.2">
      <c r="A123" s="177" t="s">
        <v>44</v>
      </c>
      <c r="B123" s="179"/>
      <c r="C123" s="205" t="s">
        <v>55</v>
      </c>
      <c r="D123" s="206"/>
      <c r="E123" s="209" t="s">
        <v>45</v>
      </c>
      <c r="F123" s="209"/>
      <c r="G123" s="200" t="s">
        <v>54</v>
      </c>
      <c r="H123" s="200"/>
    </row>
    <row r="124" spans="1:8" hidden="1" x14ac:dyDescent="0.2">
      <c r="A124" s="177" t="s">
        <v>201</v>
      </c>
      <c r="B124" s="178"/>
      <c r="C124" s="178"/>
      <c r="D124" s="178"/>
      <c r="E124" s="178"/>
      <c r="F124" s="178"/>
      <c r="G124" s="178"/>
      <c r="H124" s="179"/>
    </row>
    <row r="125" spans="1:8" ht="25.5" hidden="1" customHeight="1" x14ac:dyDescent="0.2">
      <c r="A125" s="128" t="s">
        <v>202</v>
      </c>
      <c r="B125" s="128"/>
      <c r="C125" s="112" t="s">
        <v>203</v>
      </c>
      <c r="D125" s="113"/>
      <c r="E125" s="128" t="s">
        <v>204</v>
      </c>
      <c r="F125" s="128"/>
      <c r="G125" s="128" t="s">
        <v>205</v>
      </c>
      <c r="H125" s="128"/>
    </row>
    <row r="126" spans="1:8" hidden="1" x14ac:dyDescent="0.2">
      <c r="A126" s="77" t="s">
        <v>206</v>
      </c>
      <c r="B126" s="77"/>
      <c r="C126" s="135"/>
      <c r="D126" s="136"/>
      <c r="E126" s="201"/>
      <c r="F126" s="202"/>
      <c r="G126" s="201"/>
      <c r="H126" s="202"/>
    </row>
    <row r="127" spans="1:8" hidden="1" x14ac:dyDescent="0.2">
      <c r="A127" s="128" t="s">
        <v>207</v>
      </c>
      <c r="B127" s="128"/>
      <c r="C127" s="137">
        <f>SUM(C126)</f>
        <v>0</v>
      </c>
      <c r="D127" s="138"/>
      <c r="E127" s="203">
        <f>SUM(E126)</f>
        <v>0</v>
      </c>
      <c r="F127" s="204"/>
      <c r="G127" s="203">
        <f>SUM(G126)</f>
        <v>0</v>
      </c>
      <c r="H127" s="204"/>
    </row>
    <row r="128" spans="1:8" x14ac:dyDescent="0.2">
      <c r="A128" s="128" t="s">
        <v>208</v>
      </c>
      <c r="B128" s="128"/>
      <c r="C128" s="128"/>
      <c r="D128" s="128"/>
      <c r="E128" s="128"/>
      <c r="F128" s="128"/>
      <c r="G128" s="128"/>
      <c r="H128" s="128"/>
    </row>
    <row r="129" spans="1:8" x14ac:dyDescent="0.2">
      <c r="A129" s="128" t="s">
        <v>202</v>
      </c>
      <c r="B129" s="128"/>
      <c r="C129" s="112" t="s">
        <v>203</v>
      </c>
      <c r="D129" s="113"/>
      <c r="E129" s="128" t="s">
        <v>204</v>
      </c>
      <c r="F129" s="128"/>
      <c r="G129" s="128" t="s">
        <v>205</v>
      </c>
      <c r="H129" s="128"/>
    </row>
    <row r="130" spans="1:8" x14ac:dyDescent="0.2">
      <c r="A130" s="77" t="s">
        <v>206</v>
      </c>
      <c r="B130" s="77"/>
      <c r="C130" s="75">
        <f>COUNT(D160:D163)+COUNT(D169:D176)*15+COUNT(D178:D179,D181:D185)*3</f>
        <v>145</v>
      </c>
      <c r="D130" s="76"/>
      <c r="E130" s="75">
        <f t="shared" ref="E130" si="0">SUM(F160:F163)+SUM(F169:F176)*15+SUM(F178:F179,F181:F185)*3</f>
        <v>68863.631850000005</v>
      </c>
      <c r="F130" s="76"/>
      <c r="G130" s="75">
        <f t="shared" ref="G130" si="1">SUM(H160:H163)+SUM(H169:H176)*15+SUM(H178:H179,H181:H185)*3</f>
        <v>103295.44777500001</v>
      </c>
      <c r="H130" s="76"/>
    </row>
    <row r="131" spans="1:8" x14ac:dyDescent="0.2">
      <c r="A131" s="77" t="s">
        <v>209</v>
      </c>
      <c r="B131" s="77"/>
      <c r="C131" s="75">
        <f>COUNT(D189,D191:D194)+COUNT(D196:D201)*16+COUNT(D203:D204,D206:D208)*3</f>
        <v>116</v>
      </c>
      <c r="D131" s="76"/>
      <c r="E131" s="75">
        <f t="shared" ref="E131" si="2">SUM(F189,F191:F194)+SUM(F196:F201)*16+SUM(F203:F204,F206:F208)*3</f>
        <v>55544.715719999993</v>
      </c>
      <c r="F131" s="76"/>
      <c r="G131" s="75">
        <f t="shared" ref="G131" si="3">SUM(H189,H191:H194)+SUM(H196:H201)*16+SUM(H203:H204,H206:H208)*3</f>
        <v>83317.073579999982</v>
      </c>
      <c r="H131" s="76"/>
    </row>
    <row r="132" spans="1:8" x14ac:dyDescent="0.2">
      <c r="A132" s="77" t="s">
        <v>272</v>
      </c>
      <c r="B132" s="77"/>
      <c r="C132" s="75">
        <f>COUNT(D214:D217)+COUNT(D219:D224)*16+COUNT(D226:D230)*3</f>
        <v>115</v>
      </c>
      <c r="D132" s="76"/>
      <c r="E132" s="75">
        <f t="shared" ref="E132" si="4">SUM(F214:F217)+SUM(F219:F224)*16+SUM(F226:F230)*3</f>
        <v>55055.981681999991</v>
      </c>
      <c r="F132" s="76"/>
      <c r="G132" s="75">
        <f t="shared" ref="G132" si="5">SUM(H214:H217)+SUM(H219:H224)*16+SUM(H226:H230)*3</f>
        <v>82583.972522999989</v>
      </c>
      <c r="H132" s="76"/>
    </row>
    <row r="133" spans="1:8" x14ac:dyDescent="0.2">
      <c r="A133" s="77" t="s">
        <v>276</v>
      </c>
      <c r="B133" s="77"/>
      <c r="C133" s="75">
        <f>COUNT(D235:D241)+COUNT(D243:D249)*15+COUNT(D251:D255,D257)*3</f>
        <v>130</v>
      </c>
      <c r="D133" s="76"/>
      <c r="E133" s="75">
        <f t="shared" ref="E133" si="6">SUM(F235:F241)+SUM(F243:F249)*15+SUM(F251:F255,F257)*3</f>
        <v>68942.195056800003</v>
      </c>
      <c r="F133" s="76"/>
      <c r="G133" s="75">
        <f t="shared" ref="G133" si="7">SUM(H235:H241)+SUM(H243:H249)*15+SUM(H251:H255,H257)*3</f>
        <v>103413.29258520002</v>
      </c>
      <c r="H133" s="76"/>
    </row>
    <row r="134" spans="1:8" hidden="1" x14ac:dyDescent="0.2">
      <c r="A134" s="128" t="s">
        <v>207</v>
      </c>
      <c r="B134" s="128"/>
      <c r="C134" s="139">
        <f>SUM(C130:D133)</f>
        <v>506</v>
      </c>
      <c r="D134" s="138"/>
      <c r="E134" s="139">
        <f t="shared" ref="E134" si="8">SUM(E130:F133)</f>
        <v>248406.5243088</v>
      </c>
      <c r="F134" s="138"/>
      <c r="G134" s="139">
        <f t="shared" ref="G134" si="9">SUM(G130:H133)</f>
        <v>372609.7864632</v>
      </c>
      <c r="H134" s="138"/>
    </row>
    <row r="135" spans="1:8" x14ac:dyDescent="0.2">
      <c r="A135" s="128" t="s">
        <v>210</v>
      </c>
      <c r="B135" s="128"/>
      <c r="C135" s="112">
        <f>C127+C134</f>
        <v>506</v>
      </c>
      <c r="D135" s="113"/>
      <c r="E135" s="184">
        <f>E127+E134</f>
        <v>248406.5243088</v>
      </c>
      <c r="F135" s="184"/>
      <c r="G135" s="184">
        <f>G127+G134</f>
        <v>372609.7864632</v>
      </c>
      <c r="H135" s="184"/>
    </row>
    <row r="136" spans="1:8" ht="15.75" customHeight="1" x14ac:dyDescent="0.2">
      <c r="A136" s="128" t="s">
        <v>46</v>
      </c>
      <c r="B136" s="128"/>
      <c r="C136" s="128"/>
      <c r="D136" s="128"/>
      <c r="E136" s="128"/>
      <c r="F136" s="128"/>
      <c r="G136" s="128"/>
      <c r="H136" s="128"/>
    </row>
    <row r="137" spans="1:8" x14ac:dyDescent="0.2">
      <c r="A137" s="128" t="s">
        <v>221</v>
      </c>
      <c r="B137" s="128"/>
      <c r="C137" s="128"/>
      <c r="D137" s="128"/>
      <c r="E137" s="128"/>
      <c r="F137" s="128"/>
      <c r="G137" s="128"/>
      <c r="H137" s="128"/>
    </row>
    <row r="138" spans="1:8" ht="39" hidden="1" customHeight="1" x14ac:dyDescent="0.2">
      <c r="A138" s="133" t="s">
        <v>222</v>
      </c>
      <c r="B138" s="129" t="s">
        <v>223</v>
      </c>
      <c r="C138" s="133" t="s">
        <v>131</v>
      </c>
      <c r="D138" s="129" t="s">
        <v>216</v>
      </c>
      <c r="E138" s="129" t="s">
        <v>219</v>
      </c>
      <c r="F138" s="133" t="s">
        <v>217</v>
      </c>
      <c r="G138" s="19" t="s">
        <v>218</v>
      </c>
      <c r="H138" s="19" t="s">
        <v>145</v>
      </c>
    </row>
    <row r="139" spans="1:8" hidden="1" x14ac:dyDescent="0.2">
      <c r="A139" s="134"/>
      <c r="B139" s="130"/>
      <c r="C139" s="134"/>
      <c r="D139" s="130"/>
      <c r="E139" s="130"/>
      <c r="F139" s="134"/>
      <c r="G139" s="20"/>
      <c r="H139" s="20">
        <v>0.45</v>
      </c>
    </row>
    <row r="140" spans="1:8" hidden="1" x14ac:dyDescent="0.2">
      <c r="A140" s="80" t="s">
        <v>135</v>
      </c>
      <c r="B140" s="80"/>
      <c r="C140" s="80"/>
      <c r="D140" s="80"/>
      <c r="E140" s="80"/>
      <c r="F140" s="80"/>
      <c r="G140" s="80"/>
      <c r="H140" s="80"/>
    </row>
    <row r="141" spans="1:8" hidden="1" x14ac:dyDescent="0.2">
      <c r="A141" s="80" t="s">
        <v>213</v>
      </c>
      <c r="B141" s="80"/>
      <c r="C141" s="80"/>
      <c r="D141" s="80"/>
      <c r="E141" s="80"/>
      <c r="F141" s="80"/>
      <c r="G141" s="80"/>
      <c r="H141" s="80"/>
    </row>
    <row r="142" spans="1:8" hidden="1" x14ac:dyDescent="0.2">
      <c r="A142" s="78">
        <v>1</v>
      </c>
      <c r="B142" s="79"/>
      <c r="C142" s="16" t="s">
        <v>220</v>
      </c>
      <c r="D142" s="16"/>
      <c r="E142" s="16"/>
      <c r="F142" s="17">
        <f>D142+(IF(E142&lt;201,E142,IF(E142&lt;301,E142/2,E142/3)))</f>
        <v>0</v>
      </c>
      <c r="G142" s="17"/>
      <c r="H142" s="16">
        <f t="shared" ref="H142:H153" si="10">F142*(($H$139)+1)+(IF(G142&lt;101,G142,IF(G142&lt;201,G142/2,IF(G142&lt;=301,G142/3,G142/4))))</f>
        <v>0</v>
      </c>
    </row>
    <row r="143" spans="1:8" hidden="1" x14ac:dyDescent="0.2">
      <c r="A143" s="78">
        <f>A142+1</f>
        <v>2</v>
      </c>
      <c r="B143" s="79"/>
      <c r="C143" s="16" t="s">
        <v>220</v>
      </c>
      <c r="D143" s="16"/>
      <c r="E143" s="16"/>
      <c r="F143" s="17">
        <f t="shared" ref="F143:F153" si="11">D143+(IF(E143&lt;201,E143,IF(E143&lt;301,E143/2,E143/3)))</f>
        <v>0</v>
      </c>
      <c r="G143" s="17"/>
      <c r="H143" s="16">
        <f t="shared" si="10"/>
        <v>0</v>
      </c>
    </row>
    <row r="144" spans="1:8" hidden="1" x14ac:dyDescent="0.2">
      <c r="A144" s="78">
        <f t="shared" ref="A144:A153" si="12">A143+1</f>
        <v>3</v>
      </c>
      <c r="B144" s="79"/>
      <c r="C144" s="16" t="s">
        <v>220</v>
      </c>
      <c r="D144" s="16"/>
      <c r="E144" s="16"/>
      <c r="F144" s="17">
        <f t="shared" si="11"/>
        <v>0</v>
      </c>
      <c r="G144" s="17"/>
      <c r="H144" s="16">
        <f t="shared" si="10"/>
        <v>0</v>
      </c>
    </row>
    <row r="145" spans="1:9" hidden="1" x14ac:dyDescent="0.2">
      <c r="A145" s="78">
        <f t="shared" si="12"/>
        <v>4</v>
      </c>
      <c r="B145" s="79"/>
      <c r="C145" s="16" t="s">
        <v>220</v>
      </c>
      <c r="D145" s="16"/>
      <c r="E145" s="16"/>
      <c r="F145" s="17">
        <f t="shared" si="11"/>
        <v>0</v>
      </c>
      <c r="G145" s="17"/>
      <c r="H145" s="16">
        <f t="shared" si="10"/>
        <v>0</v>
      </c>
    </row>
    <row r="146" spans="1:9" hidden="1" x14ac:dyDescent="0.2">
      <c r="A146" s="78">
        <f t="shared" si="12"/>
        <v>5</v>
      </c>
      <c r="B146" s="79"/>
      <c r="C146" s="16" t="s">
        <v>220</v>
      </c>
      <c r="D146" s="16"/>
      <c r="E146" s="16"/>
      <c r="F146" s="17">
        <f t="shared" si="11"/>
        <v>0</v>
      </c>
      <c r="G146" s="17"/>
      <c r="H146" s="16">
        <f t="shared" si="10"/>
        <v>0</v>
      </c>
    </row>
    <row r="147" spans="1:9" hidden="1" x14ac:dyDescent="0.2">
      <c r="A147" s="78">
        <f t="shared" si="12"/>
        <v>6</v>
      </c>
      <c r="B147" s="79"/>
      <c r="C147" s="16" t="s">
        <v>220</v>
      </c>
      <c r="D147" s="16"/>
      <c r="E147" s="16"/>
      <c r="F147" s="17">
        <f t="shared" si="11"/>
        <v>0</v>
      </c>
      <c r="G147" s="17"/>
      <c r="H147" s="16">
        <f t="shared" si="10"/>
        <v>0</v>
      </c>
    </row>
    <row r="148" spans="1:9" hidden="1" x14ac:dyDescent="0.2">
      <c r="A148" s="78">
        <f t="shared" si="12"/>
        <v>7</v>
      </c>
      <c r="B148" s="79"/>
      <c r="C148" s="16" t="s">
        <v>220</v>
      </c>
      <c r="D148" s="16"/>
      <c r="E148" s="16"/>
      <c r="F148" s="17">
        <f t="shared" si="11"/>
        <v>0</v>
      </c>
      <c r="G148" s="17"/>
      <c r="H148" s="16">
        <f t="shared" si="10"/>
        <v>0</v>
      </c>
    </row>
    <row r="149" spans="1:9" hidden="1" x14ac:dyDescent="0.2">
      <c r="A149" s="78">
        <f t="shared" si="12"/>
        <v>8</v>
      </c>
      <c r="B149" s="79"/>
      <c r="C149" s="16" t="s">
        <v>220</v>
      </c>
      <c r="D149" s="16"/>
      <c r="E149" s="16"/>
      <c r="F149" s="17">
        <f t="shared" si="11"/>
        <v>0</v>
      </c>
      <c r="G149" s="17"/>
      <c r="H149" s="16">
        <f t="shared" si="10"/>
        <v>0</v>
      </c>
    </row>
    <row r="150" spans="1:9" hidden="1" x14ac:dyDescent="0.2">
      <c r="A150" s="78">
        <f t="shared" si="12"/>
        <v>9</v>
      </c>
      <c r="B150" s="79"/>
      <c r="C150" s="16" t="s">
        <v>220</v>
      </c>
      <c r="D150" s="16"/>
      <c r="E150" s="16"/>
      <c r="F150" s="17">
        <f t="shared" si="11"/>
        <v>0</v>
      </c>
      <c r="G150" s="17"/>
      <c r="H150" s="16">
        <f t="shared" si="10"/>
        <v>0</v>
      </c>
    </row>
    <row r="151" spans="1:9" hidden="1" x14ac:dyDescent="0.2">
      <c r="A151" s="78">
        <f t="shared" si="12"/>
        <v>10</v>
      </c>
      <c r="B151" s="79"/>
      <c r="C151" s="16" t="s">
        <v>220</v>
      </c>
      <c r="D151" s="16"/>
      <c r="E151" s="16"/>
      <c r="F151" s="17">
        <f t="shared" si="11"/>
        <v>0</v>
      </c>
      <c r="G151" s="17"/>
      <c r="H151" s="16">
        <f t="shared" si="10"/>
        <v>0</v>
      </c>
    </row>
    <row r="152" spans="1:9" hidden="1" x14ac:dyDescent="0.2">
      <c r="A152" s="78">
        <f t="shared" si="12"/>
        <v>11</v>
      </c>
      <c r="B152" s="79"/>
      <c r="C152" s="16" t="s">
        <v>220</v>
      </c>
      <c r="D152" s="16"/>
      <c r="E152" s="16"/>
      <c r="F152" s="17">
        <f t="shared" si="11"/>
        <v>0</v>
      </c>
      <c r="G152" s="17"/>
      <c r="H152" s="16">
        <f t="shared" si="10"/>
        <v>0</v>
      </c>
    </row>
    <row r="153" spans="1:9" hidden="1" x14ac:dyDescent="0.2">
      <c r="A153" s="78">
        <f t="shared" si="12"/>
        <v>12</v>
      </c>
      <c r="B153" s="79"/>
      <c r="C153" s="16" t="s">
        <v>220</v>
      </c>
      <c r="D153" s="16"/>
      <c r="E153" s="16"/>
      <c r="F153" s="17">
        <f t="shared" si="11"/>
        <v>0</v>
      </c>
      <c r="G153" s="17"/>
      <c r="H153" s="16">
        <f t="shared" si="10"/>
        <v>0</v>
      </c>
    </row>
    <row r="154" spans="1:9" hidden="1" x14ac:dyDescent="0.2">
      <c r="A154" s="78"/>
      <c r="B154" s="81"/>
      <c r="C154" s="81"/>
      <c r="D154" s="81"/>
      <c r="E154" s="81"/>
      <c r="F154" s="81"/>
      <c r="G154" s="81"/>
      <c r="H154" s="79"/>
    </row>
    <row r="155" spans="1:9" ht="39" customHeight="1" x14ac:dyDescent="0.2">
      <c r="A155" s="133" t="s">
        <v>214</v>
      </c>
      <c r="B155" s="131" t="s">
        <v>215</v>
      </c>
      <c r="C155" s="133" t="s">
        <v>131</v>
      </c>
      <c r="D155" s="131" t="s">
        <v>216</v>
      </c>
      <c r="E155" s="131" t="s">
        <v>262</v>
      </c>
      <c r="F155" s="133" t="s">
        <v>217</v>
      </c>
      <c r="G155" s="19" t="s">
        <v>218</v>
      </c>
      <c r="H155" s="19" t="s">
        <v>145</v>
      </c>
    </row>
    <row r="156" spans="1:9" x14ac:dyDescent="0.2">
      <c r="A156" s="134"/>
      <c r="B156" s="132"/>
      <c r="C156" s="134"/>
      <c r="D156" s="132"/>
      <c r="E156" s="132"/>
      <c r="F156" s="134"/>
      <c r="G156" s="20"/>
      <c r="H156" s="20">
        <v>0.5</v>
      </c>
    </row>
    <row r="157" spans="1:9" x14ac:dyDescent="0.2">
      <c r="A157" s="80" t="s">
        <v>206</v>
      </c>
      <c r="B157" s="80"/>
      <c r="C157" s="80"/>
      <c r="D157" s="80"/>
      <c r="E157" s="80"/>
      <c r="F157" s="80"/>
      <c r="G157" s="80"/>
      <c r="H157" s="80"/>
    </row>
    <row r="158" spans="1:9" x14ac:dyDescent="0.2">
      <c r="A158" s="80" t="s">
        <v>265</v>
      </c>
      <c r="B158" s="80"/>
      <c r="C158" s="80"/>
      <c r="D158" s="80"/>
      <c r="E158" s="80"/>
      <c r="F158" s="80"/>
      <c r="G158" s="80"/>
      <c r="H158" s="80"/>
    </row>
    <row r="159" spans="1:9" x14ac:dyDescent="0.2">
      <c r="A159" s="80" t="s">
        <v>264</v>
      </c>
      <c r="B159" s="80"/>
      <c r="C159" s="80"/>
      <c r="D159" s="80"/>
      <c r="E159" s="80"/>
      <c r="F159" s="80"/>
      <c r="G159" s="80"/>
      <c r="H159" s="80"/>
      <c r="I159" s="6">
        <v>1</v>
      </c>
    </row>
    <row r="160" spans="1:9" x14ac:dyDescent="0.2">
      <c r="A160" s="78">
        <v>1</v>
      </c>
      <c r="B160" s="79"/>
      <c r="C160" s="16" t="s">
        <v>56</v>
      </c>
      <c r="D160" s="17">
        <f>(2.9*4.5+2.15*3.35+2.9*3.35+1.25*2+2*1.25)*10.764</f>
        <v>376.39017000000001</v>
      </c>
      <c r="E160" s="17">
        <f>(0.75*2.9+0.6*2.15+0.6*2.9)*10.764</f>
        <v>56.026619999999994</v>
      </c>
      <c r="F160" s="17">
        <f>D160+E160</f>
        <v>432.41678999999999</v>
      </c>
      <c r="G160" s="17">
        <v>0</v>
      </c>
      <c r="H160" s="17">
        <f>F160*(($H$156)+1)+(IF(G160&lt;101,G160,IF(G160&lt;201,G160/2,IF(G160&lt;=301,G160/3,G160/4))))</f>
        <v>648.62518499999999</v>
      </c>
    </row>
    <row r="161" spans="1:9" x14ac:dyDescent="0.2">
      <c r="A161" s="78">
        <f>A160+1</f>
        <v>2</v>
      </c>
      <c r="B161" s="79"/>
      <c r="C161" s="16" t="s">
        <v>56</v>
      </c>
      <c r="D161" s="17">
        <f>(2.9*4.5+2.15*3.35+2.9*3.35+1.25*2+2*1.25)*10.764</f>
        <v>376.39017000000001</v>
      </c>
      <c r="E161" s="17">
        <f>(0.75*2.9+0.6*2.15+0.6*2.9)*10.764</f>
        <v>56.026619999999994</v>
      </c>
      <c r="F161" s="17">
        <f t="shared" ref="F161:F163" si="13">D161+E161</f>
        <v>432.41678999999999</v>
      </c>
      <c r="G161" s="17">
        <v>0</v>
      </c>
      <c r="H161" s="17">
        <f t="shared" ref="H161:H163" si="14">F161*(($H$156)+1)+(IF(G161&lt;101,G161,IF(G161&lt;201,G161/2,IF(G161&lt;=301,G161/3,G161/4))))</f>
        <v>648.62518499999999</v>
      </c>
    </row>
    <row r="162" spans="1:9" x14ac:dyDescent="0.2">
      <c r="A162" s="78">
        <f t="shared" ref="A162:A167" si="15">A161+1</f>
        <v>3</v>
      </c>
      <c r="B162" s="79"/>
      <c r="C162" s="16" t="s">
        <v>56</v>
      </c>
      <c r="D162" s="17">
        <f>(2.9*4.5+2.15*3.35+2.9*3.35+1.25*2+2*1.25)*10.764</f>
        <v>376.39017000000001</v>
      </c>
      <c r="E162" s="17">
        <f>(0.75*2.9+0.6*2.15+0.6*2.9)*10.764</f>
        <v>56.026619999999994</v>
      </c>
      <c r="F162" s="17">
        <f t="shared" si="13"/>
        <v>432.41678999999999</v>
      </c>
      <c r="G162" s="17">
        <v>0</v>
      </c>
      <c r="H162" s="17">
        <f t="shared" si="14"/>
        <v>648.62518499999999</v>
      </c>
    </row>
    <row r="163" spans="1:9" x14ac:dyDescent="0.2">
      <c r="A163" s="78">
        <f t="shared" si="15"/>
        <v>4</v>
      </c>
      <c r="B163" s="79"/>
      <c r="C163" s="16" t="s">
        <v>263</v>
      </c>
      <c r="D163" s="17">
        <f>(2.9*4.5+0.7*1+2.3*3.35+3.05*3.35+3.35*2.9+1.25*2.15+2.15*1.25+0.7*1+1*2.8)*10.764</f>
        <v>541.02554999999995</v>
      </c>
      <c r="E163" s="17">
        <f>(0.75*2.9+0.6*2.3+0.6*3.05)*10.764</f>
        <v>57.964139999999993</v>
      </c>
      <c r="F163" s="17">
        <f t="shared" si="13"/>
        <v>598.98969</v>
      </c>
      <c r="G163" s="17">
        <v>0</v>
      </c>
      <c r="H163" s="17">
        <f t="shared" si="14"/>
        <v>898.48453500000005</v>
      </c>
    </row>
    <row r="164" spans="1:9" x14ac:dyDescent="0.2">
      <c r="A164" s="78">
        <f t="shared" si="15"/>
        <v>5</v>
      </c>
      <c r="B164" s="79"/>
      <c r="C164" s="82" t="s">
        <v>261</v>
      </c>
      <c r="D164" s="83"/>
      <c r="E164" s="83"/>
      <c r="F164" s="83"/>
      <c r="G164" s="83"/>
      <c r="H164" s="84"/>
    </row>
    <row r="165" spans="1:9" x14ac:dyDescent="0.2">
      <c r="A165" s="78">
        <f t="shared" si="15"/>
        <v>6</v>
      </c>
      <c r="B165" s="79"/>
      <c r="C165" s="85"/>
      <c r="D165" s="86"/>
      <c r="E165" s="86"/>
      <c r="F165" s="86"/>
      <c r="G165" s="86"/>
      <c r="H165" s="87"/>
    </row>
    <row r="166" spans="1:9" x14ac:dyDescent="0.2">
      <c r="A166" s="78">
        <f t="shared" si="15"/>
        <v>7</v>
      </c>
      <c r="B166" s="79"/>
      <c r="C166" s="85"/>
      <c r="D166" s="86"/>
      <c r="E166" s="86"/>
      <c r="F166" s="86"/>
      <c r="G166" s="86"/>
      <c r="H166" s="87"/>
    </row>
    <row r="167" spans="1:9" x14ac:dyDescent="0.2">
      <c r="A167" s="78">
        <f t="shared" si="15"/>
        <v>8</v>
      </c>
      <c r="B167" s="79"/>
      <c r="C167" s="88"/>
      <c r="D167" s="89"/>
      <c r="E167" s="89"/>
      <c r="F167" s="89"/>
      <c r="G167" s="89"/>
      <c r="H167" s="90"/>
    </row>
    <row r="168" spans="1:9" x14ac:dyDescent="0.2">
      <c r="A168" s="80" t="s">
        <v>266</v>
      </c>
      <c r="B168" s="80"/>
      <c r="C168" s="80"/>
      <c r="D168" s="80"/>
      <c r="E168" s="80"/>
      <c r="F168" s="80"/>
      <c r="G168" s="80"/>
      <c r="H168" s="80"/>
      <c r="I168" s="6">
        <v>15</v>
      </c>
    </row>
    <row r="169" spans="1:9" x14ac:dyDescent="0.2">
      <c r="A169" s="78">
        <v>1</v>
      </c>
      <c r="B169" s="79"/>
      <c r="C169" s="16" t="s">
        <v>56</v>
      </c>
      <c r="D169" s="17">
        <f>(2.9*4.5+2.15*3.35+2.9*3.35+1.25*2+2*1.25)*10.764</f>
        <v>376.39017000000001</v>
      </c>
      <c r="E169" s="17">
        <f>(0.75*2.9+0.6*2.15+0.6*2.9)*10.764</f>
        <v>56.026619999999994</v>
      </c>
      <c r="F169" s="17">
        <f>D169+E169</f>
        <v>432.41678999999999</v>
      </c>
      <c r="G169" s="17">
        <v>0</v>
      </c>
      <c r="H169" s="17">
        <f>F169*(($H$156)+1)+(IF(G169&lt;101,G169,IF(G169&lt;201,G169/2,IF(G169&lt;=301,G169/3,G169/4))))</f>
        <v>648.62518499999999</v>
      </c>
    </row>
    <row r="170" spans="1:9" x14ac:dyDescent="0.2">
      <c r="A170" s="78">
        <f>A169+1</f>
        <v>2</v>
      </c>
      <c r="B170" s="79"/>
      <c r="C170" s="16" t="s">
        <v>56</v>
      </c>
      <c r="D170" s="17">
        <f>(2.9*4.5+2.15*3.35+2.9*3.35+1.25*2+2*1.25)*10.764</f>
        <v>376.39017000000001</v>
      </c>
      <c r="E170" s="17">
        <f>(0.75*2.9+0.6*2.15+0.6*2.9)*10.764</f>
        <v>56.026619999999994</v>
      </c>
      <c r="F170" s="17">
        <f t="shared" ref="F170:F176" si="16">D170+E170</f>
        <v>432.41678999999999</v>
      </c>
      <c r="G170" s="17">
        <v>0</v>
      </c>
      <c r="H170" s="17">
        <f t="shared" ref="H170:H176" si="17">F170*(($H$156)+1)+(IF(G170&lt;101,G170,IF(G170&lt;201,G170/2,IF(G170&lt;=301,G170/3,G170/4))))</f>
        <v>648.62518499999999</v>
      </c>
    </row>
    <row r="171" spans="1:9" x14ac:dyDescent="0.2">
      <c r="A171" s="78">
        <f t="shared" ref="A171:A176" si="18">A170+1</f>
        <v>3</v>
      </c>
      <c r="B171" s="79"/>
      <c r="C171" s="16" t="s">
        <v>56</v>
      </c>
      <c r="D171" s="17">
        <f>(2.9*4.5+2.15*3.35+2.9*3.35+1.25*2+2*1.25)*10.764</f>
        <v>376.39017000000001</v>
      </c>
      <c r="E171" s="17">
        <f>(0.75*2.9+0.6*2.15+0.6*2.9)*10.764</f>
        <v>56.026619999999994</v>
      </c>
      <c r="F171" s="17">
        <f t="shared" si="16"/>
        <v>432.41678999999999</v>
      </c>
      <c r="G171" s="17">
        <v>0</v>
      </c>
      <c r="H171" s="17">
        <f t="shared" si="17"/>
        <v>648.62518499999999</v>
      </c>
    </row>
    <row r="172" spans="1:9" x14ac:dyDescent="0.2">
      <c r="A172" s="78">
        <f t="shared" si="18"/>
        <v>4</v>
      </c>
      <c r="B172" s="79"/>
      <c r="C172" s="16" t="s">
        <v>263</v>
      </c>
      <c r="D172" s="17">
        <f>(2.9*4.5+0.7*1+2.3*3.35+3.05*3.35+3.35*2.9+1.25*2.15+2.15*1.25+0.7*1+1*2.8)*10.764</f>
        <v>541.02554999999995</v>
      </c>
      <c r="E172" s="17">
        <f>(0.75*2.9+0.6*2.3+0.6*3.05)*10.764</f>
        <v>57.964139999999993</v>
      </c>
      <c r="F172" s="17">
        <f t="shared" si="16"/>
        <v>598.98969</v>
      </c>
      <c r="G172" s="17">
        <v>0</v>
      </c>
      <c r="H172" s="17">
        <f t="shared" si="17"/>
        <v>898.48453500000005</v>
      </c>
    </row>
    <row r="173" spans="1:9" x14ac:dyDescent="0.2">
      <c r="A173" s="78">
        <f t="shared" si="18"/>
        <v>5</v>
      </c>
      <c r="B173" s="79"/>
      <c r="C173" s="16" t="s">
        <v>263</v>
      </c>
      <c r="D173" s="17">
        <f>(2.9*4.5+0.7*1+2.3*3.35+3.05*3.35+3.35*2.9+1.25*2.15+2.15*1.25+0.7*1+1*2.8)*10.764</f>
        <v>541.02554999999995</v>
      </c>
      <c r="E173" s="17">
        <f>(0.75*2.9+0.6*2.3+0.6*3.05)*10.764</f>
        <v>57.964139999999993</v>
      </c>
      <c r="F173" s="17">
        <f t="shared" si="16"/>
        <v>598.98969</v>
      </c>
      <c r="G173" s="17">
        <v>0</v>
      </c>
      <c r="H173" s="17">
        <f t="shared" si="17"/>
        <v>898.48453500000005</v>
      </c>
    </row>
    <row r="174" spans="1:9" x14ac:dyDescent="0.2">
      <c r="A174" s="78">
        <f t="shared" si="18"/>
        <v>6</v>
      </c>
      <c r="B174" s="79"/>
      <c r="C174" s="16" t="s">
        <v>56</v>
      </c>
      <c r="D174" s="17">
        <f t="shared" ref="D174:D176" si="19">(2.9*4.5+2.15*3.35+2.9*3.35+1.25*2+2*1.25)*10.764</f>
        <v>376.39017000000001</v>
      </c>
      <c r="E174" s="17">
        <f t="shared" ref="E174:E176" si="20">(0.75*2.9+0.6*2.15+0.6*2.9)*10.764</f>
        <v>56.026619999999994</v>
      </c>
      <c r="F174" s="17">
        <f t="shared" si="16"/>
        <v>432.41678999999999</v>
      </c>
      <c r="G174" s="17">
        <v>0</v>
      </c>
      <c r="H174" s="17">
        <f t="shared" si="17"/>
        <v>648.62518499999999</v>
      </c>
    </row>
    <row r="175" spans="1:9" x14ac:dyDescent="0.2">
      <c r="A175" s="78">
        <f t="shared" si="18"/>
        <v>7</v>
      </c>
      <c r="B175" s="79"/>
      <c r="C175" s="16" t="s">
        <v>56</v>
      </c>
      <c r="D175" s="17">
        <f t="shared" si="19"/>
        <v>376.39017000000001</v>
      </c>
      <c r="E175" s="17">
        <f t="shared" si="20"/>
        <v>56.026619999999994</v>
      </c>
      <c r="F175" s="17">
        <f t="shared" si="16"/>
        <v>432.41678999999999</v>
      </c>
      <c r="G175" s="17">
        <v>0</v>
      </c>
      <c r="H175" s="17">
        <f t="shared" si="17"/>
        <v>648.62518499999999</v>
      </c>
    </row>
    <row r="176" spans="1:9" x14ac:dyDescent="0.2">
      <c r="A176" s="78">
        <f t="shared" si="18"/>
        <v>8</v>
      </c>
      <c r="B176" s="79"/>
      <c r="C176" s="16" t="s">
        <v>56</v>
      </c>
      <c r="D176" s="17">
        <f t="shared" si="19"/>
        <v>376.39017000000001</v>
      </c>
      <c r="E176" s="17">
        <f t="shared" si="20"/>
        <v>56.026619999999994</v>
      </c>
      <c r="F176" s="17">
        <f t="shared" si="16"/>
        <v>432.41678999999999</v>
      </c>
      <c r="G176" s="17">
        <v>0</v>
      </c>
      <c r="H176" s="17">
        <f t="shared" si="17"/>
        <v>648.62518499999999</v>
      </c>
    </row>
    <row r="177" spans="1:9" x14ac:dyDescent="0.2">
      <c r="A177" s="80" t="s">
        <v>267</v>
      </c>
      <c r="B177" s="80"/>
      <c r="C177" s="80"/>
      <c r="D177" s="80"/>
      <c r="E177" s="80"/>
      <c r="F177" s="80"/>
      <c r="G177" s="80"/>
      <c r="H177" s="80"/>
      <c r="I177" s="6">
        <v>3</v>
      </c>
    </row>
    <row r="178" spans="1:9" x14ac:dyDescent="0.2">
      <c r="A178" s="78">
        <v>1</v>
      </c>
      <c r="B178" s="79"/>
      <c r="C178" s="16" t="s">
        <v>56</v>
      </c>
      <c r="D178" s="17">
        <f>(2.9*4.5+2.15*3.35+2.9*3.35+1.25*2+2*1.25)*10.764</f>
        <v>376.39017000000001</v>
      </c>
      <c r="E178" s="17">
        <f>(0.75*2.9+0.6*2.15+0.6*2.9)*10.764</f>
        <v>56.026619999999994</v>
      </c>
      <c r="F178" s="17">
        <f>D178+E178</f>
        <v>432.41678999999999</v>
      </c>
      <c r="G178" s="17">
        <v>0</v>
      </c>
      <c r="H178" s="17">
        <f>F178*(($H$156)+1)+(IF(G178&lt;101,G178,IF(G178&lt;201,G178/2,IF(G178&lt;=301,G178/3,G178/4))))</f>
        <v>648.62518499999999</v>
      </c>
    </row>
    <row r="179" spans="1:9" x14ac:dyDescent="0.2">
      <c r="A179" s="78">
        <f>A178+1</f>
        <v>2</v>
      </c>
      <c r="B179" s="79"/>
      <c r="C179" s="16" t="s">
        <v>56</v>
      </c>
      <c r="D179" s="17">
        <f>(2.9*4.5+2.15*3.35+2.9*3.35+1.25*2+2*1.25)*10.764</f>
        <v>376.39017000000001</v>
      </c>
      <c r="E179" s="17">
        <f>(0.75*2.9+0.6*2.15+0.6*2.9)*10.764</f>
        <v>56.026619999999994</v>
      </c>
      <c r="F179" s="17">
        <f t="shared" ref="F179:F185" si="21">D179+E179</f>
        <v>432.41678999999999</v>
      </c>
      <c r="G179" s="17">
        <v>0</v>
      </c>
      <c r="H179" s="17">
        <f t="shared" ref="H179:H185" si="22">F179*(($H$156)+1)+(IF(G179&lt;101,G179,IF(G179&lt;201,G179/2,IF(G179&lt;=301,G179/3,G179/4))))</f>
        <v>648.62518499999999</v>
      </c>
    </row>
    <row r="180" spans="1:9" x14ac:dyDescent="0.2">
      <c r="A180" s="78">
        <f t="shared" ref="A180:A185" si="23">A179+1</f>
        <v>3</v>
      </c>
      <c r="B180" s="79"/>
      <c r="C180" s="78" t="s">
        <v>268</v>
      </c>
      <c r="D180" s="81"/>
      <c r="E180" s="81"/>
      <c r="F180" s="81"/>
      <c r="G180" s="81"/>
      <c r="H180" s="79"/>
    </row>
    <row r="181" spans="1:9" x14ac:dyDescent="0.2">
      <c r="A181" s="78">
        <f t="shared" si="23"/>
        <v>4</v>
      </c>
      <c r="B181" s="79"/>
      <c r="C181" s="16" t="s">
        <v>56</v>
      </c>
      <c r="D181" s="17">
        <f>(2.9*4.5+0.7*1+2.3*3.35+3.05*3.35+3.35*2.9+1.25*2.15+2.15*1.25+0.7*1+1*2.8)*10.764</f>
        <v>541.02554999999995</v>
      </c>
      <c r="E181" s="17">
        <f>(0.75*2.9+0.6*2.3+0.6*3.05)*10.764</f>
        <v>57.964139999999993</v>
      </c>
      <c r="F181" s="17">
        <f t="shared" si="21"/>
        <v>598.98969</v>
      </c>
      <c r="G181" s="17">
        <v>0</v>
      </c>
      <c r="H181" s="17">
        <f t="shared" si="22"/>
        <v>898.48453500000005</v>
      </c>
    </row>
    <row r="182" spans="1:9" x14ac:dyDescent="0.2">
      <c r="A182" s="78">
        <f t="shared" si="23"/>
        <v>5</v>
      </c>
      <c r="B182" s="79"/>
      <c r="C182" s="16" t="s">
        <v>56</v>
      </c>
      <c r="D182" s="17">
        <f>(2.9*4.5+0.7*1+2.3*3.35+3.05*3.35+3.35*2.9+1.25*2.15+2.15*1.25+0.7*1+1*2.8)*10.764</f>
        <v>541.02554999999995</v>
      </c>
      <c r="E182" s="17">
        <f>(0.75*2.9+0.6*2.3+0.6*3.05)*10.764</f>
        <v>57.964139999999993</v>
      </c>
      <c r="F182" s="17">
        <f t="shared" si="21"/>
        <v>598.98969</v>
      </c>
      <c r="G182" s="17">
        <v>0</v>
      </c>
      <c r="H182" s="17">
        <f t="shared" si="22"/>
        <v>898.48453500000005</v>
      </c>
    </row>
    <row r="183" spans="1:9" x14ac:dyDescent="0.2">
      <c r="A183" s="78">
        <f t="shared" si="23"/>
        <v>6</v>
      </c>
      <c r="B183" s="79"/>
      <c r="C183" s="16" t="s">
        <v>56</v>
      </c>
      <c r="D183" s="17">
        <f t="shared" ref="D183:D185" si="24">(2.9*4.5+2.15*3.35+2.9*3.35+1.25*2+2*1.25)*10.764</f>
        <v>376.39017000000001</v>
      </c>
      <c r="E183" s="17">
        <f t="shared" ref="E183:E185" si="25">(0.75*2.9+0.6*2.15+0.6*2.9)*10.764</f>
        <v>56.026619999999994</v>
      </c>
      <c r="F183" s="17">
        <f t="shared" si="21"/>
        <v>432.41678999999999</v>
      </c>
      <c r="G183" s="17">
        <v>0</v>
      </c>
      <c r="H183" s="17">
        <f t="shared" si="22"/>
        <v>648.62518499999999</v>
      </c>
    </row>
    <row r="184" spans="1:9" x14ac:dyDescent="0.2">
      <c r="A184" s="78">
        <f t="shared" si="23"/>
        <v>7</v>
      </c>
      <c r="B184" s="79"/>
      <c r="C184" s="16" t="s">
        <v>56</v>
      </c>
      <c r="D184" s="17">
        <f t="shared" si="24"/>
        <v>376.39017000000001</v>
      </c>
      <c r="E184" s="17">
        <f t="shared" si="25"/>
        <v>56.026619999999994</v>
      </c>
      <c r="F184" s="17">
        <f t="shared" si="21"/>
        <v>432.41678999999999</v>
      </c>
      <c r="G184" s="17">
        <v>0</v>
      </c>
      <c r="H184" s="17">
        <f t="shared" si="22"/>
        <v>648.62518499999999</v>
      </c>
    </row>
    <row r="185" spans="1:9" x14ac:dyDescent="0.2">
      <c r="A185" s="78">
        <f t="shared" si="23"/>
        <v>8</v>
      </c>
      <c r="B185" s="79"/>
      <c r="C185" s="16" t="s">
        <v>56</v>
      </c>
      <c r="D185" s="17">
        <f t="shared" si="24"/>
        <v>376.39017000000001</v>
      </c>
      <c r="E185" s="17">
        <f t="shared" si="25"/>
        <v>56.026619999999994</v>
      </c>
      <c r="F185" s="17">
        <f t="shared" si="21"/>
        <v>432.41678999999999</v>
      </c>
      <c r="G185" s="17">
        <v>0</v>
      </c>
      <c r="H185" s="17">
        <f t="shared" si="22"/>
        <v>648.62518499999999</v>
      </c>
    </row>
    <row r="186" spans="1:9" x14ac:dyDescent="0.2">
      <c r="A186" s="80" t="s">
        <v>209</v>
      </c>
      <c r="B186" s="80"/>
      <c r="C186" s="80"/>
      <c r="D186" s="80"/>
      <c r="E186" s="80"/>
      <c r="F186" s="80"/>
      <c r="G186" s="80"/>
      <c r="H186" s="80"/>
    </row>
    <row r="187" spans="1:9" x14ac:dyDescent="0.2">
      <c r="A187" s="80" t="s">
        <v>265</v>
      </c>
      <c r="B187" s="80"/>
      <c r="C187" s="80"/>
      <c r="D187" s="80"/>
      <c r="E187" s="80"/>
      <c r="F187" s="80"/>
      <c r="G187" s="80"/>
      <c r="H187" s="80"/>
    </row>
    <row r="188" spans="1:9" x14ac:dyDescent="0.2">
      <c r="A188" s="80" t="s">
        <v>269</v>
      </c>
      <c r="B188" s="80"/>
      <c r="C188" s="80"/>
      <c r="D188" s="80"/>
      <c r="E188" s="80"/>
      <c r="F188" s="80"/>
      <c r="G188" s="80"/>
      <c r="H188" s="80"/>
      <c r="I188" s="6">
        <v>1</v>
      </c>
    </row>
    <row r="189" spans="1:9" x14ac:dyDescent="0.2">
      <c r="A189" s="78">
        <v>1</v>
      </c>
      <c r="B189" s="79"/>
      <c r="C189" s="16" t="s">
        <v>263</v>
      </c>
      <c r="D189" s="17">
        <f>(2.9*4.6+2.15*3.25+2.97*3.35+3.35*2.9+1.25*2.15+2.15*1.25+1.6*0.9)*10.764</f>
        <v>503.83054799999991</v>
      </c>
      <c r="E189" s="17">
        <f>(0.75*2.9+0.6*2.15+0.75*2.97)*10.764</f>
        <v>61.274069999999995</v>
      </c>
      <c r="F189" s="17">
        <f>D189+E189</f>
        <v>565.10461799999985</v>
      </c>
      <c r="G189" s="17">
        <v>0</v>
      </c>
      <c r="H189" s="17">
        <f>F189*(($H$156)+1)+(IF(G189&lt;101,G189,IF(G189&lt;201,G189/2,IF(G189&lt;=301,G189/3,G189/4))))</f>
        <v>847.65692699999977</v>
      </c>
    </row>
    <row r="190" spans="1:9" x14ac:dyDescent="0.2">
      <c r="A190" s="78">
        <f>A189+1</f>
        <v>2</v>
      </c>
      <c r="B190" s="79"/>
      <c r="C190" s="78" t="s">
        <v>270</v>
      </c>
      <c r="D190" s="81"/>
      <c r="E190" s="81"/>
      <c r="F190" s="81"/>
      <c r="G190" s="81"/>
      <c r="H190" s="79"/>
    </row>
    <row r="191" spans="1:9" x14ac:dyDescent="0.2">
      <c r="A191" s="78">
        <f t="shared" ref="A191:A194" si="26">A190+1</f>
        <v>3</v>
      </c>
      <c r="B191" s="79"/>
      <c r="C191" s="16" t="s">
        <v>56</v>
      </c>
      <c r="D191" s="17">
        <f>(2.98*4.5+2.15*3.35+2.9*3.35+1.25*2+2*1.25)*10.764</f>
        <v>380.26520999999997</v>
      </c>
      <c r="E191" s="17">
        <f>(0.75*2.98+0.6*2.15+0.6*2.9)*10.764</f>
        <v>56.672459999999994</v>
      </c>
      <c r="F191" s="17">
        <f t="shared" ref="F191:F194" si="27">D191+E191</f>
        <v>436.93766999999997</v>
      </c>
      <c r="G191" s="17">
        <v>0</v>
      </c>
      <c r="H191" s="17">
        <f t="shared" ref="H191:H194" si="28">F191*(($H$156)+1)+(IF(G191&lt;101,G191,IF(G191&lt;201,G191/2,IF(G191&lt;=301,G191/3,G191/4))))</f>
        <v>655.40650499999992</v>
      </c>
    </row>
    <row r="192" spans="1:9" x14ac:dyDescent="0.2">
      <c r="A192" s="78">
        <f t="shared" si="26"/>
        <v>4</v>
      </c>
      <c r="B192" s="79"/>
      <c r="C192" s="16" t="s">
        <v>56</v>
      </c>
      <c r="D192" s="17">
        <f>(2.9*4.5+2.15*3.35+2.9*3.35+1.25*2+2*1.25)*10.764</f>
        <v>376.39017000000001</v>
      </c>
      <c r="E192" s="17">
        <f>(0.75*2.9+0.6*2.15+0.6*2.9)*10.764</f>
        <v>56.026619999999994</v>
      </c>
      <c r="F192" s="17">
        <f t="shared" si="27"/>
        <v>432.41678999999999</v>
      </c>
      <c r="G192" s="17">
        <v>0</v>
      </c>
      <c r="H192" s="17">
        <f t="shared" si="28"/>
        <v>648.62518499999999</v>
      </c>
    </row>
    <row r="193" spans="1:9" x14ac:dyDescent="0.2">
      <c r="A193" s="78">
        <f t="shared" si="26"/>
        <v>5</v>
      </c>
      <c r="B193" s="79"/>
      <c r="C193" s="16" t="s">
        <v>56</v>
      </c>
      <c r="D193" s="17">
        <f t="shared" ref="D193" si="29">(2.9*4.5+2.15*3.35+2.9*3.35+1.25*2+2*1.25)*10.764</f>
        <v>376.39017000000001</v>
      </c>
      <c r="E193" s="17">
        <f t="shared" ref="E193" si="30">(0.75*2.9+0.6*2.15+0.6*2.9)*10.764</f>
        <v>56.026619999999994</v>
      </c>
      <c r="F193" s="17">
        <f t="shared" si="27"/>
        <v>432.41678999999999</v>
      </c>
      <c r="G193" s="17">
        <v>0</v>
      </c>
      <c r="H193" s="17">
        <f t="shared" si="28"/>
        <v>648.62518499999999</v>
      </c>
    </row>
    <row r="194" spans="1:9" x14ac:dyDescent="0.2">
      <c r="A194" s="78">
        <f t="shared" si="26"/>
        <v>6</v>
      </c>
      <c r="B194" s="79"/>
      <c r="C194" s="16" t="s">
        <v>263</v>
      </c>
      <c r="D194" s="17">
        <f>(2.9*4.6+2.15*3.25+2.97*3.35+3.35*2.9+1.25*2.15+2.15*1.25+1.6*0.9)*10.764</f>
        <v>503.83054799999991</v>
      </c>
      <c r="E194" s="17">
        <f>(0.75*2.9+0.6*2.15+0.75*2.97)*10.764</f>
        <v>61.274069999999995</v>
      </c>
      <c r="F194" s="17">
        <f t="shared" si="27"/>
        <v>565.10461799999985</v>
      </c>
      <c r="G194" s="17">
        <v>0</v>
      </c>
      <c r="H194" s="17">
        <f t="shared" si="28"/>
        <v>847.65692699999977</v>
      </c>
    </row>
    <row r="195" spans="1:9" x14ac:dyDescent="0.2">
      <c r="A195" s="80" t="s">
        <v>271</v>
      </c>
      <c r="B195" s="80"/>
      <c r="C195" s="80"/>
      <c r="D195" s="80"/>
      <c r="E195" s="80"/>
      <c r="F195" s="80"/>
      <c r="G195" s="80"/>
      <c r="H195" s="80"/>
      <c r="I195" s="6">
        <v>16</v>
      </c>
    </row>
    <row r="196" spans="1:9" x14ac:dyDescent="0.2">
      <c r="A196" s="78">
        <v>1</v>
      </c>
      <c r="B196" s="79"/>
      <c r="C196" s="16" t="s">
        <v>263</v>
      </c>
      <c r="D196" s="17">
        <f>(2.9*4.6+2.15*3.25+2.97*3.35+3.35*2.9+1.25*2.15+2.15*1.25+1.6*0.9)*10.764</f>
        <v>503.83054799999991</v>
      </c>
      <c r="E196" s="17">
        <f>(0.75*2.9+0.6*2.15+0.75*2.97)*10.764</f>
        <v>61.274069999999995</v>
      </c>
      <c r="F196" s="17">
        <f>D196+E196</f>
        <v>565.10461799999985</v>
      </c>
      <c r="G196" s="17">
        <v>0</v>
      </c>
      <c r="H196" s="17">
        <f>F196*(($H$156)+1)+(IF(G196&lt;101,G196,IF(G196&lt;201,G196/2,IF(G196&lt;=301,G196/3,G196/4))))</f>
        <v>847.65692699999977</v>
      </c>
    </row>
    <row r="197" spans="1:9" x14ac:dyDescent="0.2">
      <c r="A197" s="78">
        <f>A196+1</f>
        <v>2</v>
      </c>
      <c r="B197" s="79"/>
      <c r="C197" s="16" t="s">
        <v>56</v>
      </c>
      <c r="D197" s="17">
        <f t="shared" ref="D197:D200" si="31">(2.9*4.5+2.15*3.35+2.9*3.35+1.25*2+2*1.25)*10.764</f>
        <v>376.39017000000001</v>
      </c>
      <c r="E197" s="17">
        <f t="shared" ref="E197:E200" si="32">(0.75*2.9+0.6*2.15+0.6*2.9)*10.764</f>
        <v>56.026619999999994</v>
      </c>
      <c r="F197" s="17">
        <f t="shared" ref="F197:F201" si="33">D197+E197</f>
        <v>432.41678999999999</v>
      </c>
      <c r="G197" s="17">
        <v>0</v>
      </c>
      <c r="H197" s="17">
        <f t="shared" ref="H197:H201" si="34">F197*(($H$156)+1)+(IF(G197&lt;101,G197,IF(G197&lt;201,G197/2,IF(G197&lt;=301,G197/3,G197/4))))</f>
        <v>648.62518499999999</v>
      </c>
    </row>
    <row r="198" spans="1:9" x14ac:dyDescent="0.2">
      <c r="A198" s="78">
        <f t="shared" ref="A198:A201" si="35">A197+1</f>
        <v>3</v>
      </c>
      <c r="B198" s="79"/>
      <c r="C198" s="16" t="s">
        <v>56</v>
      </c>
      <c r="D198" s="17">
        <f>(2.98*4.5+2.15*3.35+2.9*3.35+1.25*2+2*1.25)*10.764</f>
        <v>380.26520999999997</v>
      </c>
      <c r="E198" s="17">
        <f>(0.75*2.98+0.6*2.15+0.6*2.9)*10.764</f>
        <v>56.672459999999994</v>
      </c>
      <c r="F198" s="17">
        <f t="shared" si="33"/>
        <v>436.93766999999997</v>
      </c>
      <c r="G198" s="17">
        <v>0</v>
      </c>
      <c r="H198" s="17">
        <f t="shared" si="34"/>
        <v>655.40650499999992</v>
      </c>
    </row>
    <row r="199" spans="1:9" x14ac:dyDescent="0.2">
      <c r="A199" s="78">
        <f t="shared" si="35"/>
        <v>4</v>
      </c>
      <c r="B199" s="79"/>
      <c r="C199" s="16" t="s">
        <v>56</v>
      </c>
      <c r="D199" s="17">
        <f t="shared" si="31"/>
        <v>376.39017000000001</v>
      </c>
      <c r="E199" s="17">
        <f t="shared" si="32"/>
        <v>56.026619999999994</v>
      </c>
      <c r="F199" s="17">
        <f t="shared" si="33"/>
        <v>432.41678999999999</v>
      </c>
      <c r="G199" s="17">
        <v>0</v>
      </c>
      <c r="H199" s="17">
        <f t="shared" si="34"/>
        <v>648.62518499999999</v>
      </c>
    </row>
    <row r="200" spans="1:9" x14ac:dyDescent="0.2">
      <c r="A200" s="78">
        <f t="shared" si="35"/>
        <v>5</v>
      </c>
      <c r="B200" s="79"/>
      <c r="C200" s="16" t="s">
        <v>56</v>
      </c>
      <c r="D200" s="17">
        <f t="shared" si="31"/>
        <v>376.39017000000001</v>
      </c>
      <c r="E200" s="17">
        <f t="shared" si="32"/>
        <v>56.026619999999994</v>
      </c>
      <c r="F200" s="17">
        <f t="shared" si="33"/>
        <v>432.41678999999999</v>
      </c>
      <c r="G200" s="17">
        <v>0</v>
      </c>
      <c r="H200" s="17">
        <f t="shared" si="34"/>
        <v>648.62518499999999</v>
      </c>
    </row>
    <row r="201" spans="1:9" x14ac:dyDescent="0.2">
      <c r="A201" s="78">
        <f t="shared" si="35"/>
        <v>6</v>
      </c>
      <c r="B201" s="79"/>
      <c r="C201" s="16" t="s">
        <v>263</v>
      </c>
      <c r="D201" s="17">
        <f>(2.9*4.6+2.15*3.25+2.97*3.35+3.35*2.9+1.25*2.15+2.15*1.25+1.6*0.9)*10.764</f>
        <v>503.83054799999991</v>
      </c>
      <c r="E201" s="17">
        <f>(0.75*2.9+0.6*2.15+0.75*2.97)*10.764</f>
        <v>61.274069999999995</v>
      </c>
      <c r="F201" s="17">
        <f t="shared" si="33"/>
        <v>565.10461799999985</v>
      </c>
      <c r="G201" s="17">
        <v>0</v>
      </c>
      <c r="H201" s="17">
        <f t="shared" si="34"/>
        <v>847.65692699999977</v>
      </c>
    </row>
    <row r="202" spans="1:9" x14ac:dyDescent="0.2">
      <c r="A202" s="80" t="s">
        <v>267</v>
      </c>
      <c r="B202" s="80"/>
      <c r="C202" s="80"/>
      <c r="D202" s="80"/>
      <c r="E202" s="80"/>
      <c r="F202" s="80"/>
      <c r="G202" s="80"/>
      <c r="H202" s="80"/>
      <c r="I202" s="6">
        <v>3</v>
      </c>
    </row>
    <row r="203" spans="1:9" x14ac:dyDescent="0.2">
      <c r="A203" s="78">
        <v>1</v>
      </c>
      <c r="B203" s="79"/>
      <c r="C203" s="16" t="s">
        <v>263</v>
      </c>
      <c r="D203" s="17">
        <f>(2.9*4.6+2.15*3.25+2.97*3.35+3.35*2.9+1.25*2.15+2.15*1.25+1.6*0.9)*10.764</f>
        <v>503.83054799999991</v>
      </c>
      <c r="E203" s="17">
        <f>(0.75*2.9+0.6*2.15+0.75*2.97)*10.764</f>
        <v>61.274069999999995</v>
      </c>
      <c r="F203" s="17">
        <f>D203+E203</f>
        <v>565.10461799999985</v>
      </c>
      <c r="G203" s="17">
        <v>0</v>
      </c>
      <c r="H203" s="17">
        <f>F203*(($H$156)+1)+(IF(G203&lt;101,G203,IF(G203&lt;201,G203/2,IF(G203&lt;=301,G203/3,G203/4))))</f>
        <v>847.65692699999977</v>
      </c>
    </row>
    <row r="204" spans="1:9" x14ac:dyDescent="0.2">
      <c r="A204" s="78">
        <f>A203+1</f>
        <v>2</v>
      </c>
      <c r="B204" s="79"/>
      <c r="C204" s="16" t="s">
        <v>56</v>
      </c>
      <c r="D204" s="17">
        <f t="shared" ref="D204" si="36">(2.9*4.5+2.15*3.35+2.9*3.35+1.25*2+2*1.25)*10.764</f>
        <v>376.39017000000001</v>
      </c>
      <c r="E204" s="17">
        <f t="shared" ref="E204" si="37">(0.75*2.9+0.6*2.15+0.6*2.9)*10.764</f>
        <v>56.026619999999994</v>
      </c>
      <c r="F204" s="17">
        <f t="shared" ref="F204:F208" si="38">D204+E204</f>
        <v>432.41678999999999</v>
      </c>
      <c r="G204" s="17">
        <v>0</v>
      </c>
      <c r="H204" s="17">
        <f t="shared" ref="H204:H208" si="39">F204*(($H$156)+1)+(IF(G204&lt;101,G204,IF(G204&lt;201,G204/2,IF(G204&lt;=301,G204/3,G204/4))))</f>
        <v>648.62518499999999</v>
      </c>
    </row>
    <row r="205" spans="1:9" x14ac:dyDescent="0.2">
      <c r="A205" s="78">
        <f t="shared" ref="A205:A208" si="40">A204+1</f>
        <v>3</v>
      </c>
      <c r="B205" s="79"/>
      <c r="C205" s="78" t="s">
        <v>268</v>
      </c>
      <c r="D205" s="81"/>
      <c r="E205" s="81"/>
      <c r="F205" s="81"/>
      <c r="G205" s="81"/>
      <c r="H205" s="79"/>
    </row>
    <row r="206" spans="1:9" x14ac:dyDescent="0.2">
      <c r="A206" s="78">
        <f t="shared" si="40"/>
        <v>4</v>
      </c>
      <c r="B206" s="79"/>
      <c r="C206" s="16" t="s">
        <v>56</v>
      </c>
      <c r="D206" s="17">
        <f t="shared" ref="D206:D207" si="41">(2.9*4.5+2.15*3.35+2.9*3.35+1.25*2+2*1.25)*10.764</f>
        <v>376.39017000000001</v>
      </c>
      <c r="E206" s="17">
        <f t="shared" ref="E206:E207" si="42">(0.75*2.9+0.6*2.15+0.6*2.9)*10.764</f>
        <v>56.026619999999994</v>
      </c>
      <c r="F206" s="17">
        <f t="shared" si="38"/>
        <v>432.41678999999999</v>
      </c>
      <c r="G206" s="17">
        <v>0</v>
      </c>
      <c r="H206" s="17">
        <f t="shared" si="39"/>
        <v>648.62518499999999</v>
      </c>
    </row>
    <row r="207" spans="1:9" x14ac:dyDescent="0.2">
      <c r="A207" s="78">
        <f t="shared" si="40"/>
        <v>5</v>
      </c>
      <c r="B207" s="79"/>
      <c r="C207" s="16" t="s">
        <v>56</v>
      </c>
      <c r="D207" s="17">
        <f t="shared" si="41"/>
        <v>376.39017000000001</v>
      </c>
      <c r="E207" s="17">
        <f t="shared" si="42"/>
        <v>56.026619999999994</v>
      </c>
      <c r="F207" s="17">
        <f t="shared" si="38"/>
        <v>432.41678999999999</v>
      </c>
      <c r="G207" s="17">
        <v>0</v>
      </c>
      <c r="H207" s="17">
        <f t="shared" si="39"/>
        <v>648.62518499999999</v>
      </c>
    </row>
    <row r="208" spans="1:9" x14ac:dyDescent="0.2">
      <c r="A208" s="78">
        <f t="shared" si="40"/>
        <v>6</v>
      </c>
      <c r="B208" s="79"/>
      <c r="C208" s="16" t="s">
        <v>263</v>
      </c>
      <c r="D208" s="17">
        <f>(2.9*4.6+2.15*3.25+2.97*3.35+3.35*2.9+1.25*2.15+2.15*1.25+1.6*0.9)*10.764</f>
        <v>503.83054799999991</v>
      </c>
      <c r="E208" s="17">
        <f>(0.75*2.9+0.6*2.15+0.75*2.97)*10.764</f>
        <v>61.274069999999995</v>
      </c>
      <c r="F208" s="17">
        <f t="shared" si="38"/>
        <v>565.10461799999985</v>
      </c>
      <c r="G208" s="17">
        <v>0</v>
      </c>
      <c r="H208" s="17">
        <f t="shared" si="39"/>
        <v>847.65692699999977</v>
      </c>
    </row>
    <row r="209" spans="1:9" x14ac:dyDescent="0.2">
      <c r="A209" s="80" t="s">
        <v>272</v>
      </c>
      <c r="B209" s="80"/>
      <c r="C209" s="80"/>
      <c r="D209" s="80"/>
      <c r="E209" s="80"/>
      <c r="F209" s="80"/>
      <c r="G209" s="80"/>
      <c r="H209" s="80"/>
    </row>
    <row r="210" spans="1:9" x14ac:dyDescent="0.2">
      <c r="A210" s="80" t="s">
        <v>265</v>
      </c>
      <c r="B210" s="80"/>
      <c r="C210" s="80"/>
      <c r="D210" s="80"/>
      <c r="E210" s="80"/>
      <c r="F210" s="80"/>
      <c r="G210" s="80"/>
      <c r="H210" s="80"/>
    </row>
    <row r="211" spans="1:9" x14ac:dyDescent="0.2">
      <c r="A211" s="80" t="s">
        <v>273</v>
      </c>
      <c r="B211" s="80"/>
      <c r="C211" s="80"/>
      <c r="D211" s="80"/>
      <c r="E211" s="80"/>
      <c r="F211" s="80"/>
      <c r="G211" s="80"/>
      <c r="H211" s="80"/>
      <c r="I211" s="6">
        <v>1</v>
      </c>
    </row>
    <row r="212" spans="1:9" x14ac:dyDescent="0.2">
      <c r="A212" s="78">
        <v>1</v>
      </c>
      <c r="B212" s="79"/>
      <c r="C212" s="78" t="s">
        <v>274</v>
      </c>
      <c r="D212" s="81"/>
      <c r="E212" s="81"/>
      <c r="F212" s="81"/>
      <c r="G212" s="81"/>
      <c r="H212" s="79"/>
    </row>
    <row r="213" spans="1:9" x14ac:dyDescent="0.2">
      <c r="A213" s="78">
        <f>A212+1</f>
        <v>2</v>
      </c>
      <c r="B213" s="79"/>
      <c r="C213" s="78" t="s">
        <v>275</v>
      </c>
      <c r="D213" s="81"/>
      <c r="E213" s="81"/>
      <c r="F213" s="81"/>
      <c r="G213" s="81"/>
      <c r="H213" s="79"/>
    </row>
    <row r="214" spans="1:9" x14ac:dyDescent="0.2">
      <c r="A214" s="78">
        <f t="shared" ref="A214:A217" si="43">A213+1</f>
        <v>3</v>
      </c>
      <c r="B214" s="79"/>
      <c r="C214" s="16" t="s">
        <v>263</v>
      </c>
      <c r="D214" s="17">
        <f>(2.9*4.5+2.15*3.25+3.35*2.9+2.97*3.35+2.15*1.25+1.25*2.15+0.95*1.58)*10.764</f>
        <v>501.36559199999994</v>
      </c>
      <c r="E214" s="17">
        <f>(0.75*2.9+0.6*2.15+0.95*2.97)*10.764</f>
        <v>67.667885999999996</v>
      </c>
      <c r="F214" s="17">
        <f t="shared" ref="F214:F217" si="44">D214+E214</f>
        <v>569.03347799999995</v>
      </c>
      <c r="G214" s="17">
        <v>0</v>
      </c>
      <c r="H214" s="17">
        <f t="shared" ref="H214:H217" si="45">F214*(($H$156)+1)+(IF(G214&lt;101,G214,IF(G214&lt;201,G214/2,IF(G214&lt;=301,G214/3,G214/4))))</f>
        <v>853.55021699999998</v>
      </c>
    </row>
    <row r="215" spans="1:9" x14ac:dyDescent="0.2">
      <c r="A215" s="78">
        <f t="shared" si="43"/>
        <v>4</v>
      </c>
      <c r="B215" s="79"/>
      <c r="C215" s="16" t="s">
        <v>56</v>
      </c>
      <c r="D215" s="17">
        <f>(2.9*4.5+2.15*3.35+2.9*3.35+1.25*2+2*1.25)*10.764</f>
        <v>376.39017000000001</v>
      </c>
      <c r="E215" s="17">
        <f>(0.75*2.9+0.6*2.15+0.6*2.9)*10.764</f>
        <v>56.026619999999994</v>
      </c>
      <c r="F215" s="17">
        <f t="shared" si="44"/>
        <v>432.41678999999999</v>
      </c>
      <c r="G215" s="17">
        <v>0</v>
      </c>
      <c r="H215" s="17">
        <f t="shared" si="45"/>
        <v>648.62518499999999</v>
      </c>
    </row>
    <row r="216" spans="1:9" x14ac:dyDescent="0.2">
      <c r="A216" s="78">
        <f t="shared" si="43"/>
        <v>5</v>
      </c>
      <c r="B216" s="79"/>
      <c r="C216" s="16" t="s">
        <v>56</v>
      </c>
      <c r="D216" s="17">
        <f t="shared" ref="D216:D217" si="46">(2.9*4.5+2.15*3.35+2.9*3.35+1.25*2+2*1.25)*10.764</f>
        <v>376.39017000000001</v>
      </c>
      <c r="E216" s="17">
        <f t="shared" ref="E216:E217" si="47">(0.75*2.9+0.6*2.15+0.6*2.9)*10.764</f>
        <v>56.026619999999994</v>
      </c>
      <c r="F216" s="17">
        <f t="shared" si="44"/>
        <v>432.41678999999999</v>
      </c>
      <c r="G216" s="17">
        <v>0</v>
      </c>
      <c r="H216" s="17">
        <f t="shared" si="45"/>
        <v>648.62518499999999</v>
      </c>
    </row>
    <row r="217" spans="1:9" x14ac:dyDescent="0.2">
      <c r="A217" s="78">
        <f t="shared" si="43"/>
        <v>6</v>
      </c>
      <c r="B217" s="79"/>
      <c r="C217" s="16" t="s">
        <v>56</v>
      </c>
      <c r="D217" s="17">
        <f t="shared" si="46"/>
        <v>376.39017000000001</v>
      </c>
      <c r="E217" s="17">
        <f t="shared" si="47"/>
        <v>56.026619999999994</v>
      </c>
      <c r="F217" s="17">
        <f t="shared" si="44"/>
        <v>432.41678999999999</v>
      </c>
      <c r="G217" s="17">
        <v>0</v>
      </c>
      <c r="H217" s="17">
        <f t="shared" si="45"/>
        <v>648.62518499999999</v>
      </c>
    </row>
    <row r="218" spans="1:9" x14ac:dyDescent="0.2">
      <c r="A218" s="80" t="s">
        <v>271</v>
      </c>
      <c r="B218" s="80"/>
      <c r="C218" s="80"/>
      <c r="D218" s="80"/>
      <c r="E218" s="80"/>
      <c r="F218" s="80"/>
      <c r="G218" s="80"/>
      <c r="H218" s="80"/>
      <c r="I218" s="6">
        <v>16</v>
      </c>
    </row>
    <row r="219" spans="1:9" x14ac:dyDescent="0.2">
      <c r="A219" s="78">
        <v>1</v>
      </c>
      <c r="B219" s="79"/>
      <c r="C219" s="16" t="s">
        <v>56</v>
      </c>
      <c r="D219" s="17">
        <f>(2.9*4.5+2.15*3.35+2.9*3.35+1.25*2+2*1.25)*10.764</f>
        <v>376.39017000000001</v>
      </c>
      <c r="E219" s="17">
        <f>(0.75*2.9+0.6*2.15+0.6*2.9)*10.764</f>
        <v>56.026619999999994</v>
      </c>
      <c r="F219" s="17">
        <f>D219+E219</f>
        <v>432.41678999999999</v>
      </c>
      <c r="G219" s="17">
        <v>0</v>
      </c>
      <c r="H219" s="17">
        <f>F219*(($H$156)+1)+(IF(G219&lt;101,G219,IF(G219&lt;201,G219/2,IF(G219&lt;=301,G219/3,G219/4))))</f>
        <v>648.62518499999999</v>
      </c>
    </row>
    <row r="220" spans="1:9" x14ac:dyDescent="0.2">
      <c r="A220" s="78">
        <f>A219+1</f>
        <v>2</v>
      </c>
      <c r="B220" s="79"/>
      <c r="C220" s="16" t="s">
        <v>263</v>
      </c>
      <c r="D220" s="17">
        <f>(2.9*4.5+2.15*3.25+3.35*2.9+2.97*3.35+2.15*1.25+1.25*2.15+0.95*1.58)*10.764</f>
        <v>501.36559199999994</v>
      </c>
      <c r="E220" s="17">
        <f>(0.75*2.9+0.6*2.15+0.95*2.97)*10.764</f>
        <v>67.667885999999996</v>
      </c>
      <c r="F220" s="17">
        <f t="shared" ref="F220:F224" si="48">D220+E220</f>
        <v>569.03347799999995</v>
      </c>
      <c r="G220" s="17">
        <v>0</v>
      </c>
      <c r="H220" s="17">
        <f t="shared" ref="H220:H224" si="49">F220*(($H$156)+1)+(IF(G220&lt;101,G220,IF(G220&lt;201,G220/2,IF(G220&lt;=301,G220/3,G220/4))))</f>
        <v>853.55021699999998</v>
      </c>
    </row>
    <row r="221" spans="1:9" x14ac:dyDescent="0.2">
      <c r="A221" s="78">
        <f t="shared" ref="A221:A224" si="50">A220+1</f>
        <v>3</v>
      </c>
      <c r="B221" s="79"/>
      <c r="C221" s="16" t="s">
        <v>263</v>
      </c>
      <c r="D221" s="17">
        <f>(2.9*4.5+2.15*3.25+3.35*2.9+2.97*3.35+2.15*1.25+1.25*2.15+0.95*1.58)*10.764</f>
        <v>501.36559199999994</v>
      </c>
      <c r="E221" s="17">
        <f>(0.75*2.9+0.6*2.15+0.95*2.97)*10.764</f>
        <v>67.667885999999996</v>
      </c>
      <c r="F221" s="17">
        <f t="shared" si="48"/>
        <v>569.03347799999995</v>
      </c>
      <c r="G221" s="17">
        <v>0</v>
      </c>
      <c r="H221" s="17">
        <f t="shared" si="49"/>
        <v>853.55021699999998</v>
      </c>
    </row>
    <row r="222" spans="1:9" x14ac:dyDescent="0.2">
      <c r="A222" s="78">
        <f t="shared" si="50"/>
        <v>4</v>
      </c>
      <c r="B222" s="79"/>
      <c r="C222" s="16" t="s">
        <v>56</v>
      </c>
      <c r="D222" s="17">
        <f>(2.9*4.5+2.15*3.35+2.9*3.35+1.25*2+2*1.25)*10.764</f>
        <v>376.39017000000001</v>
      </c>
      <c r="E222" s="17">
        <f>(0.75*2.9+0.6*2.15+0.6*2.9)*10.764</f>
        <v>56.026619999999994</v>
      </c>
      <c r="F222" s="17">
        <f t="shared" si="48"/>
        <v>432.41678999999999</v>
      </c>
      <c r="G222" s="17">
        <v>0</v>
      </c>
      <c r="H222" s="17">
        <f t="shared" si="49"/>
        <v>648.62518499999999</v>
      </c>
    </row>
    <row r="223" spans="1:9" x14ac:dyDescent="0.2">
      <c r="A223" s="78">
        <f t="shared" si="50"/>
        <v>5</v>
      </c>
      <c r="B223" s="79"/>
      <c r="C223" s="16" t="s">
        <v>56</v>
      </c>
      <c r="D223" s="17">
        <f t="shared" ref="D223:D224" si="51">(2.9*4.5+2.15*3.35+2.9*3.35+1.25*2+2*1.25)*10.764</f>
        <v>376.39017000000001</v>
      </c>
      <c r="E223" s="17">
        <f t="shared" ref="E223:E224" si="52">(0.75*2.9+0.6*2.15+0.6*2.9)*10.764</f>
        <v>56.026619999999994</v>
      </c>
      <c r="F223" s="17">
        <f t="shared" si="48"/>
        <v>432.41678999999999</v>
      </c>
      <c r="G223" s="17">
        <v>0</v>
      </c>
      <c r="H223" s="17">
        <f t="shared" si="49"/>
        <v>648.62518499999999</v>
      </c>
    </row>
    <row r="224" spans="1:9" x14ac:dyDescent="0.2">
      <c r="A224" s="78">
        <f t="shared" si="50"/>
        <v>6</v>
      </c>
      <c r="B224" s="79"/>
      <c r="C224" s="16" t="s">
        <v>56</v>
      </c>
      <c r="D224" s="17">
        <f t="shared" si="51"/>
        <v>376.39017000000001</v>
      </c>
      <c r="E224" s="17">
        <f t="shared" si="52"/>
        <v>56.026619999999994</v>
      </c>
      <c r="F224" s="17">
        <f t="shared" si="48"/>
        <v>432.41678999999999</v>
      </c>
      <c r="G224" s="17">
        <v>0</v>
      </c>
      <c r="H224" s="17">
        <f t="shared" si="49"/>
        <v>648.62518499999999</v>
      </c>
    </row>
    <row r="225" spans="1:9" x14ac:dyDescent="0.2">
      <c r="A225" s="80" t="s">
        <v>267</v>
      </c>
      <c r="B225" s="80"/>
      <c r="C225" s="80"/>
      <c r="D225" s="80"/>
      <c r="E225" s="80"/>
      <c r="F225" s="80"/>
      <c r="G225" s="80"/>
      <c r="H225" s="80"/>
      <c r="I225" s="6">
        <v>3</v>
      </c>
    </row>
    <row r="226" spans="1:9" x14ac:dyDescent="0.2">
      <c r="A226" s="78">
        <v>1</v>
      </c>
      <c r="B226" s="79"/>
      <c r="C226" s="16" t="s">
        <v>56</v>
      </c>
      <c r="D226" s="17">
        <f>(2.9*4.5+2.15*3.35+2.9*3.35+1.25*2+2*1.25)*10.764</f>
        <v>376.39017000000001</v>
      </c>
      <c r="E226" s="17">
        <f>(0.75*2.9+0.6*2.15+0.6*2.9)*10.764</f>
        <v>56.026619999999994</v>
      </c>
      <c r="F226" s="17">
        <f>D226+E226</f>
        <v>432.41678999999999</v>
      </c>
      <c r="G226" s="17">
        <v>0</v>
      </c>
      <c r="H226" s="17">
        <f>F226*(($H$156)+1)+(IF(G226&lt;101,G226,IF(G226&lt;201,G226/2,IF(G226&lt;=301,G226/3,G226/4))))</f>
        <v>648.62518499999999</v>
      </c>
    </row>
    <row r="227" spans="1:9" x14ac:dyDescent="0.2">
      <c r="A227" s="78">
        <f>A226+1</f>
        <v>2</v>
      </c>
      <c r="B227" s="79"/>
      <c r="C227" s="16" t="s">
        <v>263</v>
      </c>
      <c r="D227" s="17">
        <f>(2.9*4.5+2.15*3.25+3.35*2.9+2.97*3.35+2.15*1.25+1.25*2.15+0.95*1.58)*10.764</f>
        <v>501.36559199999994</v>
      </c>
      <c r="E227" s="17">
        <f>(0.75*2.9+0.6*2.15+0.95*2.97)*10.764</f>
        <v>67.667885999999996</v>
      </c>
      <c r="F227" s="17">
        <f t="shared" ref="F227:F230" si="53">D227+E227</f>
        <v>569.03347799999995</v>
      </c>
      <c r="G227" s="17">
        <v>0</v>
      </c>
      <c r="H227" s="17">
        <f>F227*(($H$156)+1)+(IF(G227&lt;101,G227,IF(G227&lt;201,G227/2,IF(G227&lt;=301,G227/3,G227/4))))</f>
        <v>853.55021699999998</v>
      </c>
    </row>
    <row r="228" spans="1:9" x14ac:dyDescent="0.2">
      <c r="A228" s="78">
        <f t="shared" ref="A228:A231" si="54">A227+1</f>
        <v>3</v>
      </c>
      <c r="B228" s="79"/>
      <c r="C228" s="16" t="s">
        <v>263</v>
      </c>
      <c r="D228" s="17">
        <f>(2.9*4.5+2.15*3.25+3.35*2.9+2.97*3.35+2.15*1.25+1.25*2.15+0.95*1.58)*10.764</f>
        <v>501.36559199999994</v>
      </c>
      <c r="E228" s="17">
        <f>(0.75*2.9+0.6*2.15+0.95*2.97)*10.764</f>
        <v>67.667885999999996</v>
      </c>
      <c r="F228" s="17">
        <f t="shared" si="53"/>
        <v>569.03347799999995</v>
      </c>
      <c r="G228" s="17">
        <v>0</v>
      </c>
      <c r="H228" s="17">
        <f>F228*(($H$156)+1)+(IF(G228&lt;101,G228,IF(G228&lt;201,G228/2,IF(G228&lt;=301,G228/3,G228/4))))</f>
        <v>853.55021699999998</v>
      </c>
    </row>
    <row r="229" spans="1:9" x14ac:dyDescent="0.2">
      <c r="A229" s="78">
        <f t="shared" si="54"/>
        <v>4</v>
      </c>
      <c r="B229" s="79"/>
      <c r="C229" s="16" t="s">
        <v>56</v>
      </c>
      <c r="D229" s="17">
        <f>(2.9*4.5+2.15*3.35+2.9*3.35+1.25*2+2*1.25)*10.764</f>
        <v>376.39017000000001</v>
      </c>
      <c r="E229" s="17">
        <f>(0.75*2.9+0.6*2.15+0.6*2.9)*10.764</f>
        <v>56.026619999999994</v>
      </c>
      <c r="F229" s="17">
        <f t="shared" si="53"/>
        <v>432.41678999999999</v>
      </c>
      <c r="G229" s="17">
        <v>0</v>
      </c>
      <c r="H229" s="17">
        <f>F229*(($H$156)+1)+(IF(G229&lt;101,G229,IF(G229&lt;201,G229/2,IF(G229&lt;=301,G229/3,G229/4))))</f>
        <v>648.62518499999999</v>
      </c>
    </row>
    <row r="230" spans="1:9" x14ac:dyDescent="0.2">
      <c r="A230" s="78">
        <f t="shared" si="54"/>
        <v>5</v>
      </c>
      <c r="B230" s="79"/>
      <c r="C230" s="16" t="s">
        <v>56</v>
      </c>
      <c r="D230" s="17">
        <f t="shared" ref="D230" si="55">(2.9*4.5+2.15*3.35+2.9*3.35+1.25*2+2*1.25)*10.764</f>
        <v>376.39017000000001</v>
      </c>
      <c r="E230" s="17">
        <f t="shared" ref="E230" si="56">(0.75*2.9+0.6*2.15+0.6*2.9)*10.764</f>
        <v>56.026619999999994</v>
      </c>
      <c r="F230" s="17">
        <f t="shared" si="53"/>
        <v>432.41678999999999</v>
      </c>
      <c r="G230" s="17">
        <v>0</v>
      </c>
      <c r="H230" s="17">
        <f>F230*(($H$156)+1)+(IF(G230&lt;101,G230,IF(G230&lt;201,G230/2,IF(G230&lt;=301,G230/3,G230/4))))</f>
        <v>648.62518499999999</v>
      </c>
    </row>
    <row r="231" spans="1:9" x14ac:dyDescent="0.2">
      <c r="A231" s="78">
        <f t="shared" si="54"/>
        <v>6</v>
      </c>
      <c r="B231" s="79"/>
      <c r="C231" s="78" t="s">
        <v>268</v>
      </c>
      <c r="D231" s="81"/>
      <c r="E231" s="81"/>
      <c r="F231" s="81"/>
      <c r="G231" s="81"/>
      <c r="H231" s="79"/>
    </row>
    <row r="232" spans="1:9" x14ac:dyDescent="0.2">
      <c r="A232" s="80" t="s">
        <v>276</v>
      </c>
      <c r="B232" s="80"/>
      <c r="C232" s="80"/>
      <c r="D232" s="80"/>
      <c r="E232" s="80"/>
      <c r="F232" s="80"/>
      <c r="G232" s="80"/>
      <c r="H232" s="80"/>
    </row>
    <row r="233" spans="1:9" x14ac:dyDescent="0.2">
      <c r="A233" s="80" t="s">
        <v>265</v>
      </c>
      <c r="B233" s="80"/>
      <c r="C233" s="80"/>
      <c r="D233" s="80"/>
      <c r="E233" s="80"/>
      <c r="F233" s="80"/>
      <c r="G233" s="80"/>
      <c r="H233" s="80"/>
    </row>
    <row r="234" spans="1:9" x14ac:dyDescent="0.2">
      <c r="A234" s="80" t="s">
        <v>277</v>
      </c>
      <c r="B234" s="80"/>
      <c r="C234" s="80"/>
      <c r="D234" s="80"/>
      <c r="E234" s="80"/>
      <c r="F234" s="80"/>
      <c r="G234" s="80"/>
      <c r="H234" s="80"/>
      <c r="I234" s="6">
        <v>1</v>
      </c>
    </row>
    <row r="235" spans="1:9" x14ac:dyDescent="0.2">
      <c r="A235" s="78">
        <v>1</v>
      </c>
      <c r="B235" s="79"/>
      <c r="C235" s="16" t="s">
        <v>56</v>
      </c>
      <c r="D235" s="17">
        <f>(2.9*4.45+2.15*3.35+2.9*3.35+1.25*2+2*1.25)*10.764</f>
        <v>374.82938999999993</v>
      </c>
      <c r="E235" s="17">
        <f>(0.75*2.9)*10.764</f>
        <v>23.411699999999996</v>
      </c>
      <c r="F235" s="17">
        <f>D235+E235</f>
        <v>398.24108999999993</v>
      </c>
      <c r="G235" s="17">
        <v>0</v>
      </c>
      <c r="H235" s="17">
        <f>F235*(($H$156)+1)+(IF(G235&lt;101,G235,IF(G235&lt;201,G235/2,IF(G235&lt;=301,G235/3,G235/4))))</f>
        <v>597.36163499999986</v>
      </c>
    </row>
    <row r="236" spans="1:9" x14ac:dyDescent="0.2">
      <c r="A236" s="78">
        <f>A235+1</f>
        <v>2</v>
      </c>
      <c r="B236" s="79"/>
      <c r="C236" s="16" t="s">
        <v>56</v>
      </c>
      <c r="D236" s="17">
        <f>(2.9*4.5+2.15*3.35+2.9*3.35+1.25*2+2*1.25)*10.764</f>
        <v>376.39017000000001</v>
      </c>
      <c r="E236" s="17">
        <f t="shared" ref="E236:E237" si="57">(0.75*2.9)*10.764</f>
        <v>23.411699999999996</v>
      </c>
      <c r="F236" s="17">
        <f t="shared" ref="F236:F241" si="58">D236+E236</f>
        <v>399.80187000000001</v>
      </c>
      <c r="G236" s="17">
        <v>0</v>
      </c>
      <c r="H236" s="17">
        <f t="shared" ref="H236:H241" si="59">F236*(($H$156)+1)+(IF(G236&lt;101,G236,IF(G236&lt;201,G236/2,IF(G236&lt;=301,G236/3,G236/4))))</f>
        <v>599.70280500000001</v>
      </c>
    </row>
    <row r="237" spans="1:9" x14ac:dyDescent="0.2">
      <c r="A237" s="78">
        <f t="shared" ref="A237:A241" si="60">A236+1</f>
        <v>3</v>
      </c>
      <c r="B237" s="79"/>
      <c r="C237" s="16" t="s">
        <v>56</v>
      </c>
      <c r="D237" s="17">
        <f>(2.9*4.5+2.15*3.35+2.9*3.35+1.25*2+2*1.25)*10.764</f>
        <v>376.39017000000001</v>
      </c>
      <c r="E237" s="17">
        <f t="shared" si="57"/>
        <v>23.411699999999996</v>
      </c>
      <c r="F237" s="17">
        <f t="shared" si="58"/>
        <v>399.80187000000001</v>
      </c>
      <c r="G237" s="17">
        <v>0</v>
      </c>
      <c r="H237" s="17">
        <f t="shared" si="59"/>
        <v>599.70280500000001</v>
      </c>
    </row>
    <row r="238" spans="1:9" x14ac:dyDescent="0.2">
      <c r="A238" s="78">
        <f t="shared" si="60"/>
        <v>4</v>
      </c>
      <c r="B238" s="79"/>
      <c r="C238" s="16" t="s">
        <v>263</v>
      </c>
      <c r="D238" s="17">
        <f>(2.9*4.45+2.3*3.35+3.05*3.35+2.55*2.9+2.15*1.25+1.1*2.15+0.82*2.32+0.7*1+1*2.7)*10.764</f>
        <v>522.88713359999997</v>
      </c>
      <c r="E238" s="17">
        <f>(0.75*2.9)*10.764</f>
        <v>23.411699999999996</v>
      </c>
      <c r="F238" s="17">
        <f t="shared" si="58"/>
        <v>546.29883359999997</v>
      </c>
      <c r="G238" s="17">
        <v>0</v>
      </c>
      <c r="H238" s="17">
        <f t="shared" si="59"/>
        <v>819.44825040000001</v>
      </c>
    </row>
    <row r="239" spans="1:9" x14ac:dyDescent="0.2">
      <c r="A239" s="78">
        <f t="shared" si="60"/>
        <v>5</v>
      </c>
      <c r="B239" s="79"/>
      <c r="C239" s="16" t="s">
        <v>263</v>
      </c>
      <c r="D239" s="17">
        <f>(2.9*4.45+2.3*3.35+3.05*3.35+3.35*2.9+2.15*1.25+1.1*2.15+0.82*2.32+0.7*1+1*2.7)*10.764</f>
        <v>547.8596136000001</v>
      </c>
      <c r="E239" s="17">
        <f>(0.75*2.9+0.6*2.3+0.6*3.05)*10.764</f>
        <v>57.964139999999993</v>
      </c>
      <c r="F239" s="17">
        <f t="shared" si="58"/>
        <v>605.82375360000015</v>
      </c>
      <c r="G239" s="17">
        <v>0</v>
      </c>
      <c r="H239" s="17">
        <f t="shared" si="59"/>
        <v>908.73563040000022</v>
      </c>
    </row>
    <row r="240" spans="1:9" x14ac:dyDescent="0.2">
      <c r="A240" s="78">
        <f t="shared" si="60"/>
        <v>6</v>
      </c>
      <c r="B240" s="79"/>
      <c r="C240" s="16" t="s">
        <v>56</v>
      </c>
      <c r="D240" s="17">
        <f t="shared" ref="D240" si="61">(2.9*4.5+2.15*3.35+2.9*3.35+1.25*2+2*1.25)*10.764</f>
        <v>376.39017000000001</v>
      </c>
      <c r="E240" s="17">
        <f t="shared" ref="E240" si="62">(0.75*2.9+0.6*2.15+0.6*2.9)*10.764</f>
        <v>56.026619999999994</v>
      </c>
      <c r="F240" s="17">
        <f t="shared" si="58"/>
        <v>432.41678999999999</v>
      </c>
      <c r="G240" s="17">
        <v>0</v>
      </c>
      <c r="H240" s="17">
        <f t="shared" si="59"/>
        <v>648.62518499999999</v>
      </c>
    </row>
    <row r="241" spans="1:9" x14ac:dyDescent="0.2">
      <c r="A241" s="78">
        <f t="shared" si="60"/>
        <v>7</v>
      </c>
      <c r="B241" s="79"/>
      <c r="C241" s="16" t="s">
        <v>278</v>
      </c>
      <c r="D241" s="17">
        <f>(2.97*4.5+2.3*3.57+2.82*3.65+2.9*3.05+2.9*3.35+1.25*2.45+1.25*2+2*1.25+0.75*3.15+1*2.5)*10.764</f>
        <v>681.94245599999999</v>
      </c>
      <c r="E241" s="17">
        <f>(0.75*(2.97+2.3+2.9+2.82)+0.6*2.9)*10.764</f>
        <v>107.45162999999999</v>
      </c>
      <c r="F241" s="17">
        <f t="shared" si="58"/>
        <v>789.39408600000002</v>
      </c>
      <c r="G241" s="17">
        <v>0</v>
      </c>
      <c r="H241" s="17">
        <f t="shared" si="59"/>
        <v>1184.0911289999999</v>
      </c>
    </row>
    <row r="242" spans="1:9" x14ac:dyDescent="0.2">
      <c r="A242" s="80" t="s">
        <v>266</v>
      </c>
      <c r="B242" s="80"/>
      <c r="C242" s="80"/>
      <c r="D242" s="80"/>
      <c r="E242" s="80"/>
      <c r="F242" s="80"/>
      <c r="G242" s="80"/>
      <c r="H242" s="80"/>
      <c r="I242" s="6">
        <v>15</v>
      </c>
    </row>
    <row r="243" spans="1:9" x14ac:dyDescent="0.2">
      <c r="A243" s="78">
        <v>1</v>
      </c>
      <c r="B243" s="79"/>
      <c r="C243" s="16" t="s">
        <v>56</v>
      </c>
      <c r="D243" s="17">
        <f>(2.9*4.45+2.15*3.35+2.9*3.35+1.25*2+2*1.25)*10.764</f>
        <v>374.82938999999993</v>
      </c>
      <c r="E243" s="17">
        <f>(0.75*2.9+0.6*2.15+0.6*2.9)*10.764</f>
        <v>56.026619999999994</v>
      </c>
      <c r="F243" s="17">
        <f>D243+E243</f>
        <v>430.85600999999991</v>
      </c>
      <c r="G243" s="17">
        <v>0</v>
      </c>
      <c r="H243" s="17">
        <f>F243*(($H$156)+1)+(IF(G243&lt;101,G243,IF(G243&lt;201,G243/2,IF(G243&lt;=301,G243/3,G243/4))))</f>
        <v>646.28401499999984</v>
      </c>
    </row>
    <row r="244" spans="1:9" x14ac:dyDescent="0.2">
      <c r="A244" s="78">
        <f>A243+1</f>
        <v>2</v>
      </c>
      <c r="B244" s="79"/>
      <c r="C244" s="16" t="s">
        <v>56</v>
      </c>
      <c r="D244" s="17">
        <f>(2.9*4.5+2.15*3.35+2.9*3.35+1.25*2+2*1.25)*10.764</f>
        <v>376.39017000000001</v>
      </c>
      <c r="E244" s="17">
        <f t="shared" ref="E244:E245" si="63">(0.75*2.9+0.6*2.15+0.6*2.9)*10.764</f>
        <v>56.026619999999994</v>
      </c>
      <c r="F244" s="17">
        <f t="shared" ref="F244:F249" si="64">D244+E244</f>
        <v>432.41678999999999</v>
      </c>
      <c r="G244" s="17">
        <v>0</v>
      </c>
      <c r="H244" s="17">
        <f t="shared" ref="H244:H249" si="65">F244*(($H$156)+1)+(IF(G244&lt;101,G244,IF(G244&lt;201,G244/2,IF(G244&lt;=301,G244/3,G244/4))))</f>
        <v>648.62518499999999</v>
      </c>
    </row>
    <row r="245" spans="1:9" x14ac:dyDescent="0.2">
      <c r="A245" s="78">
        <f t="shared" ref="A245:A249" si="66">A244+1</f>
        <v>3</v>
      </c>
      <c r="B245" s="79"/>
      <c r="C245" s="16" t="s">
        <v>56</v>
      </c>
      <c r="D245" s="17">
        <f>(2.9*4.5+2.15*3.35+2.9*3.35+1.25*2+2*1.25)*10.764</f>
        <v>376.39017000000001</v>
      </c>
      <c r="E245" s="17">
        <f t="shared" si="63"/>
        <v>56.026619999999994</v>
      </c>
      <c r="F245" s="17">
        <f t="shared" si="64"/>
        <v>432.41678999999999</v>
      </c>
      <c r="G245" s="17">
        <v>0</v>
      </c>
      <c r="H245" s="17">
        <f t="shared" si="65"/>
        <v>648.62518499999999</v>
      </c>
    </row>
    <row r="246" spans="1:9" x14ac:dyDescent="0.2">
      <c r="A246" s="78">
        <f t="shared" si="66"/>
        <v>4</v>
      </c>
      <c r="B246" s="79"/>
      <c r="C246" s="16" t="s">
        <v>263</v>
      </c>
      <c r="D246" s="17">
        <f>(2.9*4.45+2.3*3.35+3.05*3.35+2.55*2.9+2.15*1.25+1.1*2.15+0.82*2.32+0.7*1+1*2.7)*10.764</f>
        <v>522.88713359999997</v>
      </c>
      <c r="E246" s="17">
        <f>(0.75*2.9+0.6*2.3+0.6*3.05)*10.764</f>
        <v>57.964139999999993</v>
      </c>
      <c r="F246" s="17">
        <f t="shared" si="64"/>
        <v>580.85127360000001</v>
      </c>
      <c r="G246" s="17">
        <v>0</v>
      </c>
      <c r="H246" s="17">
        <f t="shared" si="65"/>
        <v>871.27691040000002</v>
      </c>
    </row>
    <row r="247" spans="1:9" x14ac:dyDescent="0.2">
      <c r="A247" s="78">
        <f t="shared" si="66"/>
        <v>5</v>
      </c>
      <c r="B247" s="79"/>
      <c r="C247" s="16" t="s">
        <v>263</v>
      </c>
      <c r="D247" s="17">
        <f>(2.9*4.45+2.3*3.35+3.05*3.35+3.35*2.9+2.15*1.25+1.1*2.15+0.82*2.32+0.7*1+1*2.7)*10.764</f>
        <v>547.8596136000001</v>
      </c>
      <c r="E247" s="17">
        <f>(0.75*2.9+0.6*2.3+0.6*3.05)*10.764</f>
        <v>57.964139999999993</v>
      </c>
      <c r="F247" s="17">
        <f t="shared" si="64"/>
        <v>605.82375360000015</v>
      </c>
      <c r="G247" s="17">
        <v>0</v>
      </c>
      <c r="H247" s="17">
        <f t="shared" si="65"/>
        <v>908.73563040000022</v>
      </c>
    </row>
    <row r="248" spans="1:9" x14ac:dyDescent="0.2">
      <c r="A248" s="78">
        <f t="shared" si="66"/>
        <v>6</v>
      </c>
      <c r="B248" s="79"/>
      <c r="C248" s="16" t="s">
        <v>56</v>
      </c>
      <c r="D248" s="17">
        <f t="shared" ref="D248" si="67">(2.9*4.5+2.15*3.35+2.9*3.35+1.25*2+2*1.25)*10.764</f>
        <v>376.39017000000001</v>
      </c>
      <c r="E248" s="17">
        <f t="shared" ref="E248" si="68">(0.75*2.9+0.6*2.15+0.6*2.9)*10.764</f>
        <v>56.026619999999994</v>
      </c>
      <c r="F248" s="17">
        <f t="shared" si="64"/>
        <v>432.41678999999999</v>
      </c>
      <c r="G248" s="17">
        <v>0</v>
      </c>
      <c r="H248" s="17">
        <f t="shared" si="65"/>
        <v>648.62518499999999</v>
      </c>
    </row>
    <row r="249" spans="1:9" x14ac:dyDescent="0.2">
      <c r="A249" s="78">
        <f t="shared" si="66"/>
        <v>7</v>
      </c>
      <c r="B249" s="79"/>
      <c r="C249" s="16" t="s">
        <v>278</v>
      </c>
      <c r="D249" s="17">
        <f>(2.97*4.5+2.3*3.57+2.82*3.65+2.9*3.05+2.9*3.35+1.25*2.45+1.25*2+2*1.25+0.75*3.15+1*2.5)*10.764</f>
        <v>681.94245599999999</v>
      </c>
      <c r="E249" s="17">
        <f>(0.75*(2.97+2.3+2.9+2.82)+0.6*2.9)*10.764</f>
        <v>107.45162999999999</v>
      </c>
      <c r="F249" s="17">
        <f t="shared" si="64"/>
        <v>789.39408600000002</v>
      </c>
      <c r="G249" s="17">
        <v>0</v>
      </c>
      <c r="H249" s="17">
        <f t="shared" si="65"/>
        <v>1184.0911289999999</v>
      </c>
    </row>
    <row r="250" spans="1:9" x14ac:dyDescent="0.2">
      <c r="A250" s="80" t="s">
        <v>267</v>
      </c>
      <c r="B250" s="80"/>
      <c r="C250" s="80"/>
      <c r="D250" s="80"/>
      <c r="E250" s="80"/>
      <c r="F250" s="80"/>
      <c r="G250" s="80"/>
      <c r="H250" s="80"/>
      <c r="I250" s="6">
        <v>3</v>
      </c>
    </row>
    <row r="251" spans="1:9" x14ac:dyDescent="0.2">
      <c r="A251" s="78">
        <v>1</v>
      </c>
      <c r="B251" s="79"/>
      <c r="C251" s="16" t="s">
        <v>56</v>
      </c>
      <c r="D251" s="17">
        <f>(2.9*4.45+2.15*3.35+2.9*3.27+1.25*2+2*1.25)*10.764</f>
        <v>372.33214199999998</v>
      </c>
      <c r="E251" s="17">
        <f>(0.75*2.9+0.6*2.15+0.6*2.9)*10.764</f>
        <v>56.026619999999994</v>
      </c>
      <c r="F251" s="17">
        <f>D251+E251</f>
        <v>428.35876199999996</v>
      </c>
      <c r="G251" s="17">
        <v>0</v>
      </c>
      <c r="H251" s="17">
        <f>F251*(($H$156)+1)+(IF(G251&lt;101,G251,IF(G251&lt;201,G251/2,IF(G251&lt;=301,G251/3,G251/4))))</f>
        <v>642.53814299999999</v>
      </c>
    </row>
    <row r="252" spans="1:9" x14ac:dyDescent="0.2">
      <c r="A252" s="78">
        <f>A251+1</f>
        <v>2</v>
      </c>
      <c r="B252" s="79"/>
      <c r="C252" s="16" t="s">
        <v>56</v>
      </c>
      <c r="D252" s="17">
        <f>(2.9*4.5+2.15*3.35+2.9*3.35+1.25*2+2*1.25)*10.764</f>
        <v>376.39017000000001</v>
      </c>
      <c r="E252" s="17">
        <f t="shared" ref="E252:E253" si="69">(0.75*2.9+0.6*2.15+0.6*2.9)*10.764</f>
        <v>56.026619999999994</v>
      </c>
      <c r="F252" s="17">
        <f t="shared" ref="F252:F257" si="70">D252+E252</f>
        <v>432.41678999999999</v>
      </c>
      <c r="G252" s="17">
        <v>0</v>
      </c>
      <c r="H252" s="17">
        <f>F252*(($H$156)+1)+(IF(G252&lt;101,G252,IF(G252&lt;201,G252/2,IF(G252&lt;=301,G252/3,G252/4))))</f>
        <v>648.62518499999999</v>
      </c>
    </row>
    <row r="253" spans="1:9" x14ac:dyDescent="0.2">
      <c r="A253" s="78">
        <f t="shared" ref="A253:A257" si="71">A252+1</f>
        <v>3</v>
      </c>
      <c r="B253" s="79"/>
      <c r="C253" s="16" t="s">
        <v>56</v>
      </c>
      <c r="D253" s="17">
        <f>(2.9*4.5+2.15*3.35+2.9*3.35+1.25*2+2*1.25)*10.764</f>
        <v>376.39017000000001</v>
      </c>
      <c r="E253" s="17">
        <f t="shared" si="69"/>
        <v>56.026619999999994</v>
      </c>
      <c r="F253" s="17">
        <f t="shared" si="70"/>
        <v>432.41678999999999</v>
      </c>
      <c r="G253" s="17">
        <v>0</v>
      </c>
      <c r="H253" s="17">
        <f>F253*(($H$156)+1)+(IF(G253&lt;101,G253,IF(G253&lt;201,G253/2,IF(G253&lt;=301,G253/3,G253/4))))</f>
        <v>648.62518499999999</v>
      </c>
    </row>
    <row r="254" spans="1:9" x14ac:dyDescent="0.2">
      <c r="A254" s="78">
        <f t="shared" si="71"/>
        <v>4</v>
      </c>
      <c r="B254" s="79"/>
      <c r="C254" s="16" t="s">
        <v>263</v>
      </c>
      <c r="D254" s="17">
        <f>(2.9*4.45+2.3*3.35+3.05*3.35+2.55*2.9+2.15*1.25+1.1*2.15+0.82*2.32+0.7*1+1*2.7)*10.764</f>
        <v>522.88713359999997</v>
      </c>
      <c r="E254" s="17">
        <f>(0.75*2.9+0.6*2.3+0.6*3.05)*10.764</f>
        <v>57.964139999999993</v>
      </c>
      <c r="F254" s="17">
        <f t="shared" si="70"/>
        <v>580.85127360000001</v>
      </c>
      <c r="G254" s="17">
        <v>0</v>
      </c>
      <c r="H254" s="17">
        <f>F254*(($H$156)+1)+(IF(G254&lt;101,G254,IF(G254&lt;201,G254/2,IF(G254&lt;=301,G254/3,G254/4))))</f>
        <v>871.27691040000002</v>
      </c>
    </row>
    <row r="255" spans="1:9" x14ac:dyDescent="0.2">
      <c r="A255" s="78">
        <f t="shared" si="71"/>
        <v>5</v>
      </c>
      <c r="B255" s="79"/>
      <c r="C255" s="16" t="s">
        <v>263</v>
      </c>
      <c r="D255" s="17">
        <f>(2.9*4.45+2.3*3.35+3.05*3.35+3.35*2.9+2.15*1.25+1.1*2.15+0.82*2.32+0.7*1+1*2.7)*10.764</f>
        <v>547.8596136000001</v>
      </c>
      <c r="E255" s="17">
        <f>(0.75*2.9+0.6*2.3+0.6*3.05)*10.764</f>
        <v>57.964139999999993</v>
      </c>
      <c r="F255" s="17">
        <f t="shared" si="70"/>
        <v>605.82375360000015</v>
      </c>
      <c r="G255" s="17">
        <v>0</v>
      </c>
      <c r="H255" s="17">
        <f>F255*(($H$156)+1)+(IF(G255&lt;101,G255,IF(G255&lt;201,G255/2,IF(G255&lt;=301,G255/3,G255/4))))</f>
        <v>908.73563040000022</v>
      </c>
    </row>
    <row r="256" spans="1:9" x14ac:dyDescent="0.2">
      <c r="A256" s="78">
        <f t="shared" si="71"/>
        <v>6</v>
      </c>
      <c r="B256" s="79"/>
      <c r="C256" s="78" t="s">
        <v>268</v>
      </c>
      <c r="D256" s="81"/>
      <c r="E256" s="81"/>
      <c r="F256" s="81"/>
      <c r="G256" s="81"/>
      <c r="H256" s="79"/>
    </row>
    <row r="257" spans="1:8" x14ac:dyDescent="0.2">
      <c r="A257" s="78">
        <f t="shared" si="71"/>
        <v>7</v>
      </c>
      <c r="B257" s="79"/>
      <c r="C257" s="16" t="s">
        <v>278</v>
      </c>
      <c r="D257" s="17">
        <f>(2.97*4.5+2.3*3.57+2.82*3.65+2.9*3.05+2.9*3.35+1.25*2.45+1.25*2+2*1.25+0.75*3.15+1*2.5)*10.764</f>
        <v>681.94245599999999</v>
      </c>
      <c r="E257" s="17">
        <f>(0.75*(2.97+2.3+2.9+2.82)+0.6*2.9)*10.764</f>
        <v>107.45162999999999</v>
      </c>
      <c r="F257" s="17">
        <f t="shared" si="70"/>
        <v>789.39408600000002</v>
      </c>
      <c r="G257" s="17">
        <v>0</v>
      </c>
      <c r="H257" s="17">
        <f>F257*(($H$156)+1)+(IF(G257&lt;101,G257,IF(G257&lt;201,G257/2,IF(G257&lt;=301,G257/3,G257/4))))</f>
        <v>1184.0911289999999</v>
      </c>
    </row>
    <row r="258" spans="1:8" hidden="1" x14ac:dyDescent="0.2">
      <c r="A258" s="80" t="s">
        <v>213</v>
      </c>
      <c r="B258" s="80"/>
      <c r="C258" s="80"/>
      <c r="D258" s="80"/>
      <c r="E258" s="80"/>
      <c r="F258" s="80"/>
      <c r="G258" s="80"/>
      <c r="H258" s="80"/>
    </row>
    <row r="259" spans="1:8" hidden="1" x14ac:dyDescent="0.2">
      <c r="A259" s="78">
        <v>1</v>
      </c>
      <c r="B259" s="79"/>
      <c r="C259" s="16" t="s">
        <v>56</v>
      </c>
      <c r="D259" s="16"/>
      <c r="E259" s="16"/>
      <c r="F259" s="17">
        <f>D259+E259</f>
        <v>0</v>
      </c>
      <c r="G259" s="17"/>
      <c r="H259" s="16">
        <f>F259*(($H$156)+1)+(IF(G259&lt;101,G259,IF(G259&lt;201,G259/2,IF(G259&lt;=301,G259/3,G259/4))))</f>
        <v>0</v>
      </c>
    </row>
    <row r="260" spans="1:8" hidden="1" x14ac:dyDescent="0.2">
      <c r="A260" s="78">
        <f>A259+1</f>
        <v>2</v>
      </c>
      <c r="B260" s="79"/>
      <c r="C260" s="16" t="s">
        <v>56</v>
      </c>
      <c r="D260" s="16"/>
      <c r="E260" s="16"/>
      <c r="F260" s="17">
        <f t="shared" ref="F260:F266" si="72">D260+E260</f>
        <v>0</v>
      </c>
      <c r="G260" s="17"/>
      <c r="H260" s="16">
        <f t="shared" ref="H260:H266" si="73">F260*(($H$156)+1)+(IF(G260&lt;101,G260,IF(G260&lt;201,G260/2,IF(G260&lt;=301,G260/3,G260/4))))</f>
        <v>0</v>
      </c>
    </row>
    <row r="261" spans="1:8" hidden="1" x14ac:dyDescent="0.2">
      <c r="A261" s="78">
        <f t="shared" ref="A261:A266" si="74">A260+1</f>
        <v>3</v>
      </c>
      <c r="B261" s="79"/>
      <c r="C261" s="16" t="s">
        <v>56</v>
      </c>
      <c r="D261" s="16"/>
      <c r="E261" s="16"/>
      <c r="F261" s="17">
        <f t="shared" si="72"/>
        <v>0</v>
      </c>
      <c r="G261" s="17"/>
      <c r="H261" s="16">
        <f t="shared" si="73"/>
        <v>0</v>
      </c>
    </row>
    <row r="262" spans="1:8" hidden="1" x14ac:dyDescent="0.2">
      <c r="A262" s="78">
        <f t="shared" si="74"/>
        <v>4</v>
      </c>
      <c r="B262" s="79"/>
      <c r="C262" s="16" t="s">
        <v>56</v>
      </c>
      <c r="D262" s="16"/>
      <c r="E262" s="16"/>
      <c r="F262" s="17">
        <f t="shared" si="72"/>
        <v>0</v>
      </c>
      <c r="G262" s="17"/>
      <c r="H262" s="16">
        <f t="shared" si="73"/>
        <v>0</v>
      </c>
    </row>
    <row r="263" spans="1:8" hidden="1" x14ac:dyDescent="0.2">
      <c r="A263" s="78">
        <f t="shared" si="74"/>
        <v>5</v>
      </c>
      <c r="B263" s="79"/>
      <c r="C263" s="16" t="s">
        <v>56</v>
      </c>
      <c r="D263" s="16"/>
      <c r="E263" s="16"/>
      <c r="F263" s="17">
        <f t="shared" si="72"/>
        <v>0</v>
      </c>
      <c r="G263" s="17"/>
      <c r="H263" s="16">
        <f t="shared" si="73"/>
        <v>0</v>
      </c>
    </row>
    <row r="264" spans="1:8" hidden="1" x14ac:dyDescent="0.2">
      <c r="A264" s="78">
        <f t="shared" si="74"/>
        <v>6</v>
      </c>
      <c r="B264" s="79"/>
      <c r="C264" s="16" t="s">
        <v>56</v>
      </c>
      <c r="D264" s="16"/>
      <c r="E264" s="16"/>
      <c r="F264" s="17">
        <f t="shared" si="72"/>
        <v>0</v>
      </c>
      <c r="G264" s="17"/>
      <c r="H264" s="16">
        <f t="shared" si="73"/>
        <v>0</v>
      </c>
    </row>
    <row r="265" spans="1:8" hidden="1" x14ac:dyDescent="0.2">
      <c r="A265" s="78">
        <f t="shared" si="74"/>
        <v>7</v>
      </c>
      <c r="B265" s="79"/>
      <c r="C265" s="16" t="s">
        <v>56</v>
      </c>
      <c r="D265" s="16"/>
      <c r="E265" s="16"/>
      <c r="F265" s="17">
        <f t="shared" si="72"/>
        <v>0</v>
      </c>
      <c r="G265" s="17"/>
      <c r="H265" s="16">
        <f t="shared" si="73"/>
        <v>0</v>
      </c>
    </row>
    <row r="266" spans="1:8" hidden="1" x14ac:dyDescent="0.2">
      <c r="A266" s="78">
        <f t="shared" si="74"/>
        <v>8</v>
      </c>
      <c r="B266" s="79"/>
      <c r="C266" s="16" t="s">
        <v>56</v>
      </c>
      <c r="D266" s="16"/>
      <c r="E266" s="16"/>
      <c r="F266" s="17">
        <f t="shared" si="72"/>
        <v>0</v>
      </c>
      <c r="G266" s="17"/>
      <c r="H266" s="16">
        <f t="shared" si="73"/>
        <v>0</v>
      </c>
    </row>
    <row r="267" spans="1:8" hidden="1" x14ac:dyDescent="0.2">
      <c r="A267" s="80" t="s">
        <v>213</v>
      </c>
      <c r="B267" s="80"/>
      <c r="C267" s="80"/>
      <c r="D267" s="80"/>
      <c r="E267" s="80"/>
      <c r="F267" s="80"/>
      <c r="G267" s="80"/>
      <c r="H267" s="80"/>
    </row>
    <row r="268" spans="1:8" hidden="1" x14ac:dyDescent="0.2">
      <c r="A268" s="78">
        <v>1</v>
      </c>
      <c r="B268" s="79"/>
      <c r="C268" s="16" t="s">
        <v>56</v>
      </c>
      <c r="D268" s="16"/>
      <c r="E268" s="16"/>
      <c r="F268" s="17">
        <f>D268+E268</f>
        <v>0</v>
      </c>
      <c r="G268" s="17"/>
      <c r="H268" s="16">
        <f>F268*(($H$156)+1)+(IF(G268&lt;101,G268,IF(G268&lt;201,G268/2,IF(G268&lt;=301,G268/3,G268/4))))</f>
        <v>0</v>
      </c>
    </row>
    <row r="269" spans="1:8" hidden="1" x14ac:dyDescent="0.2">
      <c r="A269" s="78">
        <f>A268+1</f>
        <v>2</v>
      </c>
      <c r="B269" s="79"/>
      <c r="C269" s="16" t="s">
        <v>56</v>
      </c>
      <c r="D269" s="16"/>
      <c r="E269" s="16"/>
      <c r="F269" s="17">
        <f t="shared" ref="F269:F279" si="75">D269+E269</f>
        <v>0</v>
      </c>
      <c r="G269" s="17"/>
      <c r="H269" s="16">
        <f t="shared" ref="H269:H279" si="76">F269*(($H$156)+1)+(IF(G269&lt;101,G269,IF(G269&lt;201,G269/2,IF(G269&lt;=301,G269/3,G269/4))))</f>
        <v>0</v>
      </c>
    </row>
    <row r="270" spans="1:8" hidden="1" x14ac:dyDescent="0.2">
      <c r="A270" s="78">
        <f t="shared" ref="A270:A279" si="77">A269+1</f>
        <v>3</v>
      </c>
      <c r="B270" s="79"/>
      <c r="C270" s="16" t="s">
        <v>56</v>
      </c>
      <c r="D270" s="16"/>
      <c r="E270" s="16"/>
      <c r="F270" s="17">
        <f t="shared" si="75"/>
        <v>0</v>
      </c>
      <c r="G270" s="17"/>
      <c r="H270" s="16">
        <f t="shared" si="76"/>
        <v>0</v>
      </c>
    </row>
    <row r="271" spans="1:8" hidden="1" x14ac:dyDescent="0.2">
      <c r="A271" s="78">
        <f t="shared" si="77"/>
        <v>4</v>
      </c>
      <c r="B271" s="79"/>
      <c r="C271" s="16" t="s">
        <v>56</v>
      </c>
      <c r="D271" s="16"/>
      <c r="E271" s="16"/>
      <c r="F271" s="17">
        <f t="shared" si="75"/>
        <v>0</v>
      </c>
      <c r="G271" s="17"/>
      <c r="H271" s="16">
        <f t="shared" si="76"/>
        <v>0</v>
      </c>
    </row>
    <row r="272" spans="1:8" hidden="1" x14ac:dyDescent="0.2">
      <c r="A272" s="78">
        <f t="shared" si="77"/>
        <v>5</v>
      </c>
      <c r="B272" s="79"/>
      <c r="C272" s="16" t="s">
        <v>56</v>
      </c>
      <c r="D272" s="16"/>
      <c r="E272" s="16"/>
      <c r="F272" s="17">
        <f t="shared" si="75"/>
        <v>0</v>
      </c>
      <c r="G272" s="17"/>
      <c r="H272" s="16">
        <f t="shared" si="76"/>
        <v>0</v>
      </c>
    </row>
    <row r="273" spans="1:8" hidden="1" x14ac:dyDescent="0.2">
      <c r="A273" s="78">
        <f t="shared" si="77"/>
        <v>6</v>
      </c>
      <c r="B273" s="79"/>
      <c r="C273" s="16" t="s">
        <v>56</v>
      </c>
      <c r="D273" s="16"/>
      <c r="E273" s="16"/>
      <c r="F273" s="17">
        <f t="shared" si="75"/>
        <v>0</v>
      </c>
      <c r="G273" s="17"/>
      <c r="H273" s="16">
        <f t="shared" si="76"/>
        <v>0</v>
      </c>
    </row>
    <row r="274" spans="1:8" hidden="1" x14ac:dyDescent="0.2">
      <c r="A274" s="78">
        <f t="shared" si="77"/>
        <v>7</v>
      </c>
      <c r="B274" s="79"/>
      <c r="C274" s="16" t="s">
        <v>56</v>
      </c>
      <c r="D274" s="16"/>
      <c r="E274" s="16"/>
      <c r="F274" s="17">
        <f t="shared" si="75"/>
        <v>0</v>
      </c>
      <c r="G274" s="17"/>
      <c r="H274" s="16">
        <f t="shared" si="76"/>
        <v>0</v>
      </c>
    </row>
    <row r="275" spans="1:8" hidden="1" x14ac:dyDescent="0.2">
      <c r="A275" s="78">
        <f t="shared" si="77"/>
        <v>8</v>
      </c>
      <c r="B275" s="79"/>
      <c r="C275" s="16" t="s">
        <v>56</v>
      </c>
      <c r="D275" s="16"/>
      <c r="E275" s="16"/>
      <c r="F275" s="17">
        <f t="shared" si="75"/>
        <v>0</v>
      </c>
      <c r="G275" s="17"/>
      <c r="H275" s="16">
        <f t="shared" si="76"/>
        <v>0</v>
      </c>
    </row>
    <row r="276" spans="1:8" hidden="1" x14ac:dyDescent="0.2">
      <c r="A276" s="78">
        <f t="shared" si="77"/>
        <v>9</v>
      </c>
      <c r="B276" s="79"/>
      <c r="C276" s="16" t="s">
        <v>56</v>
      </c>
      <c r="D276" s="16"/>
      <c r="E276" s="16"/>
      <c r="F276" s="17">
        <f t="shared" si="75"/>
        <v>0</v>
      </c>
      <c r="G276" s="17"/>
      <c r="H276" s="16">
        <f t="shared" si="76"/>
        <v>0</v>
      </c>
    </row>
    <row r="277" spans="1:8" hidden="1" x14ac:dyDescent="0.2">
      <c r="A277" s="78">
        <f t="shared" si="77"/>
        <v>10</v>
      </c>
      <c r="B277" s="79"/>
      <c r="C277" s="16" t="s">
        <v>56</v>
      </c>
      <c r="D277" s="16"/>
      <c r="E277" s="16"/>
      <c r="F277" s="17">
        <f t="shared" si="75"/>
        <v>0</v>
      </c>
      <c r="G277" s="17"/>
      <c r="H277" s="16">
        <f t="shared" si="76"/>
        <v>0</v>
      </c>
    </row>
    <row r="278" spans="1:8" hidden="1" x14ac:dyDescent="0.2">
      <c r="A278" s="78">
        <f t="shared" si="77"/>
        <v>11</v>
      </c>
      <c r="B278" s="79"/>
      <c r="C278" s="16" t="s">
        <v>56</v>
      </c>
      <c r="D278" s="16"/>
      <c r="E278" s="16"/>
      <c r="F278" s="17">
        <f t="shared" si="75"/>
        <v>0</v>
      </c>
      <c r="G278" s="17"/>
      <c r="H278" s="16">
        <f t="shared" si="76"/>
        <v>0</v>
      </c>
    </row>
    <row r="279" spans="1:8" hidden="1" x14ac:dyDescent="0.2">
      <c r="A279" s="78">
        <f t="shared" si="77"/>
        <v>12</v>
      </c>
      <c r="B279" s="79"/>
      <c r="C279" s="16" t="s">
        <v>56</v>
      </c>
      <c r="D279" s="16"/>
      <c r="E279" s="16"/>
      <c r="F279" s="17">
        <f t="shared" si="75"/>
        <v>0</v>
      </c>
      <c r="G279" s="17"/>
      <c r="H279" s="16">
        <f t="shared" si="76"/>
        <v>0</v>
      </c>
    </row>
    <row r="280" spans="1:8" hidden="1" x14ac:dyDescent="0.2">
      <c r="A280" s="80" t="s">
        <v>126</v>
      </c>
      <c r="B280" s="80"/>
      <c r="C280" s="80"/>
      <c r="D280" s="80"/>
      <c r="E280" s="80"/>
      <c r="F280" s="80"/>
      <c r="G280" s="80"/>
      <c r="H280" s="80"/>
    </row>
    <row r="281" spans="1:8" hidden="1" x14ac:dyDescent="0.2">
      <c r="A281" s="78">
        <v>1</v>
      </c>
      <c r="B281" s="79"/>
      <c r="C281" s="16" t="s">
        <v>56</v>
      </c>
      <c r="D281" s="16"/>
      <c r="E281" s="16"/>
      <c r="F281" s="17">
        <f>D281+E281</f>
        <v>0</v>
      </c>
      <c r="G281" s="17"/>
      <c r="H281" s="16">
        <f>F281*(($H$156)+1)+(IF(G281&lt;101,G281,IF(G281&lt;201,G281/2,IF(G281&lt;=301,G281/3,G281/4))))</f>
        <v>0</v>
      </c>
    </row>
    <row r="282" spans="1:8" hidden="1" x14ac:dyDescent="0.2">
      <c r="A282" s="78">
        <f>A281+1</f>
        <v>2</v>
      </c>
      <c r="B282" s="79"/>
      <c r="C282" s="16" t="s">
        <v>56</v>
      </c>
      <c r="D282" s="16"/>
      <c r="E282" s="16"/>
      <c r="F282" s="17">
        <f t="shared" ref="F282:F292" si="78">D282+E282</f>
        <v>0</v>
      </c>
      <c r="G282" s="17"/>
      <c r="H282" s="16">
        <f t="shared" ref="H282:H292" si="79">F282*(($H$156)+1)+(IF(G282&lt;101,G282,IF(G282&lt;201,G282/2,IF(G282&lt;=301,G282/3,G282/4))))</f>
        <v>0</v>
      </c>
    </row>
    <row r="283" spans="1:8" hidden="1" x14ac:dyDescent="0.2">
      <c r="A283" s="78">
        <f t="shared" ref="A283:A292" si="80">A282+1</f>
        <v>3</v>
      </c>
      <c r="B283" s="79"/>
      <c r="C283" s="16" t="s">
        <v>56</v>
      </c>
      <c r="D283" s="16"/>
      <c r="E283" s="16"/>
      <c r="F283" s="17">
        <f t="shared" si="78"/>
        <v>0</v>
      </c>
      <c r="G283" s="17"/>
      <c r="H283" s="16">
        <f t="shared" si="79"/>
        <v>0</v>
      </c>
    </row>
    <row r="284" spans="1:8" hidden="1" x14ac:dyDescent="0.2">
      <c r="A284" s="78">
        <f t="shared" si="80"/>
        <v>4</v>
      </c>
      <c r="B284" s="79"/>
      <c r="C284" s="16" t="s">
        <v>56</v>
      </c>
      <c r="D284" s="16"/>
      <c r="E284" s="16"/>
      <c r="F284" s="17">
        <f t="shared" si="78"/>
        <v>0</v>
      </c>
      <c r="G284" s="17"/>
      <c r="H284" s="16">
        <f t="shared" si="79"/>
        <v>0</v>
      </c>
    </row>
    <row r="285" spans="1:8" hidden="1" x14ac:dyDescent="0.2">
      <c r="A285" s="78">
        <f t="shared" si="80"/>
        <v>5</v>
      </c>
      <c r="B285" s="79"/>
      <c r="C285" s="16" t="s">
        <v>56</v>
      </c>
      <c r="D285" s="16"/>
      <c r="E285" s="16"/>
      <c r="F285" s="17">
        <f t="shared" si="78"/>
        <v>0</v>
      </c>
      <c r="G285" s="17"/>
      <c r="H285" s="16">
        <f t="shared" si="79"/>
        <v>0</v>
      </c>
    </row>
    <row r="286" spans="1:8" hidden="1" x14ac:dyDescent="0.2">
      <c r="A286" s="78">
        <f t="shared" si="80"/>
        <v>6</v>
      </c>
      <c r="B286" s="79"/>
      <c r="C286" s="16" t="s">
        <v>56</v>
      </c>
      <c r="D286" s="16"/>
      <c r="E286" s="16"/>
      <c r="F286" s="17">
        <f t="shared" si="78"/>
        <v>0</v>
      </c>
      <c r="G286" s="17"/>
      <c r="H286" s="16">
        <f t="shared" si="79"/>
        <v>0</v>
      </c>
    </row>
    <row r="287" spans="1:8" hidden="1" x14ac:dyDescent="0.2">
      <c r="A287" s="78">
        <f t="shared" si="80"/>
        <v>7</v>
      </c>
      <c r="B287" s="79"/>
      <c r="C287" s="16" t="s">
        <v>56</v>
      </c>
      <c r="D287" s="16"/>
      <c r="E287" s="16"/>
      <c r="F287" s="17">
        <f t="shared" si="78"/>
        <v>0</v>
      </c>
      <c r="G287" s="17"/>
      <c r="H287" s="16">
        <f t="shared" si="79"/>
        <v>0</v>
      </c>
    </row>
    <row r="288" spans="1:8" hidden="1" x14ac:dyDescent="0.2">
      <c r="A288" s="78">
        <f t="shared" si="80"/>
        <v>8</v>
      </c>
      <c r="B288" s="79"/>
      <c r="C288" s="16" t="s">
        <v>56</v>
      </c>
      <c r="D288" s="16"/>
      <c r="E288" s="16"/>
      <c r="F288" s="17">
        <f t="shared" si="78"/>
        <v>0</v>
      </c>
      <c r="G288" s="17"/>
      <c r="H288" s="16">
        <f t="shared" si="79"/>
        <v>0</v>
      </c>
    </row>
    <row r="289" spans="1:8" hidden="1" x14ac:dyDescent="0.2">
      <c r="A289" s="78">
        <f t="shared" si="80"/>
        <v>9</v>
      </c>
      <c r="B289" s="79"/>
      <c r="C289" s="16" t="s">
        <v>56</v>
      </c>
      <c r="D289" s="16"/>
      <c r="E289" s="16"/>
      <c r="F289" s="17">
        <f t="shared" si="78"/>
        <v>0</v>
      </c>
      <c r="G289" s="17"/>
      <c r="H289" s="16">
        <f t="shared" si="79"/>
        <v>0</v>
      </c>
    </row>
    <row r="290" spans="1:8" hidden="1" x14ac:dyDescent="0.2">
      <c r="A290" s="78">
        <f t="shared" si="80"/>
        <v>10</v>
      </c>
      <c r="B290" s="79"/>
      <c r="C290" s="16" t="s">
        <v>56</v>
      </c>
      <c r="D290" s="16"/>
      <c r="E290" s="16"/>
      <c r="F290" s="17">
        <f t="shared" si="78"/>
        <v>0</v>
      </c>
      <c r="G290" s="17"/>
      <c r="H290" s="16">
        <f t="shared" si="79"/>
        <v>0</v>
      </c>
    </row>
    <row r="291" spans="1:8" hidden="1" x14ac:dyDescent="0.2">
      <c r="A291" s="78">
        <f t="shared" si="80"/>
        <v>11</v>
      </c>
      <c r="B291" s="79"/>
      <c r="C291" s="16" t="s">
        <v>56</v>
      </c>
      <c r="D291" s="16"/>
      <c r="E291" s="16"/>
      <c r="F291" s="17">
        <f t="shared" si="78"/>
        <v>0</v>
      </c>
      <c r="G291" s="17"/>
      <c r="H291" s="16">
        <f t="shared" si="79"/>
        <v>0</v>
      </c>
    </row>
    <row r="292" spans="1:8" hidden="1" x14ac:dyDescent="0.2">
      <c r="A292" s="78">
        <f t="shared" si="80"/>
        <v>12</v>
      </c>
      <c r="B292" s="79"/>
      <c r="C292" s="16" t="s">
        <v>56</v>
      </c>
      <c r="D292" s="16"/>
      <c r="E292" s="16"/>
      <c r="F292" s="17">
        <f t="shared" si="78"/>
        <v>0</v>
      </c>
      <c r="G292" s="17"/>
      <c r="H292" s="16">
        <f t="shared" si="79"/>
        <v>0</v>
      </c>
    </row>
    <row r="293" spans="1:8" hidden="1" x14ac:dyDescent="0.2">
      <c r="A293" s="80" t="s">
        <v>127</v>
      </c>
      <c r="B293" s="80"/>
      <c r="C293" s="80"/>
      <c r="D293" s="80"/>
      <c r="E293" s="80"/>
      <c r="F293" s="80"/>
      <c r="G293" s="80"/>
      <c r="H293" s="80"/>
    </row>
    <row r="294" spans="1:8" hidden="1" x14ac:dyDescent="0.2">
      <c r="A294" s="78">
        <v>1</v>
      </c>
      <c r="B294" s="79"/>
      <c r="C294" s="16" t="s">
        <v>56</v>
      </c>
      <c r="D294" s="16"/>
      <c r="E294" s="16"/>
      <c r="F294" s="17">
        <f>D294+E294</f>
        <v>0</v>
      </c>
      <c r="G294" s="17"/>
      <c r="H294" s="16">
        <f>F294*(($H$156)+1)+(IF(G294&lt;101,G294,IF(G294&lt;201,G294/2,IF(G294&lt;=301,G294/3,G294/4))))</f>
        <v>0</v>
      </c>
    </row>
    <row r="295" spans="1:8" hidden="1" x14ac:dyDescent="0.2">
      <c r="A295" s="78">
        <f>A294+1</f>
        <v>2</v>
      </c>
      <c r="B295" s="79"/>
      <c r="C295" s="16" t="s">
        <v>56</v>
      </c>
      <c r="D295" s="16"/>
      <c r="E295" s="16"/>
      <c r="F295" s="17">
        <f t="shared" ref="F295:F305" si="81">D295+E295</f>
        <v>0</v>
      </c>
      <c r="G295" s="17"/>
      <c r="H295" s="16">
        <f t="shared" ref="H295:H305" si="82">F295*(($H$156)+1)+(IF(G295&lt;101,G295,IF(G295&lt;201,G295/2,IF(G295&lt;=301,G295/3,G295/4))))</f>
        <v>0</v>
      </c>
    </row>
    <row r="296" spans="1:8" hidden="1" x14ac:dyDescent="0.2">
      <c r="A296" s="78">
        <f t="shared" ref="A296:A305" si="83">A295+1</f>
        <v>3</v>
      </c>
      <c r="B296" s="79"/>
      <c r="C296" s="16" t="s">
        <v>56</v>
      </c>
      <c r="D296" s="16"/>
      <c r="E296" s="16"/>
      <c r="F296" s="17">
        <f t="shared" si="81"/>
        <v>0</v>
      </c>
      <c r="G296" s="17"/>
      <c r="H296" s="16">
        <f t="shared" si="82"/>
        <v>0</v>
      </c>
    </row>
    <row r="297" spans="1:8" hidden="1" x14ac:dyDescent="0.2">
      <c r="A297" s="78">
        <f t="shared" si="83"/>
        <v>4</v>
      </c>
      <c r="B297" s="79"/>
      <c r="C297" s="16" t="s">
        <v>56</v>
      </c>
      <c r="D297" s="16"/>
      <c r="E297" s="16"/>
      <c r="F297" s="17">
        <f t="shared" si="81"/>
        <v>0</v>
      </c>
      <c r="G297" s="17"/>
      <c r="H297" s="16">
        <f t="shared" si="82"/>
        <v>0</v>
      </c>
    </row>
    <row r="298" spans="1:8" hidden="1" x14ac:dyDescent="0.2">
      <c r="A298" s="78">
        <f t="shared" si="83"/>
        <v>5</v>
      </c>
      <c r="B298" s="79"/>
      <c r="C298" s="16" t="s">
        <v>56</v>
      </c>
      <c r="D298" s="16"/>
      <c r="E298" s="16"/>
      <c r="F298" s="17">
        <f t="shared" si="81"/>
        <v>0</v>
      </c>
      <c r="G298" s="17"/>
      <c r="H298" s="16">
        <f t="shared" si="82"/>
        <v>0</v>
      </c>
    </row>
    <row r="299" spans="1:8" hidden="1" x14ac:dyDescent="0.2">
      <c r="A299" s="78">
        <f t="shared" si="83"/>
        <v>6</v>
      </c>
      <c r="B299" s="79"/>
      <c r="C299" s="16" t="s">
        <v>56</v>
      </c>
      <c r="D299" s="16"/>
      <c r="E299" s="16"/>
      <c r="F299" s="17">
        <f t="shared" si="81"/>
        <v>0</v>
      </c>
      <c r="G299" s="17"/>
      <c r="H299" s="16">
        <f t="shared" si="82"/>
        <v>0</v>
      </c>
    </row>
    <row r="300" spans="1:8" hidden="1" x14ac:dyDescent="0.2">
      <c r="A300" s="78">
        <f t="shared" si="83"/>
        <v>7</v>
      </c>
      <c r="B300" s="79"/>
      <c r="C300" s="16" t="s">
        <v>56</v>
      </c>
      <c r="D300" s="16"/>
      <c r="E300" s="16"/>
      <c r="F300" s="17">
        <f t="shared" si="81"/>
        <v>0</v>
      </c>
      <c r="G300" s="17"/>
      <c r="H300" s="16">
        <f t="shared" si="82"/>
        <v>0</v>
      </c>
    </row>
    <row r="301" spans="1:8" hidden="1" x14ac:dyDescent="0.2">
      <c r="A301" s="78">
        <f t="shared" si="83"/>
        <v>8</v>
      </c>
      <c r="B301" s="79"/>
      <c r="C301" s="16" t="s">
        <v>56</v>
      </c>
      <c r="D301" s="16"/>
      <c r="E301" s="16"/>
      <c r="F301" s="17">
        <f t="shared" si="81"/>
        <v>0</v>
      </c>
      <c r="G301" s="17"/>
      <c r="H301" s="16">
        <f t="shared" si="82"/>
        <v>0</v>
      </c>
    </row>
    <row r="302" spans="1:8" hidden="1" x14ac:dyDescent="0.2">
      <c r="A302" s="78">
        <f t="shared" si="83"/>
        <v>9</v>
      </c>
      <c r="B302" s="79"/>
      <c r="C302" s="16" t="s">
        <v>56</v>
      </c>
      <c r="D302" s="16"/>
      <c r="E302" s="16"/>
      <c r="F302" s="17">
        <f t="shared" si="81"/>
        <v>0</v>
      </c>
      <c r="G302" s="17"/>
      <c r="H302" s="16">
        <f t="shared" si="82"/>
        <v>0</v>
      </c>
    </row>
    <row r="303" spans="1:8" hidden="1" x14ac:dyDescent="0.2">
      <c r="A303" s="78">
        <f t="shared" si="83"/>
        <v>10</v>
      </c>
      <c r="B303" s="79"/>
      <c r="C303" s="16" t="s">
        <v>56</v>
      </c>
      <c r="D303" s="16"/>
      <c r="E303" s="16"/>
      <c r="F303" s="17">
        <f t="shared" si="81"/>
        <v>0</v>
      </c>
      <c r="G303" s="17"/>
      <c r="H303" s="16">
        <f t="shared" si="82"/>
        <v>0</v>
      </c>
    </row>
    <row r="304" spans="1:8" hidden="1" x14ac:dyDescent="0.2">
      <c r="A304" s="78">
        <f t="shared" si="83"/>
        <v>11</v>
      </c>
      <c r="B304" s="79"/>
      <c r="C304" s="16" t="s">
        <v>56</v>
      </c>
      <c r="D304" s="16"/>
      <c r="E304" s="16"/>
      <c r="F304" s="17">
        <f t="shared" si="81"/>
        <v>0</v>
      </c>
      <c r="G304" s="17"/>
      <c r="H304" s="16">
        <f t="shared" si="82"/>
        <v>0</v>
      </c>
    </row>
    <row r="305" spans="1:8" hidden="1" x14ac:dyDescent="0.2">
      <c r="A305" s="78">
        <f t="shared" si="83"/>
        <v>12</v>
      </c>
      <c r="B305" s="79"/>
      <c r="C305" s="16" t="s">
        <v>56</v>
      </c>
      <c r="D305" s="16"/>
      <c r="E305" s="16"/>
      <c r="F305" s="17">
        <f t="shared" si="81"/>
        <v>0</v>
      </c>
      <c r="G305" s="17"/>
      <c r="H305" s="16">
        <f t="shared" si="82"/>
        <v>0</v>
      </c>
    </row>
    <row r="306" spans="1:8" hidden="1" x14ac:dyDescent="0.2">
      <c r="A306" s="80" t="s">
        <v>127</v>
      </c>
      <c r="B306" s="80"/>
      <c r="C306" s="80"/>
      <c r="D306" s="80"/>
      <c r="E306" s="80"/>
      <c r="F306" s="80"/>
      <c r="G306" s="80"/>
      <c r="H306" s="80"/>
    </row>
    <row r="307" spans="1:8" hidden="1" x14ac:dyDescent="0.2">
      <c r="A307" s="78">
        <v>1</v>
      </c>
      <c r="B307" s="79"/>
      <c r="C307" s="16" t="s">
        <v>56</v>
      </c>
      <c r="D307" s="16"/>
      <c r="E307" s="16"/>
      <c r="F307" s="17">
        <f>D307+E307</f>
        <v>0</v>
      </c>
      <c r="G307" s="17"/>
      <c r="H307" s="16">
        <f>F307*(($H$156)+1)+(IF(G307&lt;101,G307,IF(G307&lt;201,G307/2,IF(G307&lt;=301,G307/3,G307/4))))</f>
        <v>0</v>
      </c>
    </row>
    <row r="308" spans="1:8" hidden="1" x14ac:dyDescent="0.2">
      <c r="A308" s="78">
        <f>A307+1</f>
        <v>2</v>
      </c>
      <c r="B308" s="79"/>
      <c r="C308" s="16" t="s">
        <v>56</v>
      </c>
      <c r="D308" s="16"/>
      <c r="E308" s="16"/>
      <c r="F308" s="17">
        <f t="shared" ref="F308:F318" si="84">D308+E308</f>
        <v>0</v>
      </c>
      <c r="G308" s="17"/>
      <c r="H308" s="16">
        <f t="shared" ref="H308:H318" si="85">F308*(($H$156)+1)+(IF(G308&lt;101,G308,IF(G308&lt;201,G308/2,IF(G308&lt;=301,G308/3,G308/4))))</f>
        <v>0</v>
      </c>
    </row>
    <row r="309" spans="1:8" hidden="1" x14ac:dyDescent="0.2">
      <c r="A309" s="78">
        <f t="shared" ref="A309:A318" si="86">A308+1</f>
        <v>3</v>
      </c>
      <c r="B309" s="79"/>
      <c r="C309" s="16" t="s">
        <v>56</v>
      </c>
      <c r="D309" s="16"/>
      <c r="E309" s="16"/>
      <c r="F309" s="17">
        <f t="shared" si="84"/>
        <v>0</v>
      </c>
      <c r="G309" s="17"/>
      <c r="H309" s="16">
        <f t="shared" si="85"/>
        <v>0</v>
      </c>
    </row>
    <row r="310" spans="1:8" hidden="1" x14ac:dyDescent="0.2">
      <c r="A310" s="78">
        <f t="shared" si="86"/>
        <v>4</v>
      </c>
      <c r="B310" s="79"/>
      <c r="C310" s="16" t="s">
        <v>56</v>
      </c>
      <c r="D310" s="16"/>
      <c r="E310" s="16"/>
      <c r="F310" s="17">
        <f t="shared" si="84"/>
        <v>0</v>
      </c>
      <c r="G310" s="17"/>
      <c r="H310" s="16">
        <f t="shared" si="85"/>
        <v>0</v>
      </c>
    </row>
    <row r="311" spans="1:8" hidden="1" x14ac:dyDescent="0.2">
      <c r="A311" s="78">
        <f t="shared" si="86"/>
        <v>5</v>
      </c>
      <c r="B311" s="79"/>
      <c r="C311" s="16" t="s">
        <v>56</v>
      </c>
      <c r="D311" s="16"/>
      <c r="E311" s="16"/>
      <c r="F311" s="17">
        <f t="shared" si="84"/>
        <v>0</v>
      </c>
      <c r="G311" s="17"/>
      <c r="H311" s="16">
        <f t="shared" si="85"/>
        <v>0</v>
      </c>
    </row>
    <row r="312" spans="1:8" hidden="1" x14ac:dyDescent="0.2">
      <c r="A312" s="78">
        <f t="shared" si="86"/>
        <v>6</v>
      </c>
      <c r="B312" s="79"/>
      <c r="C312" s="16" t="s">
        <v>56</v>
      </c>
      <c r="D312" s="16"/>
      <c r="E312" s="16"/>
      <c r="F312" s="17">
        <f t="shared" si="84"/>
        <v>0</v>
      </c>
      <c r="G312" s="17"/>
      <c r="H312" s="16">
        <f t="shared" si="85"/>
        <v>0</v>
      </c>
    </row>
    <row r="313" spans="1:8" hidden="1" x14ac:dyDescent="0.2">
      <c r="A313" s="78">
        <f t="shared" si="86"/>
        <v>7</v>
      </c>
      <c r="B313" s="79"/>
      <c r="C313" s="16" t="s">
        <v>56</v>
      </c>
      <c r="D313" s="16"/>
      <c r="E313" s="16"/>
      <c r="F313" s="17">
        <f t="shared" si="84"/>
        <v>0</v>
      </c>
      <c r="G313" s="17"/>
      <c r="H313" s="16">
        <f t="shared" si="85"/>
        <v>0</v>
      </c>
    </row>
    <row r="314" spans="1:8" hidden="1" x14ac:dyDescent="0.2">
      <c r="A314" s="78">
        <f t="shared" si="86"/>
        <v>8</v>
      </c>
      <c r="B314" s="79"/>
      <c r="C314" s="16" t="s">
        <v>56</v>
      </c>
      <c r="D314" s="16"/>
      <c r="E314" s="16"/>
      <c r="F314" s="17">
        <f t="shared" si="84"/>
        <v>0</v>
      </c>
      <c r="G314" s="17"/>
      <c r="H314" s="16">
        <f t="shared" si="85"/>
        <v>0</v>
      </c>
    </row>
    <row r="315" spans="1:8" hidden="1" x14ac:dyDescent="0.2">
      <c r="A315" s="78">
        <f t="shared" si="86"/>
        <v>9</v>
      </c>
      <c r="B315" s="79"/>
      <c r="C315" s="16" t="s">
        <v>56</v>
      </c>
      <c r="D315" s="16"/>
      <c r="E315" s="16"/>
      <c r="F315" s="17">
        <f t="shared" si="84"/>
        <v>0</v>
      </c>
      <c r="G315" s="17"/>
      <c r="H315" s="16">
        <f t="shared" si="85"/>
        <v>0</v>
      </c>
    </row>
    <row r="316" spans="1:8" hidden="1" x14ac:dyDescent="0.2">
      <c r="A316" s="78">
        <f t="shared" si="86"/>
        <v>10</v>
      </c>
      <c r="B316" s="79"/>
      <c r="C316" s="16" t="s">
        <v>56</v>
      </c>
      <c r="D316" s="16"/>
      <c r="E316" s="16"/>
      <c r="F316" s="17">
        <f t="shared" si="84"/>
        <v>0</v>
      </c>
      <c r="G316" s="17"/>
      <c r="H316" s="16">
        <f t="shared" si="85"/>
        <v>0</v>
      </c>
    </row>
    <row r="317" spans="1:8" hidden="1" x14ac:dyDescent="0.2">
      <c r="A317" s="78">
        <f t="shared" si="86"/>
        <v>11</v>
      </c>
      <c r="B317" s="79"/>
      <c r="C317" s="16" t="s">
        <v>56</v>
      </c>
      <c r="D317" s="16"/>
      <c r="E317" s="16"/>
      <c r="F317" s="17">
        <f t="shared" si="84"/>
        <v>0</v>
      </c>
      <c r="G317" s="17"/>
      <c r="H317" s="16">
        <f t="shared" si="85"/>
        <v>0</v>
      </c>
    </row>
    <row r="318" spans="1:8" hidden="1" x14ac:dyDescent="0.2">
      <c r="A318" s="78">
        <f t="shared" si="86"/>
        <v>12</v>
      </c>
      <c r="B318" s="79"/>
      <c r="C318" s="16" t="s">
        <v>56</v>
      </c>
      <c r="D318" s="16"/>
      <c r="E318" s="16"/>
      <c r="F318" s="17">
        <f t="shared" si="84"/>
        <v>0</v>
      </c>
      <c r="G318" s="17"/>
      <c r="H318" s="16">
        <f t="shared" si="85"/>
        <v>0</v>
      </c>
    </row>
    <row r="319" spans="1:8" ht="12.75" customHeight="1" x14ac:dyDescent="0.2">
      <c r="A319" s="128" t="s">
        <v>116</v>
      </c>
      <c r="B319" s="128"/>
      <c r="C319" s="128"/>
      <c r="D319" s="128"/>
      <c r="E319" s="128"/>
      <c r="F319" s="128"/>
      <c r="G319" s="128"/>
      <c r="H319" s="128"/>
    </row>
    <row r="320" spans="1:8" ht="14.25" customHeight="1" x14ac:dyDescent="0.2">
      <c r="A320" s="72" t="s">
        <v>117</v>
      </c>
      <c r="B320" s="73"/>
      <c r="C320" s="73"/>
      <c r="D320" s="73"/>
      <c r="E320" s="74"/>
      <c r="F320" s="72">
        <v>7000</v>
      </c>
      <c r="G320" s="73"/>
      <c r="H320" s="74"/>
    </row>
    <row r="321" spans="1:8" ht="14.25" customHeight="1" x14ac:dyDescent="0.2">
      <c r="A321" s="72" t="s">
        <v>295</v>
      </c>
      <c r="B321" s="73"/>
      <c r="C321" s="73"/>
      <c r="D321" s="73"/>
      <c r="E321" s="74"/>
      <c r="F321" s="69">
        <v>250000</v>
      </c>
      <c r="G321" s="70"/>
      <c r="H321" s="71"/>
    </row>
    <row r="322" spans="1:8" ht="14.25" customHeight="1" x14ac:dyDescent="0.2">
      <c r="A322" s="72" t="s">
        <v>297</v>
      </c>
      <c r="B322" s="73"/>
      <c r="C322" s="73"/>
      <c r="D322" s="73"/>
      <c r="E322" s="74"/>
      <c r="F322" s="69" t="s">
        <v>296</v>
      </c>
      <c r="G322" s="70"/>
      <c r="H322" s="71"/>
    </row>
    <row r="323" spans="1:8" ht="14.25" customHeight="1" x14ac:dyDescent="0.2">
      <c r="A323" s="72" t="s">
        <v>299</v>
      </c>
      <c r="B323" s="73"/>
      <c r="C323" s="73"/>
      <c r="D323" s="73"/>
      <c r="E323" s="74"/>
      <c r="F323" s="69" t="s">
        <v>298</v>
      </c>
      <c r="G323" s="70"/>
      <c r="H323" s="71"/>
    </row>
    <row r="324" spans="1:8" ht="14.25" customHeight="1" x14ac:dyDescent="0.2">
      <c r="A324" s="72" t="s">
        <v>118</v>
      </c>
      <c r="B324" s="73"/>
      <c r="C324" s="73"/>
      <c r="D324" s="73"/>
      <c r="E324" s="74"/>
      <c r="F324" s="69" t="s">
        <v>294</v>
      </c>
      <c r="G324" s="70"/>
      <c r="H324" s="71"/>
    </row>
    <row r="325" spans="1:8" x14ac:dyDescent="0.2">
      <c r="A325" s="128" t="s">
        <v>48</v>
      </c>
      <c r="B325" s="128"/>
      <c r="C325" s="128"/>
      <c r="D325" s="128"/>
      <c r="E325" s="128"/>
      <c r="F325" s="128"/>
      <c r="G325" s="128"/>
      <c r="H325" s="128"/>
    </row>
    <row r="326" spans="1:8" x14ac:dyDescent="0.2">
      <c r="A326" s="18">
        <v>1</v>
      </c>
      <c r="B326" s="116" t="s">
        <v>303</v>
      </c>
      <c r="C326" s="117"/>
      <c r="D326" s="117"/>
      <c r="E326" s="117"/>
      <c r="F326" s="117"/>
      <c r="G326" s="117"/>
      <c r="H326" s="118"/>
    </row>
    <row r="327" spans="1:8" x14ac:dyDescent="0.2">
      <c r="A327" s="18">
        <f t="shared" ref="A327:A337" si="87">A326+1</f>
        <v>2</v>
      </c>
      <c r="B327" s="116" t="s">
        <v>224</v>
      </c>
      <c r="C327" s="117"/>
      <c r="D327" s="117"/>
      <c r="E327" s="117"/>
      <c r="F327" s="117"/>
      <c r="G327" s="117"/>
      <c r="H327" s="118"/>
    </row>
    <row r="328" spans="1:8" x14ac:dyDescent="0.2">
      <c r="A328" s="18">
        <f t="shared" si="87"/>
        <v>3</v>
      </c>
      <c r="B328" s="116" t="s">
        <v>225</v>
      </c>
      <c r="C328" s="117"/>
      <c r="D328" s="117"/>
      <c r="E328" s="117"/>
      <c r="F328" s="117"/>
      <c r="G328" s="117"/>
      <c r="H328" s="118"/>
    </row>
    <row r="329" spans="1:8" x14ac:dyDescent="0.2">
      <c r="A329" s="18">
        <f t="shared" si="87"/>
        <v>4</v>
      </c>
      <c r="B329" s="116" t="s">
        <v>226</v>
      </c>
      <c r="C329" s="117"/>
      <c r="D329" s="117"/>
      <c r="E329" s="117"/>
      <c r="F329" s="117"/>
      <c r="G329" s="117"/>
      <c r="H329" s="118"/>
    </row>
    <row r="330" spans="1:8" x14ac:dyDescent="0.2">
      <c r="A330" s="18">
        <f t="shared" si="87"/>
        <v>5</v>
      </c>
      <c r="B330" s="116" t="s">
        <v>287</v>
      </c>
      <c r="C330" s="117"/>
      <c r="D330" s="117"/>
      <c r="E330" s="117"/>
      <c r="F330" s="117"/>
      <c r="G330" s="117"/>
      <c r="H330" s="118"/>
    </row>
    <row r="331" spans="1:8" ht="12.75" customHeight="1" x14ac:dyDescent="0.2">
      <c r="A331" s="18">
        <f t="shared" si="87"/>
        <v>6</v>
      </c>
      <c r="B331" s="116" t="s">
        <v>230</v>
      </c>
      <c r="C331" s="117"/>
      <c r="D331" s="117"/>
      <c r="E331" s="117"/>
      <c r="F331" s="64">
        <f>H156</f>
        <v>0.5</v>
      </c>
      <c r="G331" s="65"/>
      <c r="H331" s="66"/>
    </row>
    <row r="332" spans="1:8" x14ac:dyDescent="0.2">
      <c r="A332" s="18">
        <f t="shared" si="87"/>
        <v>7</v>
      </c>
      <c r="B332" s="116" t="s">
        <v>227</v>
      </c>
      <c r="C332" s="117"/>
      <c r="D332" s="117"/>
      <c r="E332" s="117"/>
      <c r="F332" s="117"/>
      <c r="G332" s="117"/>
      <c r="H332" s="118"/>
    </row>
    <row r="333" spans="1:8" ht="30" customHeight="1" x14ac:dyDescent="0.2">
      <c r="A333" s="18">
        <f t="shared" si="87"/>
        <v>8</v>
      </c>
      <c r="B333" s="116" t="s">
        <v>228</v>
      </c>
      <c r="C333" s="117"/>
      <c r="D333" s="117"/>
      <c r="E333" s="117"/>
      <c r="F333" s="117"/>
      <c r="G333" s="117"/>
      <c r="H333" s="118"/>
    </row>
    <row r="334" spans="1:8" ht="51" customHeight="1" x14ac:dyDescent="0.2">
      <c r="A334" s="18">
        <f t="shared" si="87"/>
        <v>9</v>
      </c>
      <c r="B334" s="116" t="s">
        <v>300</v>
      </c>
      <c r="C334" s="117"/>
      <c r="D334" s="117"/>
      <c r="E334" s="117"/>
      <c r="F334" s="117"/>
      <c r="G334" s="117"/>
      <c r="H334" s="118"/>
    </row>
    <row r="335" spans="1:8" x14ac:dyDescent="0.2">
      <c r="A335" s="18">
        <f t="shared" si="87"/>
        <v>10</v>
      </c>
      <c r="B335" s="116" t="s">
        <v>229</v>
      </c>
      <c r="C335" s="117"/>
      <c r="D335" s="117"/>
      <c r="E335" s="117"/>
      <c r="F335" s="117"/>
      <c r="G335" s="117"/>
      <c r="H335" s="118"/>
    </row>
    <row r="336" spans="1:8" x14ac:dyDescent="0.2">
      <c r="A336" s="18">
        <f t="shared" si="87"/>
        <v>11</v>
      </c>
      <c r="B336" s="116" t="s">
        <v>286</v>
      </c>
      <c r="C336" s="117"/>
      <c r="D336" s="117"/>
      <c r="E336" s="117"/>
      <c r="F336" s="117"/>
      <c r="G336" s="117"/>
      <c r="H336" s="118"/>
    </row>
    <row r="337" spans="1:8" x14ac:dyDescent="0.2">
      <c r="A337" s="18">
        <f t="shared" si="87"/>
        <v>12</v>
      </c>
      <c r="B337" s="235" t="s">
        <v>291</v>
      </c>
      <c r="C337" s="236"/>
      <c r="D337" s="236"/>
      <c r="E337" s="236"/>
      <c r="F337" s="236"/>
      <c r="G337" s="236"/>
      <c r="H337" s="237"/>
    </row>
    <row r="338" spans="1:8" ht="25.5" customHeight="1" x14ac:dyDescent="0.2">
      <c r="A338" s="112" t="s">
        <v>120</v>
      </c>
      <c r="B338" s="113"/>
      <c r="C338" s="125" t="str">
        <f>C7</f>
        <v>Bachraj Legend</v>
      </c>
      <c r="D338" s="126"/>
      <c r="E338" s="126"/>
      <c r="F338" s="126"/>
      <c r="G338" s="126"/>
      <c r="H338" s="127"/>
    </row>
    <row r="339" spans="1:8" x14ac:dyDescent="0.2">
      <c r="A339" s="119"/>
      <c r="B339" s="120"/>
      <c r="C339" s="120"/>
      <c r="D339" s="120"/>
      <c r="E339" s="120"/>
      <c r="F339" s="120"/>
      <c r="G339" s="120"/>
      <c r="H339" s="121"/>
    </row>
    <row r="340" spans="1:8" x14ac:dyDescent="0.2">
      <c r="A340" s="119"/>
      <c r="B340" s="120"/>
      <c r="C340" s="120"/>
      <c r="D340" s="120"/>
      <c r="E340" s="120"/>
      <c r="F340" s="120"/>
      <c r="G340" s="120"/>
      <c r="H340" s="121"/>
    </row>
    <row r="341" spans="1:8" x14ac:dyDescent="0.2">
      <c r="A341" s="119"/>
      <c r="B341" s="120"/>
      <c r="C341" s="120"/>
      <c r="D341" s="120"/>
      <c r="E341" s="120"/>
      <c r="F341" s="120"/>
      <c r="G341" s="120"/>
      <c r="H341" s="121"/>
    </row>
    <row r="342" spans="1:8" x14ac:dyDescent="0.2">
      <c r="A342" s="119"/>
      <c r="B342" s="120"/>
      <c r="C342" s="120"/>
      <c r="D342" s="120"/>
      <c r="E342" s="120"/>
      <c r="F342" s="120"/>
      <c r="G342" s="120"/>
      <c r="H342" s="121"/>
    </row>
    <row r="343" spans="1:8" x14ac:dyDescent="0.2">
      <c r="A343" s="119"/>
      <c r="B343" s="120"/>
      <c r="C343" s="120"/>
      <c r="D343" s="120"/>
      <c r="E343" s="120"/>
      <c r="F343" s="120"/>
      <c r="G343" s="120"/>
      <c r="H343" s="121"/>
    </row>
    <row r="344" spans="1:8" x14ac:dyDescent="0.2">
      <c r="A344" s="119"/>
      <c r="B344" s="120"/>
      <c r="C344" s="120"/>
      <c r="D344" s="120"/>
      <c r="E344" s="120"/>
      <c r="F344" s="120"/>
      <c r="G344" s="120"/>
      <c r="H344" s="121"/>
    </row>
    <row r="345" spans="1:8" x14ac:dyDescent="0.2">
      <c r="A345" s="119"/>
      <c r="B345" s="120"/>
      <c r="C345" s="120"/>
      <c r="D345" s="120"/>
      <c r="E345" s="120"/>
      <c r="F345" s="120"/>
      <c r="G345" s="120"/>
      <c r="H345" s="121"/>
    </row>
    <row r="346" spans="1:8" x14ac:dyDescent="0.2">
      <c r="A346" s="119"/>
      <c r="B346" s="120"/>
      <c r="C346" s="120"/>
      <c r="D346" s="120"/>
      <c r="E346" s="120"/>
      <c r="F346" s="120"/>
      <c r="G346" s="120"/>
      <c r="H346" s="121"/>
    </row>
    <row r="347" spans="1:8" x14ac:dyDescent="0.2">
      <c r="A347" s="119"/>
      <c r="B347" s="120"/>
      <c r="C347" s="120"/>
      <c r="D347" s="120"/>
      <c r="E347" s="120"/>
      <c r="F347" s="120"/>
      <c r="G347" s="120"/>
      <c r="H347" s="121"/>
    </row>
    <row r="348" spans="1:8" x14ac:dyDescent="0.2">
      <c r="A348" s="119"/>
      <c r="B348" s="120"/>
      <c r="C348" s="120"/>
      <c r="D348" s="120"/>
      <c r="E348" s="120"/>
      <c r="F348" s="120"/>
      <c r="G348" s="120"/>
      <c r="H348" s="121"/>
    </row>
    <row r="349" spans="1:8" x14ac:dyDescent="0.2">
      <c r="A349" s="119"/>
      <c r="B349" s="120"/>
      <c r="C349" s="120"/>
      <c r="D349" s="120"/>
      <c r="E349" s="120"/>
      <c r="F349" s="120"/>
      <c r="G349" s="120"/>
      <c r="H349" s="121"/>
    </row>
    <row r="350" spans="1:8" x14ac:dyDescent="0.2">
      <c r="A350" s="119"/>
      <c r="B350" s="120"/>
      <c r="C350" s="120"/>
      <c r="D350" s="120"/>
      <c r="E350" s="120"/>
      <c r="F350" s="120"/>
      <c r="G350" s="120"/>
      <c r="H350" s="121"/>
    </row>
    <row r="351" spans="1:8" x14ac:dyDescent="0.2">
      <c r="A351" s="119"/>
      <c r="B351" s="120"/>
      <c r="C351" s="120"/>
      <c r="D351" s="120"/>
      <c r="E351" s="120"/>
      <c r="F351" s="120"/>
      <c r="G351" s="120"/>
      <c r="H351" s="121"/>
    </row>
    <row r="352" spans="1:8" x14ac:dyDescent="0.2">
      <c r="A352" s="119"/>
      <c r="B352" s="120"/>
      <c r="C352" s="120"/>
      <c r="D352" s="120"/>
      <c r="E352" s="120"/>
      <c r="F352" s="120"/>
      <c r="G352" s="120"/>
      <c r="H352" s="121"/>
    </row>
    <row r="353" spans="1:8" x14ac:dyDescent="0.2">
      <c r="A353" s="119"/>
      <c r="B353" s="120"/>
      <c r="C353" s="120"/>
      <c r="D353" s="120"/>
      <c r="E353" s="120"/>
      <c r="F353" s="120"/>
      <c r="G353" s="120"/>
      <c r="H353" s="121"/>
    </row>
    <row r="354" spans="1:8" x14ac:dyDescent="0.2">
      <c r="A354" s="119"/>
      <c r="B354" s="120"/>
      <c r="C354" s="120"/>
      <c r="D354" s="120"/>
      <c r="E354" s="120"/>
      <c r="F354" s="120"/>
      <c r="G354" s="120"/>
      <c r="H354" s="121"/>
    </row>
    <row r="355" spans="1:8" x14ac:dyDescent="0.2">
      <c r="A355" s="119"/>
      <c r="B355" s="120"/>
      <c r="C355" s="120"/>
      <c r="D355" s="120"/>
      <c r="E355" s="120"/>
      <c r="F355" s="120"/>
      <c r="G355" s="120"/>
      <c r="H355" s="121"/>
    </row>
    <row r="356" spans="1:8" x14ac:dyDescent="0.2">
      <c r="A356" s="119"/>
      <c r="B356" s="120"/>
      <c r="C356" s="120"/>
      <c r="D356" s="120"/>
      <c r="E356" s="120"/>
      <c r="F356" s="120"/>
      <c r="G356" s="120"/>
      <c r="H356" s="121"/>
    </row>
    <row r="357" spans="1:8" x14ac:dyDescent="0.2">
      <c r="A357" s="119"/>
      <c r="B357" s="120"/>
      <c r="C357" s="120"/>
      <c r="D357" s="120"/>
      <c r="E357" s="120"/>
      <c r="F357" s="120"/>
      <c r="G357" s="120"/>
      <c r="H357" s="121"/>
    </row>
    <row r="358" spans="1:8" x14ac:dyDescent="0.2">
      <c r="A358" s="119"/>
      <c r="B358" s="120"/>
      <c r="C358" s="120"/>
      <c r="D358" s="120"/>
      <c r="E358" s="120"/>
      <c r="F358" s="120"/>
      <c r="G358" s="120"/>
      <c r="H358" s="121"/>
    </row>
    <row r="359" spans="1:8" x14ac:dyDescent="0.2">
      <c r="A359" s="119"/>
      <c r="B359" s="120"/>
      <c r="C359" s="120"/>
      <c r="D359" s="120"/>
      <c r="E359" s="120"/>
      <c r="F359" s="120"/>
      <c r="G359" s="120"/>
      <c r="H359" s="121"/>
    </row>
    <row r="360" spans="1:8" x14ac:dyDescent="0.2">
      <c r="A360" s="119"/>
      <c r="B360" s="120"/>
      <c r="C360" s="120"/>
      <c r="D360" s="120"/>
      <c r="E360" s="120"/>
      <c r="F360" s="120"/>
      <c r="G360" s="120"/>
      <c r="H360" s="121"/>
    </row>
    <row r="361" spans="1:8" x14ac:dyDescent="0.2">
      <c r="A361" s="119"/>
      <c r="B361" s="120"/>
      <c r="C361" s="120"/>
      <c r="D361" s="120"/>
      <c r="E361" s="120"/>
      <c r="F361" s="120"/>
      <c r="G361" s="120"/>
      <c r="H361" s="121"/>
    </row>
    <row r="362" spans="1:8" x14ac:dyDescent="0.2">
      <c r="A362" s="119"/>
      <c r="B362" s="120"/>
      <c r="C362" s="120"/>
      <c r="D362" s="120"/>
      <c r="E362" s="120"/>
      <c r="F362" s="120"/>
      <c r="G362" s="120"/>
      <c r="H362" s="121"/>
    </row>
    <row r="363" spans="1:8" x14ac:dyDescent="0.2">
      <c r="A363" s="119"/>
      <c r="B363" s="120"/>
      <c r="C363" s="120"/>
      <c r="D363" s="120"/>
      <c r="E363" s="120"/>
      <c r="F363" s="120"/>
      <c r="G363" s="120"/>
      <c r="H363" s="121"/>
    </row>
    <row r="364" spans="1:8" x14ac:dyDescent="0.2">
      <c r="A364" s="119"/>
      <c r="B364" s="120"/>
      <c r="C364" s="120"/>
      <c r="D364" s="120"/>
      <c r="E364" s="120"/>
      <c r="F364" s="120"/>
      <c r="G364" s="120"/>
      <c r="H364" s="121"/>
    </row>
    <row r="365" spans="1:8" x14ac:dyDescent="0.2">
      <c r="A365" s="119"/>
      <c r="B365" s="120"/>
      <c r="C365" s="120"/>
      <c r="D365" s="120"/>
      <c r="E365" s="120"/>
      <c r="F365" s="120"/>
      <c r="G365" s="120"/>
      <c r="H365" s="121"/>
    </row>
    <row r="366" spans="1:8" x14ac:dyDescent="0.2">
      <c r="A366" s="119"/>
      <c r="B366" s="120"/>
      <c r="C366" s="120"/>
      <c r="D366" s="120"/>
      <c r="E366" s="120"/>
      <c r="F366" s="120"/>
      <c r="G366" s="120"/>
      <c r="H366" s="121"/>
    </row>
    <row r="367" spans="1:8" x14ac:dyDescent="0.2">
      <c r="A367" s="119"/>
      <c r="B367" s="120"/>
      <c r="C367" s="120"/>
      <c r="D367" s="120"/>
      <c r="E367" s="120"/>
      <c r="F367" s="120"/>
      <c r="G367" s="120"/>
      <c r="H367" s="121"/>
    </row>
    <row r="368" spans="1:8" x14ac:dyDescent="0.2">
      <c r="A368" s="119"/>
      <c r="B368" s="120"/>
      <c r="C368" s="120"/>
      <c r="D368" s="120"/>
      <c r="E368" s="120"/>
      <c r="F368" s="120"/>
      <c r="G368" s="120"/>
      <c r="H368" s="121"/>
    </row>
    <row r="369" spans="1:8" x14ac:dyDescent="0.2">
      <c r="A369" s="119"/>
      <c r="B369" s="120"/>
      <c r="C369" s="120"/>
      <c r="D369" s="120"/>
      <c r="E369" s="120"/>
      <c r="F369" s="120"/>
      <c r="G369" s="120"/>
      <c r="H369" s="121"/>
    </row>
    <row r="370" spans="1:8" x14ac:dyDescent="0.2">
      <c r="A370" s="119"/>
      <c r="B370" s="120"/>
      <c r="C370" s="120"/>
      <c r="D370" s="120"/>
      <c r="E370" s="120"/>
      <c r="F370" s="120"/>
      <c r="G370" s="120"/>
      <c r="H370" s="121"/>
    </row>
    <row r="371" spans="1:8" x14ac:dyDescent="0.2">
      <c r="A371" s="119"/>
      <c r="B371" s="120"/>
      <c r="C371" s="120"/>
      <c r="D371" s="120"/>
      <c r="E371" s="120"/>
      <c r="F371" s="120"/>
      <c r="G371" s="120"/>
      <c r="H371" s="121"/>
    </row>
    <row r="372" spans="1:8" x14ac:dyDescent="0.2">
      <c r="A372" s="119"/>
      <c r="B372" s="120"/>
      <c r="C372" s="120"/>
      <c r="D372" s="120"/>
      <c r="E372" s="120"/>
      <c r="F372" s="120"/>
      <c r="G372" s="120"/>
      <c r="H372" s="121"/>
    </row>
    <row r="373" spans="1:8" x14ac:dyDescent="0.2">
      <c r="A373" s="119"/>
      <c r="B373" s="120"/>
      <c r="C373" s="120"/>
      <c r="D373" s="120"/>
      <c r="E373" s="120"/>
      <c r="F373" s="120"/>
      <c r="G373" s="120"/>
      <c r="H373" s="121"/>
    </row>
    <row r="374" spans="1:8" x14ac:dyDescent="0.2">
      <c r="A374" s="119"/>
      <c r="B374" s="120"/>
      <c r="C374" s="120"/>
      <c r="D374" s="120"/>
      <c r="E374" s="120"/>
      <c r="F374" s="120"/>
      <c r="G374" s="120"/>
      <c r="H374" s="121"/>
    </row>
    <row r="375" spans="1:8" x14ac:dyDescent="0.2">
      <c r="A375" s="119"/>
      <c r="B375" s="120"/>
      <c r="C375" s="120"/>
      <c r="D375" s="120"/>
      <c r="E375" s="120"/>
      <c r="F375" s="120"/>
      <c r="G375" s="120"/>
      <c r="H375" s="121"/>
    </row>
    <row r="376" spans="1:8" x14ac:dyDescent="0.2">
      <c r="A376" s="119"/>
      <c r="B376" s="120"/>
      <c r="C376" s="120"/>
      <c r="D376" s="120"/>
      <c r="E376" s="120"/>
      <c r="F376" s="120"/>
      <c r="G376" s="120"/>
      <c r="H376" s="121"/>
    </row>
    <row r="377" spans="1:8" x14ac:dyDescent="0.2">
      <c r="A377" s="119"/>
      <c r="B377" s="120"/>
      <c r="C377" s="120"/>
      <c r="D377" s="120"/>
      <c r="E377" s="120"/>
      <c r="F377" s="120"/>
      <c r="G377" s="120"/>
      <c r="H377" s="121"/>
    </row>
    <row r="378" spans="1:8" x14ac:dyDescent="0.2">
      <c r="A378" s="119"/>
      <c r="B378" s="120"/>
      <c r="C378" s="120"/>
      <c r="D378" s="120"/>
      <c r="E378" s="120"/>
      <c r="F378" s="120"/>
      <c r="G378" s="120"/>
      <c r="H378" s="121"/>
    </row>
    <row r="379" spans="1:8" x14ac:dyDescent="0.2">
      <c r="A379" s="119"/>
      <c r="B379" s="120"/>
      <c r="C379" s="120"/>
      <c r="D379" s="120"/>
      <c r="E379" s="120"/>
      <c r="F379" s="120"/>
      <c r="G379" s="120"/>
      <c r="H379" s="121"/>
    </row>
    <row r="380" spans="1:8" x14ac:dyDescent="0.2">
      <c r="A380" s="119"/>
      <c r="B380" s="120"/>
      <c r="C380" s="120"/>
      <c r="D380" s="120"/>
      <c r="E380" s="120"/>
      <c r="F380" s="120"/>
      <c r="G380" s="120"/>
      <c r="H380" s="121"/>
    </row>
    <row r="381" spans="1:8" x14ac:dyDescent="0.2">
      <c r="A381" s="119"/>
      <c r="B381" s="120"/>
      <c r="C381" s="120"/>
      <c r="D381" s="120"/>
      <c r="E381" s="120"/>
      <c r="F381" s="120"/>
      <c r="G381" s="120"/>
      <c r="H381" s="121"/>
    </row>
    <row r="382" spans="1:8" x14ac:dyDescent="0.2">
      <c r="A382" s="119"/>
      <c r="B382" s="120"/>
      <c r="C382" s="120"/>
      <c r="D382" s="120"/>
      <c r="E382" s="120"/>
      <c r="F382" s="120"/>
      <c r="G382" s="120"/>
      <c r="H382" s="121"/>
    </row>
    <row r="383" spans="1:8" x14ac:dyDescent="0.2">
      <c r="A383" s="119"/>
      <c r="B383" s="120"/>
      <c r="C383" s="120"/>
      <c r="D383" s="120"/>
      <c r="E383" s="120"/>
      <c r="F383" s="120"/>
      <c r="G383" s="120"/>
      <c r="H383" s="121"/>
    </row>
    <row r="384" spans="1:8" x14ac:dyDescent="0.2">
      <c r="A384" s="119"/>
      <c r="B384" s="120"/>
      <c r="C384" s="120"/>
      <c r="D384" s="120"/>
      <c r="E384" s="120"/>
      <c r="F384" s="120"/>
      <c r="G384" s="120"/>
      <c r="H384" s="121"/>
    </row>
    <row r="385" spans="1:8" x14ac:dyDescent="0.2">
      <c r="A385" s="119"/>
      <c r="B385" s="120"/>
      <c r="C385" s="120"/>
      <c r="D385" s="120"/>
      <c r="E385" s="120"/>
      <c r="F385" s="120"/>
      <c r="G385" s="120"/>
      <c r="H385" s="121"/>
    </row>
    <row r="386" spans="1:8" x14ac:dyDescent="0.2">
      <c r="A386" s="119"/>
      <c r="B386" s="120"/>
      <c r="C386" s="120"/>
      <c r="D386" s="120"/>
      <c r="E386" s="120"/>
      <c r="F386" s="120"/>
      <c r="G386" s="120"/>
      <c r="H386" s="121"/>
    </row>
    <row r="387" spans="1:8" x14ac:dyDescent="0.2">
      <c r="A387" s="119"/>
      <c r="B387" s="120"/>
      <c r="C387" s="120"/>
      <c r="D387" s="120"/>
      <c r="E387" s="120"/>
      <c r="F387" s="120"/>
      <c r="G387" s="120"/>
      <c r="H387" s="121"/>
    </row>
    <row r="388" spans="1:8" x14ac:dyDescent="0.2">
      <c r="A388" s="119"/>
      <c r="B388" s="120"/>
      <c r="C388" s="120"/>
      <c r="D388" s="120"/>
      <c r="E388" s="120"/>
      <c r="F388" s="120"/>
      <c r="G388" s="120"/>
      <c r="H388" s="121"/>
    </row>
    <row r="389" spans="1:8" x14ac:dyDescent="0.2">
      <c r="A389" s="119"/>
      <c r="B389" s="120"/>
      <c r="C389" s="120"/>
      <c r="D389" s="120"/>
      <c r="E389" s="120"/>
      <c r="F389" s="120"/>
      <c r="G389" s="120"/>
      <c r="H389" s="121"/>
    </row>
    <row r="390" spans="1:8" x14ac:dyDescent="0.2">
      <c r="A390" s="119"/>
      <c r="B390" s="120"/>
      <c r="C390" s="120"/>
      <c r="D390" s="120"/>
      <c r="E390" s="120"/>
      <c r="F390" s="120"/>
      <c r="G390" s="120"/>
      <c r="H390" s="121"/>
    </row>
    <row r="391" spans="1:8" x14ac:dyDescent="0.2">
      <c r="A391" s="119"/>
      <c r="B391" s="120"/>
      <c r="C391" s="120"/>
      <c r="D391" s="120"/>
      <c r="E391" s="120"/>
      <c r="F391" s="120"/>
      <c r="G391" s="120"/>
      <c r="H391" s="121"/>
    </row>
    <row r="392" spans="1:8" ht="25.5" customHeight="1" x14ac:dyDescent="0.2">
      <c r="A392" s="112" t="s">
        <v>146</v>
      </c>
      <c r="B392" s="113"/>
      <c r="C392" s="125"/>
      <c r="D392" s="126"/>
      <c r="E392" s="126"/>
      <c r="F392" s="126"/>
      <c r="G392" s="126"/>
      <c r="H392" s="127"/>
    </row>
    <row r="393" spans="1:8" x14ac:dyDescent="0.2">
      <c r="A393" s="119"/>
      <c r="B393" s="120"/>
      <c r="C393" s="120"/>
      <c r="D393" s="120"/>
      <c r="E393" s="120"/>
      <c r="F393" s="120"/>
      <c r="G393" s="120"/>
      <c r="H393" s="121"/>
    </row>
    <row r="394" spans="1:8" x14ac:dyDescent="0.2">
      <c r="A394" s="119"/>
      <c r="B394" s="120"/>
      <c r="C394" s="120"/>
      <c r="D394" s="120"/>
      <c r="E394" s="120"/>
      <c r="F394" s="120"/>
      <c r="G394" s="120"/>
      <c r="H394" s="121"/>
    </row>
    <row r="395" spans="1:8" x14ac:dyDescent="0.2">
      <c r="A395" s="119"/>
      <c r="B395" s="120"/>
      <c r="C395" s="120"/>
      <c r="D395" s="120"/>
      <c r="E395" s="120"/>
      <c r="F395" s="120"/>
      <c r="G395" s="120"/>
      <c r="H395" s="121"/>
    </row>
    <row r="396" spans="1:8" x14ac:dyDescent="0.2">
      <c r="A396" s="119"/>
      <c r="B396" s="120"/>
      <c r="C396" s="120"/>
      <c r="D396" s="120"/>
      <c r="E396" s="120"/>
      <c r="F396" s="120"/>
      <c r="G396" s="120"/>
      <c r="H396" s="121"/>
    </row>
    <row r="397" spans="1:8" x14ac:dyDescent="0.2">
      <c r="A397" s="119"/>
      <c r="B397" s="120"/>
      <c r="C397" s="120"/>
      <c r="D397" s="120"/>
      <c r="E397" s="120"/>
      <c r="F397" s="120"/>
      <c r="G397" s="120"/>
      <c r="H397" s="121"/>
    </row>
    <row r="398" spans="1:8" x14ac:dyDescent="0.2">
      <c r="A398" s="119"/>
      <c r="B398" s="120"/>
      <c r="C398" s="120"/>
      <c r="D398" s="120"/>
      <c r="E398" s="120"/>
      <c r="F398" s="120"/>
      <c r="G398" s="120"/>
      <c r="H398" s="121"/>
    </row>
    <row r="399" spans="1:8" x14ac:dyDescent="0.2">
      <c r="A399" s="119"/>
      <c r="B399" s="120"/>
      <c r="C399" s="120"/>
      <c r="D399" s="120"/>
      <c r="E399" s="120"/>
      <c r="F399" s="120"/>
      <c r="G399" s="120"/>
      <c r="H399" s="121"/>
    </row>
    <row r="400" spans="1:8" x14ac:dyDescent="0.2">
      <c r="A400" s="119"/>
      <c r="B400" s="120"/>
      <c r="C400" s="120"/>
      <c r="D400" s="120"/>
      <c r="E400" s="120"/>
      <c r="F400" s="120"/>
      <c r="G400" s="120"/>
      <c r="H400" s="121"/>
    </row>
    <row r="401" spans="1:8" x14ac:dyDescent="0.2">
      <c r="A401" s="119"/>
      <c r="B401" s="120"/>
      <c r="C401" s="120"/>
      <c r="D401" s="120"/>
      <c r="E401" s="120"/>
      <c r="F401" s="120"/>
      <c r="G401" s="120"/>
      <c r="H401" s="121"/>
    </row>
    <row r="402" spans="1:8" x14ac:dyDescent="0.2">
      <c r="A402" s="119"/>
      <c r="B402" s="120"/>
      <c r="C402" s="120"/>
      <c r="D402" s="120"/>
      <c r="E402" s="120"/>
      <c r="F402" s="120"/>
      <c r="G402" s="120"/>
      <c r="H402" s="121"/>
    </row>
    <row r="403" spans="1:8" x14ac:dyDescent="0.2">
      <c r="A403" s="119"/>
      <c r="B403" s="120"/>
      <c r="C403" s="120"/>
      <c r="D403" s="120"/>
      <c r="E403" s="120"/>
      <c r="F403" s="120"/>
      <c r="G403" s="120"/>
      <c r="H403" s="121"/>
    </row>
    <row r="404" spans="1:8" x14ac:dyDescent="0.2">
      <c r="A404" s="119"/>
      <c r="B404" s="120"/>
      <c r="C404" s="120"/>
      <c r="D404" s="120"/>
      <c r="E404" s="120"/>
      <c r="F404" s="120"/>
      <c r="G404" s="120"/>
      <c r="H404" s="121"/>
    </row>
    <row r="405" spans="1:8" x14ac:dyDescent="0.2">
      <c r="A405" s="119"/>
      <c r="B405" s="120"/>
      <c r="C405" s="120"/>
      <c r="D405" s="120"/>
      <c r="E405" s="120"/>
      <c r="F405" s="120"/>
      <c r="G405" s="120"/>
      <c r="H405" s="121"/>
    </row>
    <row r="406" spans="1:8" x14ac:dyDescent="0.2">
      <c r="A406" s="119"/>
      <c r="B406" s="120"/>
      <c r="C406" s="120"/>
      <c r="D406" s="120"/>
      <c r="E406" s="120"/>
      <c r="F406" s="120"/>
      <c r="G406" s="120"/>
      <c r="H406" s="121"/>
    </row>
    <row r="407" spans="1:8" x14ac:dyDescent="0.2">
      <c r="A407" s="119"/>
      <c r="B407" s="120"/>
      <c r="C407" s="120"/>
      <c r="D407" s="120"/>
      <c r="E407" s="120"/>
      <c r="F407" s="120"/>
      <c r="G407" s="120"/>
      <c r="H407" s="121"/>
    </row>
    <row r="408" spans="1:8" x14ac:dyDescent="0.2">
      <c r="A408" s="119"/>
      <c r="B408" s="120"/>
      <c r="C408" s="120"/>
      <c r="D408" s="120"/>
      <c r="E408" s="120"/>
      <c r="F408" s="120"/>
      <c r="G408" s="120"/>
      <c r="H408" s="121"/>
    </row>
    <row r="409" spans="1:8" x14ac:dyDescent="0.2">
      <c r="A409" s="119"/>
      <c r="B409" s="120"/>
      <c r="C409" s="120"/>
      <c r="D409" s="120"/>
      <c r="E409" s="120"/>
      <c r="F409" s="120"/>
      <c r="G409" s="120"/>
      <c r="H409" s="121"/>
    </row>
    <row r="410" spans="1:8" x14ac:dyDescent="0.2">
      <c r="A410" s="119"/>
      <c r="B410" s="120"/>
      <c r="C410" s="120"/>
      <c r="D410" s="120"/>
      <c r="E410" s="120"/>
      <c r="F410" s="120"/>
      <c r="G410" s="120"/>
      <c r="H410" s="121"/>
    </row>
    <row r="411" spans="1:8" x14ac:dyDescent="0.2">
      <c r="A411" s="119"/>
      <c r="B411" s="120"/>
      <c r="C411" s="120"/>
      <c r="D411" s="120"/>
      <c r="E411" s="120"/>
      <c r="F411" s="120"/>
      <c r="G411" s="120"/>
      <c r="H411" s="121"/>
    </row>
    <row r="412" spans="1:8" x14ac:dyDescent="0.2">
      <c r="A412" s="119"/>
      <c r="B412" s="120"/>
      <c r="C412" s="120"/>
      <c r="D412" s="120"/>
      <c r="E412" s="120"/>
      <c r="F412" s="120"/>
      <c r="G412" s="120"/>
      <c r="H412" s="121"/>
    </row>
    <row r="413" spans="1:8" x14ac:dyDescent="0.2">
      <c r="A413" s="119"/>
      <c r="B413" s="120"/>
      <c r="C413" s="120"/>
      <c r="D413" s="120"/>
      <c r="E413" s="120"/>
      <c r="F413" s="120"/>
      <c r="G413" s="120"/>
      <c r="H413" s="121"/>
    </row>
    <row r="414" spans="1:8" x14ac:dyDescent="0.2">
      <c r="A414" s="119"/>
      <c r="B414" s="120"/>
      <c r="C414" s="120"/>
      <c r="D414" s="120"/>
      <c r="E414" s="120"/>
      <c r="F414" s="120"/>
      <c r="G414" s="120"/>
      <c r="H414" s="121"/>
    </row>
    <row r="415" spans="1:8" x14ac:dyDescent="0.2">
      <c r="A415" s="119"/>
      <c r="B415" s="120"/>
      <c r="C415" s="120"/>
      <c r="D415" s="120"/>
      <c r="E415" s="120"/>
      <c r="F415" s="120"/>
      <c r="G415" s="120"/>
      <c r="H415" s="121"/>
    </row>
    <row r="416" spans="1:8" x14ac:dyDescent="0.2">
      <c r="A416" s="119"/>
      <c r="B416" s="120"/>
      <c r="C416" s="120"/>
      <c r="D416" s="120"/>
      <c r="E416" s="120"/>
      <c r="F416" s="120"/>
      <c r="G416" s="120"/>
      <c r="H416" s="121"/>
    </row>
    <row r="417" spans="1:8" x14ac:dyDescent="0.2">
      <c r="A417" s="119"/>
      <c r="B417" s="120"/>
      <c r="C417" s="120"/>
      <c r="D417" s="120"/>
      <c r="E417" s="120"/>
      <c r="F417" s="120"/>
      <c r="G417" s="120"/>
      <c r="H417" s="121"/>
    </row>
    <row r="418" spans="1:8" x14ac:dyDescent="0.2">
      <c r="A418" s="119"/>
      <c r="B418" s="120"/>
      <c r="C418" s="120"/>
      <c r="D418" s="120"/>
      <c r="E418" s="120"/>
      <c r="F418" s="120"/>
      <c r="G418" s="120"/>
      <c r="H418" s="121"/>
    </row>
    <row r="419" spans="1:8" x14ac:dyDescent="0.2">
      <c r="A419" s="119"/>
      <c r="B419" s="120"/>
      <c r="C419" s="120"/>
      <c r="D419" s="120"/>
      <c r="E419" s="120"/>
      <c r="F419" s="120"/>
      <c r="G419" s="120"/>
      <c r="H419" s="121"/>
    </row>
    <row r="420" spans="1:8" x14ac:dyDescent="0.2">
      <c r="A420" s="119"/>
      <c r="B420" s="120"/>
      <c r="C420" s="120"/>
      <c r="D420" s="120"/>
      <c r="E420" s="120"/>
      <c r="F420" s="120"/>
      <c r="G420" s="120"/>
      <c r="H420" s="121"/>
    </row>
    <row r="421" spans="1:8" x14ac:dyDescent="0.2">
      <c r="A421" s="119"/>
      <c r="B421" s="120"/>
      <c r="C421" s="120"/>
      <c r="D421" s="120"/>
      <c r="E421" s="120"/>
      <c r="F421" s="120"/>
      <c r="G421" s="120"/>
      <c r="H421" s="121"/>
    </row>
    <row r="422" spans="1:8" x14ac:dyDescent="0.2">
      <c r="A422" s="119"/>
      <c r="B422" s="120"/>
      <c r="C422" s="120"/>
      <c r="D422" s="120"/>
      <c r="E422" s="120"/>
      <c r="F422" s="120"/>
      <c r="G422" s="120"/>
      <c r="H422" s="121"/>
    </row>
    <row r="423" spans="1:8" x14ac:dyDescent="0.2">
      <c r="A423" s="119"/>
      <c r="B423" s="120"/>
      <c r="C423" s="120"/>
      <c r="D423" s="120"/>
      <c r="E423" s="120"/>
      <c r="F423" s="120"/>
      <c r="G423" s="120"/>
      <c r="H423" s="121"/>
    </row>
    <row r="424" spans="1:8" x14ac:dyDescent="0.2">
      <c r="A424" s="119"/>
      <c r="B424" s="120"/>
      <c r="C424" s="120"/>
      <c r="D424" s="120"/>
      <c r="E424" s="120"/>
      <c r="F424" s="120"/>
      <c r="G424" s="120"/>
      <c r="H424" s="121"/>
    </row>
    <row r="425" spans="1:8" x14ac:dyDescent="0.2">
      <c r="A425" s="119"/>
      <c r="B425" s="120"/>
      <c r="C425" s="120"/>
      <c r="D425" s="120"/>
      <c r="E425" s="120"/>
      <c r="F425" s="120"/>
      <c r="G425" s="120"/>
      <c r="H425" s="121"/>
    </row>
    <row r="426" spans="1:8" x14ac:dyDescent="0.2">
      <c r="A426" s="119"/>
      <c r="B426" s="120"/>
      <c r="C426" s="120"/>
      <c r="D426" s="120"/>
      <c r="E426" s="120"/>
      <c r="F426" s="120"/>
      <c r="G426" s="120"/>
      <c r="H426" s="121"/>
    </row>
    <row r="427" spans="1:8" x14ac:dyDescent="0.2">
      <c r="A427" s="119"/>
      <c r="B427" s="120"/>
      <c r="C427" s="120"/>
      <c r="D427" s="120"/>
      <c r="E427" s="120"/>
      <c r="F427" s="120"/>
      <c r="G427" s="120"/>
      <c r="H427" s="121"/>
    </row>
    <row r="428" spans="1:8" x14ac:dyDescent="0.2">
      <c r="A428" s="119"/>
      <c r="B428" s="120"/>
      <c r="C428" s="120"/>
      <c r="D428" s="120"/>
      <c r="E428" s="120"/>
      <c r="F428" s="120"/>
      <c r="G428" s="120"/>
      <c r="H428" s="121"/>
    </row>
    <row r="429" spans="1:8" x14ac:dyDescent="0.2">
      <c r="A429" s="119"/>
      <c r="B429" s="120"/>
      <c r="C429" s="120"/>
      <c r="D429" s="120"/>
      <c r="E429" s="120"/>
      <c r="F429" s="120"/>
      <c r="G429" s="120"/>
      <c r="H429" s="121"/>
    </row>
    <row r="430" spans="1:8" x14ac:dyDescent="0.2">
      <c r="A430" s="119"/>
      <c r="B430" s="120"/>
      <c r="C430" s="120"/>
      <c r="D430" s="120"/>
      <c r="E430" s="120"/>
      <c r="F430" s="120"/>
      <c r="G430" s="120"/>
      <c r="H430" s="121"/>
    </row>
    <row r="431" spans="1:8" x14ac:dyDescent="0.2">
      <c r="A431" s="119"/>
      <c r="B431" s="120"/>
      <c r="C431" s="120"/>
      <c r="D431" s="120"/>
      <c r="E431" s="120"/>
      <c r="F431" s="120"/>
      <c r="G431" s="120"/>
      <c r="H431" s="121"/>
    </row>
    <row r="432" spans="1:8" x14ac:dyDescent="0.2">
      <c r="A432" s="119"/>
      <c r="B432" s="120"/>
      <c r="C432" s="120"/>
      <c r="D432" s="120"/>
      <c r="E432" s="120"/>
      <c r="F432" s="120"/>
      <c r="G432" s="120"/>
      <c r="H432" s="121"/>
    </row>
    <row r="433" spans="1:8" x14ac:dyDescent="0.2">
      <c r="A433" s="119"/>
      <c r="B433" s="120"/>
      <c r="C433" s="120"/>
      <c r="D433" s="120"/>
      <c r="E433" s="120"/>
      <c r="F433" s="120"/>
      <c r="G433" s="120"/>
      <c r="H433" s="121"/>
    </row>
    <row r="434" spans="1:8" x14ac:dyDescent="0.2">
      <c r="A434" s="119"/>
      <c r="B434" s="120"/>
      <c r="C434" s="120"/>
      <c r="D434" s="120"/>
      <c r="E434" s="120"/>
      <c r="F434" s="120"/>
      <c r="G434" s="120"/>
      <c r="H434" s="121"/>
    </row>
    <row r="435" spans="1:8" x14ac:dyDescent="0.2">
      <c r="A435" s="119"/>
      <c r="B435" s="120"/>
      <c r="C435" s="120"/>
      <c r="D435" s="120"/>
      <c r="E435" s="120"/>
      <c r="F435" s="120"/>
      <c r="G435" s="120"/>
      <c r="H435" s="121"/>
    </row>
    <row r="436" spans="1:8" x14ac:dyDescent="0.2">
      <c r="A436" s="119"/>
      <c r="B436" s="120"/>
      <c r="C436" s="120"/>
      <c r="D436" s="120"/>
      <c r="E436" s="120"/>
      <c r="F436" s="120"/>
      <c r="G436" s="120"/>
      <c r="H436" s="121"/>
    </row>
    <row r="437" spans="1:8" x14ac:dyDescent="0.2">
      <c r="A437" s="119"/>
      <c r="B437" s="120"/>
      <c r="C437" s="120"/>
      <c r="D437" s="120"/>
      <c r="E437" s="120"/>
      <c r="F437" s="120"/>
      <c r="G437" s="120"/>
      <c r="H437" s="121"/>
    </row>
    <row r="438" spans="1:8" x14ac:dyDescent="0.2">
      <c r="A438" s="119"/>
      <c r="B438" s="120"/>
      <c r="C438" s="120"/>
      <c r="D438" s="120"/>
      <c r="E438" s="120"/>
      <c r="F438" s="120"/>
      <c r="G438" s="120"/>
      <c r="H438" s="121"/>
    </row>
    <row r="439" spans="1:8" x14ac:dyDescent="0.2">
      <c r="A439" s="119"/>
      <c r="B439" s="120"/>
      <c r="C439" s="120"/>
      <c r="D439" s="120"/>
      <c r="E439" s="120"/>
      <c r="F439" s="120"/>
      <c r="G439" s="120"/>
      <c r="H439" s="121"/>
    </row>
    <row r="440" spans="1:8" x14ac:dyDescent="0.2">
      <c r="A440" s="119"/>
      <c r="B440" s="120"/>
      <c r="C440" s="120"/>
      <c r="D440" s="120"/>
      <c r="E440" s="120"/>
      <c r="F440" s="120"/>
      <c r="G440" s="120"/>
      <c r="H440" s="121"/>
    </row>
    <row r="441" spans="1:8" x14ac:dyDescent="0.2">
      <c r="A441" s="119"/>
      <c r="B441" s="120"/>
      <c r="C441" s="120"/>
      <c r="D441" s="120"/>
      <c r="E441" s="120"/>
      <c r="F441" s="120"/>
      <c r="G441" s="120"/>
      <c r="H441" s="121"/>
    </row>
    <row r="442" spans="1:8" x14ac:dyDescent="0.2">
      <c r="A442" s="119"/>
      <c r="B442" s="120"/>
      <c r="C442" s="120"/>
      <c r="D442" s="120"/>
      <c r="E442" s="120"/>
      <c r="F442" s="120"/>
      <c r="G442" s="120"/>
      <c r="H442" s="121"/>
    </row>
    <row r="443" spans="1:8" x14ac:dyDescent="0.2">
      <c r="A443" s="119"/>
      <c r="B443" s="120"/>
      <c r="C443" s="120"/>
      <c r="D443" s="120"/>
      <c r="E443" s="120"/>
      <c r="F443" s="120"/>
      <c r="G443" s="120"/>
      <c r="H443" s="121"/>
    </row>
    <row r="444" spans="1:8" x14ac:dyDescent="0.2">
      <c r="A444" s="119"/>
      <c r="B444" s="120"/>
      <c r="C444" s="120"/>
      <c r="D444" s="120"/>
      <c r="E444" s="120"/>
      <c r="F444" s="120"/>
      <c r="G444" s="120"/>
      <c r="H444" s="121"/>
    </row>
    <row r="445" spans="1:8" x14ac:dyDescent="0.2">
      <c r="A445" s="122"/>
      <c r="B445" s="123"/>
      <c r="C445" s="123"/>
      <c r="D445" s="123"/>
      <c r="E445" s="123"/>
      <c r="F445" s="123"/>
      <c r="G445" s="123"/>
      <c r="H445" s="124"/>
    </row>
    <row r="446" spans="1:8" x14ac:dyDescent="0.2">
      <c r="A446" s="238" t="s">
        <v>121</v>
      </c>
      <c r="B446" s="238"/>
      <c r="C446" s="238"/>
      <c r="D446" s="238"/>
      <c r="E446" s="238"/>
      <c r="F446" s="238"/>
      <c r="G446" s="238"/>
      <c r="H446" s="238"/>
    </row>
    <row r="447" spans="1:8" x14ac:dyDescent="0.2">
      <c r="A447" s="119"/>
      <c r="B447" s="120"/>
      <c r="C447" s="120"/>
      <c r="D447" s="120"/>
      <c r="E447" s="120"/>
      <c r="F447" s="120"/>
      <c r="G447" s="120"/>
      <c r="H447" s="121"/>
    </row>
    <row r="448" spans="1:8" x14ac:dyDescent="0.2">
      <c r="A448" s="119"/>
      <c r="B448" s="120"/>
      <c r="C448" s="120"/>
      <c r="D448" s="120"/>
      <c r="E448" s="120"/>
      <c r="F448" s="120"/>
      <c r="G448" s="120"/>
      <c r="H448" s="121"/>
    </row>
    <row r="449" spans="1:8" x14ac:dyDescent="0.2">
      <c r="A449" s="119"/>
      <c r="B449" s="120"/>
      <c r="C449" s="120"/>
      <c r="D449" s="120"/>
      <c r="E449" s="120"/>
      <c r="F449" s="120"/>
      <c r="G449" s="120"/>
      <c r="H449" s="121"/>
    </row>
    <row r="450" spans="1:8" x14ac:dyDescent="0.2">
      <c r="A450" s="119"/>
      <c r="B450" s="120"/>
      <c r="C450" s="120"/>
      <c r="D450" s="120"/>
      <c r="E450" s="120"/>
      <c r="F450" s="120"/>
      <c r="G450" s="120"/>
      <c r="H450" s="121"/>
    </row>
    <row r="451" spans="1:8" x14ac:dyDescent="0.2">
      <c r="A451" s="119"/>
      <c r="B451" s="120"/>
      <c r="C451" s="120"/>
      <c r="D451" s="120"/>
      <c r="E451" s="120"/>
      <c r="F451" s="120"/>
      <c r="G451" s="120"/>
      <c r="H451" s="121"/>
    </row>
    <row r="452" spans="1:8" x14ac:dyDescent="0.2">
      <c r="A452" s="119"/>
      <c r="B452" s="120"/>
      <c r="C452" s="120"/>
      <c r="D452" s="120"/>
      <c r="E452" s="120"/>
      <c r="F452" s="120"/>
      <c r="G452" s="120"/>
      <c r="H452" s="121"/>
    </row>
    <row r="453" spans="1:8" x14ac:dyDescent="0.2">
      <c r="A453" s="119"/>
      <c r="B453" s="120"/>
      <c r="C453" s="120"/>
      <c r="D453" s="120"/>
      <c r="E453" s="120"/>
      <c r="F453" s="120"/>
      <c r="G453" s="120"/>
      <c r="H453" s="121"/>
    </row>
    <row r="454" spans="1:8" x14ac:dyDescent="0.2">
      <c r="A454" s="119"/>
      <c r="B454" s="120"/>
      <c r="C454" s="120"/>
      <c r="D454" s="120"/>
      <c r="E454" s="120"/>
      <c r="F454" s="120"/>
      <c r="G454" s="120"/>
      <c r="H454" s="121"/>
    </row>
    <row r="455" spans="1:8" x14ac:dyDescent="0.2">
      <c r="A455" s="119"/>
      <c r="B455" s="120"/>
      <c r="C455" s="120"/>
      <c r="D455" s="120"/>
      <c r="E455" s="120"/>
      <c r="F455" s="120"/>
      <c r="G455" s="120"/>
      <c r="H455" s="121"/>
    </row>
    <row r="456" spans="1:8" x14ac:dyDescent="0.2">
      <c r="A456" s="119"/>
      <c r="B456" s="120"/>
      <c r="C456" s="120"/>
      <c r="D456" s="120"/>
      <c r="E456" s="120"/>
      <c r="F456" s="120"/>
      <c r="G456" s="120"/>
      <c r="H456" s="121"/>
    </row>
    <row r="457" spans="1:8" x14ac:dyDescent="0.2">
      <c r="A457" s="119"/>
      <c r="B457" s="120"/>
      <c r="C457" s="120"/>
      <c r="D457" s="120"/>
      <c r="E457" s="120"/>
      <c r="F457" s="120"/>
      <c r="G457" s="120"/>
      <c r="H457" s="121"/>
    </row>
    <row r="458" spans="1:8" x14ac:dyDescent="0.2">
      <c r="A458" s="119"/>
      <c r="B458" s="120"/>
      <c r="C458" s="120"/>
      <c r="D458" s="120"/>
      <c r="E458" s="120"/>
      <c r="F458" s="120"/>
      <c r="G458" s="120"/>
      <c r="H458" s="121"/>
    </row>
    <row r="459" spans="1:8" x14ac:dyDescent="0.2">
      <c r="A459" s="119"/>
      <c r="B459" s="120"/>
      <c r="C459" s="120"/>
      <c r="D459" s="120"/>
      <c r="E459" s="120"/>
      <c r="F459" s="120"/>
      <c r="G459" s="120"/>
      <c r="H459" s="121"/>
    </row>
    <row r="460" spans="1:8" x14ac:dyDescent="0.2">
      <c r="A460" s="119"/>
      <c r="B460" s="120"/>
      <c r="C460" s="120"/>
      <c r="D460" s="120"/>
      <c r="E460" s="120"/>
      <c r="F460" s="120"/>
      <c r="G460" s="120"/>
      <c r="H460" s="121"/>
    </row>
    <row r="461" spans="1:8" x14ac:dyDescent="0.2">
      <c r="A461" s="119"/>
      <c r="B461" s="120"/>
      <c r="C461" s="120"/>
      <c r="D461" s="120"/>
      <c r="E461" s="120"/>
      <c r="F461" s="120"/>
      <c r="G461" s="120"/>
      <c r="H461" s="121"/>
    </row>
    <row r="462" spans="1:8" x14ac:dyDescent="0.2">
      <c r="A462" s="119"/>
      <c r="B462" s="120"/>
      <c r="C462" s="120"/>
      <c r="D462" s="120"/>
      <c r="E462" s="120"/>
      <c r="F462" s="120"/>
      <c r="G462" s="120"/>
      <c r="H462" s="121"/>
    </row>
    <row r="463" spans="1:8" x14ac:dyDescent="0.2">
      <c r="A463" s="119"/>
      <c r="B463" s="120"/>
      <c r="C463" s="120"/>
      <c r="D463" s="120"/>
      <c r="E463" s="120"/>
      <c r="F463" s="120"/>
      <c r="G463" s="120"/>
      <c r="H463" s="121"/>
    </row>
    <row r="464" spans="1:8" x14ac:dyDescent="0.2">
      <c r="A464" s="119"/>
      <c r="B464" s="120"/>
      <c r="C464" s="120"/>
      <c r="D464" s="120"/>
      <c r="E464" s="120"/>
      <c r="F464" s="120"/>
      <c r="G464" s="120"/>
      <c r="H464" s="121"/>
    </row>
    <row r="465" spans="1:8" x14ac:dyDescent="0.2">
      <c r="A465" s="119"/>
      <c r="B465" s="120"/>
      <c r="C465" s="120"/>
      <c r="D465" s="120"/>
      <c r="E465" s="120"/>
      <c r="F465" s="120"/>
      <c r="G465" s="120"/>
      <c r="H465" s="121"/>
    </row>
    <row r="466" spans="1:8" x14ac:dyDescent="0.2">
      <c r="A466" s="119"/>
      <c r="B466" s="120"/>
      <c r="C466" s="120"/>
      <c r="D466" s="120"/>
      <c r="E466" s="120"/>
      <c r="F466" s="120"/>
      <c r="G466" s="120"/>
      <c r="H466" s="121"/>
    </row>
    <row r="467" spans="1:8" x14ac:dyDescent="0.2">
      <c r="A467" s="119"/>
      <c r="B467" s="120"/>
      <c r="C467" s="120"/>
      <c r="D467" s="120"/>
      <c r="E467" s="120"/>
      <c r="F467" s="120"/>
      <c r="G467" s="120"/>
      <c r="H467" s="121"/>
    </row>
    <row r="468" spans="1:8" x14ac:dyDescent="0.2">
      <c r="A468" s="119"/>
      <c r="B468" s="120"/>
      <c r="C468" s="120"/>
      <c r="D468" s="120"/>
      <c r="E468" s="120"/>
      <c r="F468" s="120"/>
      <c r="G468" s="120"/>
      <c r="H468" s="121"/>
    </row>
    <row r="469" spans="1:8" x14ac:dyDescent="0.2">
      <c r="A469" s="119"/>
      <c r="B469" s="120"/>
      <c r="C469" s="120"/>
      <c r="D469" s="120"/>
      <c r="E469" s="120"/>
      <c r="F469" s="120"/>
      <c r="G469" s="120"/>
      <c r="H469" s="121"/>
    </row>
    <row r="470" spans="1:8" x14ac:dyDescent="0.2">
      <c r="A470" s="119"/>
      <c r="B470" s="120"/>
      <c r="C470" s="120"/>
      <c r="D470" s="120"/>
      <c r="E470" s="120"/>
      <c r="F470" s="120"/>
      <c r="G470" s="120"/>
      <c r="H470" s="121"/>
    </row>
    <row r="471" spans="1:8" x14ac:dyDescent="0.2">
      <c r="A471" s="119"/>
      <c r="B471" s="120"/>
      <c r="C471" s="120"/>
      <c r="D471" s="120"/>
      <c r="E471" s="120"/>
      <c r="F471" s="120"/>
      <c r="G471" s="120"/>
      <c r="H471" s="121"/>
    </row>
    <row r="472" spans="1:8" x14ac:dyDescent="0.2">
      <c r="A472" s="119"/>
      <c r="B472" s="120"/>
      <c r="C472" s="120"/>
      <c r="D472" s="120"/>
      <c r="E472" s="120"/>
      <c r="F472" s="120"/>
      <c r="G472" s="120"/>
      <c r="H472" s="121"/>
    </row>
    <row r="473" spans="1:8" x14ac:dyDescent="0.2">
      <c r="A473" s="119"/>
      <c r="B473" s="120"/>
      <c r="C473" s="120"/>
      <c r="D473" s="120"/>
      <c r="E473" s="120"/>
      <c r="F473" s="120"/>
      <c r="G473" s="120"/>
      <c r="H473" s="121"/>
    </row>
    <row r="474" spans="1:8" x14ac:dyDescent="0.2">
      <c r="A474" s="119"/>
      <c r="B474" s="120"/>
      <c r="C474" s="120"/>
      <c r="D474" s="120"/>
      <c r="E474" s="120"/>
      <c r="F474" s="120"/>
      <c r="G474" s="120"/>
      <c r="H474" s="121"/>
    </row>
    <row r="475" spans="1:8" x14ac:dyDescent="0.2">
      <c r="A475" s="119"/>
      <c r="B475" s="120"/>
      <c r="C475" s="120"/>
      <c r="D475" s="120"/>
      <c r="E475" s="120"/>
      <c r="F475" s="120"/>
      <c r="G475" s="120"/>
      <c r="H475" s="121"/>
    </row>
    <row r="476" spans="1:8" x14ac:dyDescent="0.2">
      <c r="A476" s="119"/>
      <c r="B476" s="120"/>
      <c r="C476" s="120"/>
      <c r="D476" s="120"/>
      <c r="E476" s="120"/>
      <c r="F476" s="120"/>
      <c r="G476" s="120"/>
      <c r="H476" s="121"/>
    </row>
    <row r="477" spans="1:8" x14ac:dyDescent="0.2">
      <c r="A477" s="119"/>
      <c r="B477" s="120"/>
      <c r="C477" s="120"/>
      <c r="D477" s="120"/>
      <c r="E477" s="120"/>
      <c r="F477" s="120"/>
      <c r="G477" s="120"/>
      <c r="H477" s="121"/>
    </row>
    <row r="478" spans="1:8" x14ac:dyDescent="0.2">
      <c r="A478" s="119"/>
      <c r="B478" s="120"/>
      <c r="C478" s="120"/>
      <c r="D478" s="120"/>
      <c r="E478" s="120"/>
      <c r="F478" s="120"/>
      <c r="G478" s="120"/>
      <c r="H478" s="121"/>
    </row>
    <row r="479" spans="1:8" x14ac:dyDescent="0.2">
      <c r="A479" s="119"/>
      <c r="B479" s="120"/>
      <c r="C479" s="120"/>
      <c r="D479" s="120"/>
      <c r="E479" s="120"/>
      <c r="F479" s="120"/>
      <c r="G479" s="120"/>
      <c r="H479" s="121"/>
    </row>
    <row r="480" spans="1:8" x14ac:dyDescent="0.2">
      <c r="A480" s="119"/>
      <c r="B480" s="120"/>
      <c r="C480" s="120"/>
      <c r="D480" s="120"/>
      <c r="E480" s="120"/>
      <c r="F480" s="120"/>
      <c r="G480" s="120"/>
      <c r="H480" s="121"/>
    </row>
    <row r="481" spans="1:8" x14ac:dyDescent="0.2">
      <c r="A481" s="119"/>
      <c r="B481" s="120"/>
      <c r="C481" s="120"/>
      <c r="D481" s="120"/>
      <c r="E481" s="120"/>
      <c r="F481" s="120"/>
      <c r="G481" s="120"/>
      <c r="H481" s="121"/>
    </row>
    <row r="482" spans="1:8" x14ac:dyDescent="0.2">
      <c r="A482" s="119"/>
      <c r="B482" s="120"/>
      <c r="C482" s="120"/>
      <c r="D482" s="120"/>
      <c r="E482" s="120"/>
      <c r="F482" s="120"/>
      <c r="G482" s="120"/>
      <c r="H482" s="121"/>
    </row>
    <row r="483" spans="1:8" x14ac:dyDescent="0.2">
      <c r="A483" s="119"/>
      <c r="B483" s="120"/>
      <c r="C483" s="120"/>
      <c r="D483" s="120"/>
      <c r="E483" s="120"/>
      <c r="F483" s="120"/>
      <c r="G483" s="120"/>
      <c r="H483" s="121"/>
    </row>
    <row r="484" spans="1:8" x14ac:dyDescent="0.2">
      <c r="A484" s="119"/>
      <c r="B484" s="120"/>
      <c r="C484" s="120"/>
      <c r="D484" s="120"/>
      <c r="E484" s="120"/>
      <c r="F484" s="120"/>
      <c r="G484" s="120"/>
      <c r="H484" s="121"/>
    </row>
    <row r="485" spans="1:8" x14ac:dyDescent="0.2">
      <c r="A485" s="119"/>
      <c r="B485" s="120"/>
      <c r="C485" s="120"/>
      <c r="D485" s="120"/>
      <c r="E485" s="120"/>
      <c r="F485" s="120"/>
      <c r="G485" s="120"/>
      <c r="H485" s="121"/>
    </row>
    <row r="486" spans="1:8" x14ac:dyDescent="0.2">
      <c r="A486" s="119"/>
      <c r="B486" s="120"/>
      <c r="C486" s="120"/>
      <c r="D486" s="120"/>
      <c r="E486" s="120"/>
      <c r="F486" s="120"/>
      <c r="G486" s="120"/>
      <c r="H486" s="121"/>
    </row>
    <row r="487" spans="1:8" x14ac:dyDescent="0.2">
      <c r="A487" s="119"/>
      <c r="B487" s="120"/>
      <c r="C487" s="120"/>
      <c r="D487" s="120"/>
      <c r="E487" s="120"/>
      <c r="F487" s="120"/>
      <c r="G487" s="120"/>
      <c r="H487" s="121"/>
    </row>
    <row r="488" spans="1:8" x14ac:dyDescent="0.2">
      <c r="A488" s="119"/>
      <c r="B488" s="120"/>
      <c r="C488" s="120"/>
      <c r="D488" s="120"/>
      <c r="E488" s="120"/>
      <c r="F488" s="120"/>
      <c r="G488" s="120"/>
      <c r="H488" s="121"/>
    </row>
    <row r="489" spans="1:8" x14ac:dyDescent="0.2">
      <c r="A489" s="119"/>
      <c r="B489" s="120"/>
      <c r="C489" s="120"/>
      <c r="D489" s="120"/>
      <c r="E489" s="120"/>
      <c r="F489" s="120"/>
      <c r="G489" s="120"/>
      <c r="H489" s="121"/>
    </row>
    <row r="490" spans="1:8" x14ac:dyDescent="0.2">
      <c r="A490" s="119"/>
      <c r="B490" s="120"/>
      <c r="C490" s="120"/>
      <c r="D490" s="120"/>
      <c r="E490" s="120"/>
      <c r="F490" s="120"/>
      <c r="G490" s="120"/>
      <c r="H490" s="121"/>
    </row>
    <row r="491" spans="1:8" x14ac:dyDescent="0.2">
      <c r="A491" s="119"/>
      <c r="B491" s="120"/>
      <c r="C491" s="120"/>
      <c r="D491" s="120"/>
      <c r="E491" s="120"/>
      <c r="F491" s="120"/>
      <c r="G491" s="120"/>
      <c r="H491" s="121"/>
    </row>
    <row r="492" spans="1:8" x14ac:dyDescent="0.2">
      <c r="A492" s="119"/>
      <c r="B492" s="120"/>
      <c r="C492" s="120"/>
      <c r="D492" s="120"/>
      <c r="E492" s="120"/>
      <c r="F492" s="120"/>
      <c r="G492" s="120"/>
      <c r="H492" s="121"/>
    </row>
    <row r="493" spans="1:8" x14ac:dyDescent="0.2">
      <c r="A493" s="119"/>
      <c r="B493" s="120"/>
      <c r="C493" s="120"/>
      <c r="D493" s="120"/>
      <c r="E493" s="120"/>
      <c r="F493" s="120"/>
      <c r="G493" s="120"/>
      <c r="H493" s="121"/>
    </row>
    <row r="494" spans="1:8" x14ac:dyDescent="0.2">
      <c r="A494" s="119"/>
      <c r="B494" s="120"/>
      <c r="C494" s="120"/>
      <c r="D494" s="120"/>
      <c r="E494" s="120"/>
      <c r="F494" s="120"/>
      <c r="G494" s="120"/>
      <c r="H494" s="121"/>
    </row>
    <row r="495" spans="1:8" ht="22.5" customHeight="1" x14ac:dyDescent="0.2">
      <c r="A495" s="119"/>
      <c r="B495" s="120"/>
      <c r="C495" s="120"/>
      <c r="D495" s="120"/>
      <c r="E495" s="120"/>
      <c r="F495" s="120"/>
      <c r="G495" s="120"/>
      <c r="H495" s="121"/>
    </row>
    <row r="496" spans="1:8" ht="45.75" customHeight="1" x14ac:dyDescent="0.2">
      <c r="A496" s="112" t="s">
        <v>119</v>
      </c>
      <c r="B496" s="113"/>
      <c r="C496" s="114" t="s">
        <v>302</v>
      </c>
      <c r="D496" s="115"/>
      <c r="E496" s="128" t="s">
        <v>293</v>
      </c>
      <c r="F496" s="128"/>
      <c r="G496" s="207"/>
      <c r="H496" s="207"/>
    </row>
  </sheetData>
  <mergeCells count="678">
    <mergeCell ref="A477:H477"/>
    <mergeCell ref="A478:H478"/>
    <mergeCell ref="A479:H479"/>
    <mergeCell ref="A480:H480"/>
    <mergeCell ref="A481:H481"/>
    <mergeCell ref="A482:H482"/>
    <mergeCell ref="A483:H483"/>
    <mergeCell ref="A484:H484"/>
    <mergeCell ref="A485:H485"/>
    <mergeCell ref="A495:H495"/>
    <mergeCell ref="A486:H486"/>
    <mergeCell ref="A487:H487"/>
    <mergeCell ref="A488:H488"/>
    <mergeCell ref="A489:H489"/>
    <mergeCell ref="A490:H490"/>
    <mergeCell ref="A491:H491"/>
    <mergeCell ref="A492:H492"/>
    <mergeCell ref="A493:H493"/>
    <mergeCell ref="A494:H494"/>
    <mergeCell ref="A470:H470"/>
    <mergeCell ref="A471:H471"/>
    <mergeCell ref="A472:H472"/>
    <mergeCell ref="A473:H473"/>
    <mergeCell ref="A474:H474"/>
    <mergeCell ref="A475:H475"/>
    <mergeCell ref="A476:H476"/>
    <mergeCell ref="A459:H459"/>
    <mergeCell ref="A460:H460"/>
    <mergeCell ref="A461:H461"/>
    <mergeCell ref="A462:H462"/>
    <mergeCell ref="A463:H463"/>
    <mergeCell ref="A464:H464"/>
    <mergeCell ref="A465:H465"/>
    <mergeCell ref="A466:H466"/>
    <mergeCell ref="A467:H467"/>
    <mergeCell ref="A468:H468"/>
    <mergeCell ref="A469:H469"/>
    <mergeCell ref="A450:H450"/>
    <mergeCell ref="A451:H451"/>
    <mergeCell ref="A452:H452"/>
    <mergeCell ref="A453:H453"/>
    <mergeCell ref="A454:H454"/>
    <mergeCell ref="A455:H455"/>
    <mergeCell ref="A456:H456"/>
    <mergeCell ref="A457:H457"/>
    <mergeCell ref="A458:H458"/>
    <mergeCell ref="A446:H446"/>
    <mergeCell ref="A447:H447"/>
    <mergeCell ref="A448:H448"/>
    <mergeCell ref="A449:H449"/>
    <mergeCell ref="A390:H390"/>
    <mergeCell ref="A391:H391"/>
    <mergeCell ref="A381:H381"/>
    <mergeCell ref="A382:H382"/>
    <mergeCell ref="A383:H383"/>
    <mergeCell ref="A384:H384"/>
    <mergeCell ref="A385:H385"/>
    <mergeCell ref="A386:H386"/>
    <mergeCell ref="A387:H387"/>
    <mergeCell ref="A388:H388"/>
    <mergeCell ref="A389:H389"/>
    <mergeCell ref="A404:H404"/>
    <mergeCell ref="A405:H405"/>
    <mergeCell ref="A406:H406"/>
    <mergeCell ref="A407:H407"/>
    <mergeCell ref="A408:H408"/>
    <mergeCell ref="A409:H409"/>
    <mergeCell ref="A410:H410"/>
    <mergeCell ref="A411:H411"/>
    <mergeCell ref="A430:H430"/>
    <mergeCell ref="A372:H372"/>
    <mergeCell ref="A373:H373"/>
    <mergeCell ref="A374:H374"/>
    <mergeCell ref="A375:H375"/>
    <mergeCell ref="A376:H376"/>
    <mergeCell ref="A377:H377"/>
    <mergeCell ref="A378:H378"/>
    <mergeCell ref="A379:H379"/>
    <mergeCell ref="A380:H380"/>
    <mergeCell ref="A363:H363"/>
    <mergeCell ref="A364:H364"/>
    <mergeCell ref="A365:H365"/>
    <mergeCell ref="A366:H366"/>
    <mergeCell ref="A367:H367"/>
    <mergeCell ref="A368:H368"/>
    <mergeCell ref="A369:H369"/>
    <mergeCell ref="A370:H370"/>
    <mergeCell ref="A371:H371"/>
    <mergeCell ref="A354:H354"/>
    <mergeCell ref="A355:H355"/>
    <mergeCell ref="A356:H356"/>
    <mergeCell ref="A357:H357"/>
    <mergeCell ref="A358:H358"/>
    <mergeCell ref="A359:H359"/>
    <mergeCell ref="A360:H360"/>
    <mergeCell ref="A361:H361"/>
    <mergeCell ref="A362:H362"/>
    <mergeCell ref="A345:H345"/>
    <mergeCell ref="A346:H346"/>
    <mergeCell ref="A347:H347"/>
    <mergeCell ref="A348:H348"/>
    <mergeCell ref="A349:H349"/>
    <mergeCell ref="A350:H350"/>
    <mergeCell ref="A351:H351"/>
    <mergeCell ref="A352:H352"/>
    <mergeCell ref="A353:H353"/>
    <mergeCell ref="A340:H340"/>
    <mergeCell ref="A341:H341"/>
    <mergeCell ref="A342:H342"/>
    <mergeCell ref="A343:H343"/>
    <mergeCell ref="A344:H344"/>
    <mergeCell ref="A325:H325"/>
    <mergeCell ref="B327:H327"/>
    <mergeCell ref="B328:H328"/>
    <mergeCell ref="B329:H329"/>
    <mergeCell ref="B330:H330"/>
    <mergeCell ref="B332:H332"/>
    <mergeCell ref="B333:H333"/>
    <mergeCell ref="B335:H335"/>
    <mergeCell ref="B336:H336"/>
    <mergeCell ref="A338:B338"/>
    <mergeCell ref="B331:E331"/>
    <mergeCell ref="B337:H337"/>
    <mergeCell ref="B334:H334"/>
    <mergeCell ref="G129:H129"/>
    <mergeCell ref="E130:F130"/>
    <mergeCell ref="G130:H130"/>
    <mergeCell ref="E131:F131"/>
    <mergeCell ref="G131:H131"/>
    <mergeCell ref="A62:B62"/>
    <mergeCell ref="A63:B63"/>
    <mergeCell ref="C338:H338"/>
    <mergeCell ref="E119:F119"/>
    <mergeCell ref="E120:F120"/>
    <mergeCell ref="E121:F121"/>
    <mergeCell ref="G122:H122"/>
    <mergeCell ref="G123:H123"/>
    <mergeCell ref="E122:F122"/>
    <mergeCell ref="A125:B125"/>
    <mergeCell ref="A126:B126"/>
    <mergeCell ref="A127:B127"/>
    <mergeCell ref="C63:D63"/>
    <mergeCell ref="C64:D64"/>
    <mergeCell ref="C65:D65"/>
    <mergeCell ref="C66:D66"/>
    <mergeCell ref="C67:D67"/>
    <mergeCell ref="C68:D68"/>
    <mergeCell ref="E117:F117"/>
    <mergeCell ref="C27:E27"/>
    <mergeCell ref="A54:H54"/>
    <mergeCell ref="C47:H47"/>
    <mergeCell ref="E49:H49"/>
    <mergeCell ref="E50:H50"/>
    <mergeCell ref="G41:H41"/>
    <mergeCell ref="C37:H37"/>
    <mergeCell ref="C28:E28"/>
    <mergeCell ref="E36:F36"/>
    <mergeCell ref="G27:H27"/>
    <mergeCell ref="G28:H28"/>
    <mergeCell ref="C35:H35"/>
    <mergeCell ref="G36:H36"/>
    <mergeCell ref="A39:H39"/>
    <mergeCell ref="C40:F40"/>
    <mergeCell ref="G40:H40"/>
    <mergeCell ref="C41:F41"/>
    <mergeCell ref="C44:F44"/>
    <mergeCell ref="G44:H44"/>
    <mergeCell ref="C38:H38"/>
    <mergeCell ref="G42:H42"/>
    <mergeCell ref="E51:H51"/>
    <mergeCell ref="C34:D34"/>
    <mergeCell ref="C36:D36"/>
    <mergeCell ref="A1:H1"/>
    <mergeCell ref="C23:H23"/>
    <mergeCell ref="C22:H22"/>
    <mergeCell ref="C26:H26"/>
    <mergeCell ref="C17:H17"/>
    <mergeCell ref="C16:H16"/>
    <mergeCell ref="C25:H25"/>
    <mergeCell ref="C10:H10"/>
    <mergeCell ref="A6:H6"/>
    <mergeCell ref="C20:H20"/>
    <mergeCell ref="C21:H21"/>
    <mergeCell ref="C24:H24"/>
    <mergeCell ref="A2:H2"/>
    <mergeCell ref="C7:H7"/>
    <mergeCell ref="C8:H8"/>
    <mergeCell ref="C19:H19"/>
    <mergeCell ref="C9:H9"/>
    <mergeCell ref="C13:H13"/>
    <mergeCell ref="C14:H14"/>
    <mergeCell ref="C15:H15"/>
    <mergeCell ref="C18:E18"/>
    <mergeCell ref="C11:H11"/>
    <mergeCell ref="C12:H12"/>
    <mergeCell ref="A5:B5"/>
    <mergeCell ref="E496:F496"/>
    <mergeCell ref="G496:H496"/>
    <mergeCell ref="C113:H113"/>
    <mergeCell ref="A114:H114"/>
    <mergeCell ref="E115:F115"/>
    <mergeCell ref="E116:F116"/>
    <mergeCell ref="E123:F123"/>
    <mergeCell ref="A136:H136"/>
    <mergeCell ref="A395:H395"/>
    <mergeCell ref="A396:H396"/>
    <mergeCell ref="A397:H397"/>
    <mergeCell ref="A398:H398"/>
    <mergeCell ref="A399:H399"/>
    <mergeCell ref="A400:H400"/>
    <mergeCell ref="A401:H401"/>
    <mergeCell ref="A402:H402"/>
    <mergeCell ref="A403:H403"/>
    <mergeCell ref="A319:H319"/>
    <mergeCell ref="A418:H418"/>
    <mergeCell ref="A419:H419"/>
    <mergeCell ref="A320:E320"/>
    <mergeCell ref="A140:H140"/>
    <mergeCell ref="A280:H280"/>
    <mergeCell ref="A293:H293"/>
    <mergeCell ref="E125:F125"/>
    <mergeCell ref="G125:H125"/>
    <mergeCell ref="E126:F126"/>
    <mergeCell ref="G126:H126"/>
    <mergeCell ref="E127:F127"/>
    <mergeCell ref="G127:H127"/>
    <mergeCell ref="A128:H128"/>
    <mergeCell ref="A64:B64"/>
    <mergeCell ref="A65:B65"/>
    <mergeCell ref="A120:B120"/>
    <mergeCell ref="A121:B121"/>
    <mergeCell ref="A122:B122"/>
    <mergeCell ref="A123:B123"/>
    <mergeCell ref="C69:D69"/>
    <mergeCell ref="C70:D70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A431:H431"/>
    <mergeCell ref="A432:H432"/>
    <mergeCell ref="A433:H433"/>
    <mergeCell ref="A434:H434"/>
    <mergeCell ref="A435:H435"/>
    <mergeCell ref="A436:H436"/>
    <mergeCell ref="A437:H437"/>
    <mergeCell ref="A438:H438"/>
    <mergeCell ref="A426:H426"/>
    <mergeCell ref="A427:H427"/>
    <mergeCell ref="A428:H428"/>
    <mergeCell ref="A429:H429"/>
    <mergeCell ref="A15:B15"/>
    <mergeCell ref="E134:F134"/>
    <mergeCell ref="G134:H134"/>
    <mergeCell ref="E135:F135"/>
    <mergeCell ref="G135:H135"/>
    <mergeCell ref="C29:H29"/>
    <mergeCell ref="C30:H30"/>
    <mergeCell ref="A37:B37"/>
    <mergeCell ref="A38:B38"/>
    <mergeCell ref="A40:B45"/>
    <mergeCell ref="A46:B46"/>
    <mergeCell ref="A47:B47"/>
    <mergeCell ref="A48:B48"/>
    <mergeCell ref="A49:B51"/>
    <mergeCell ref="A53:B53"/>
    <mergeCell ref="A55:B55"/>
    <mergeCell ref="A60:B60"/>
    <mergeCell ref="C43:F43"/>
    <mergeCell ref="G43:H43"/>
    <mergeCell ref="C45:F45"/>
    <mergeCell ref="G45:H45"/>
    <mergeCell ref="G60:H60"/>
    <mergeCell ref="G61:H70"/>
    <mergeCell ref="E118:F118"/>
    <mergeCell ref="F18:H18"/>
    <mergeCell ref="A124:H124"/>
    <mergeCell ref="A35:B35"/>
    <mergeCell ref="A36:B3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6:B66"/>
    <mergeCell ref="A67:B67"/>
    <mergeCell ref="A68:B68"/>
    <mergeCell ref="A69:B69"/>
    <mergeCell ref="A70:B70"/>
    <mergeCell ref="A113:B113"/>
    <mergeCell ref="A115:B115"/>
    <mergeCell ref="A116:B116"/>
    <mergeCell ref="A117:B117"/>
    <mergeCell ref="A118:B118"/>
    <mergeCell ref="A119:B119"/>
    <mergeCell ref="C3:E3"/>
    <mergeCell ref="C4:E4"/>
    <mergeCell ref="C5:E5"/>
    <mergeCell ref="G3:H3"/>
    <mergeCell ref="G4:H4"/>
    <mergeCell ref="G5:H5"/>
    <mergeCell ref="C31:D31"/>
    <mergeCell ref="C32:D32"/>
    <mergeCell ref="A25:B25"/>
    <mergeCell ref="A26:B26"/>
    <mergeCell ref="A27:B27"/>
    <mergeCell ref="A28:B28"/>
    <mergeCell ref="A29:B29"/>
    <mergeCell ref="A30:B30"/>
    <mergeCell ref="A31:B34"/>
    <mergeCell ref="A7:B7"/>
    <mergeCell ref="A8:B8"/>
    <mergeCell ref="A9:B9"/>
    <mergeCell ref="A10:B10"/>
    <mergeCell ref="A11:B11"/>
    <mergeCell ref="A12:B12"/>
    <mergeCell ref="A13:B13"/>
    <mergeCell ref="A14:B14"/>
    <mergeCell ref="C33:D33"/>
    <mergeCell ref="C49:D49"/>
    <mergeCell ref="C50:D50"/>
    <mergeCell ref="C51:D51"/>
    <mergeCell ref="C60:D60"/>
    <mergeCell ref="C61:D61"/>
    <mergeCell ref="C62:D62"/>
    <mergeCell ref="C42:F42"/>
    <mergeCell ref="E55:F55"/>
    <mergeCell ref="A56:H56"/>
    <mergeCell ref="G55:H55"/>
    <mergeCell ref="C55:D55"/>
    <mergeCell ref="C46:F46"/>
    <mergeCell ref="C48:F48"/>
    <mergeCell ref="C53:F53"/>
    <mergeCell ref="C59:H59"/>
    <mergeCell ref="A61:B61"/>
    <mergeCell ref="A52:B52"/>
    <mergeCell ref="C52:F52"/>
    <mergeCell ref="A57:D58"/>
    <mergeCell ref="C125:D125"/>
    <mergeCell ref="C126:D126"/>
    <mergeCell ref="C127:D127"/>
    <mergeCell ref="C129:D129"/>
    <mergeCell ref="C130:D130"/>
    <mergeCell ref="C131:D131"/>
    <mergeCell ref="C134:D134"/>
    <mergeCell ref="C135:D135"/>
    <mergeCell ref="D138:D139"/>
    <mergeCell ref="C132:D132"/>
    <mergeCell ref="A155:A156"/>
    <mergeCell ref="C155:C156"/>
    <mergeCell ref="D155:D156"/>
    <mergeCell ref="A129:B129"/>
    <mergeCell ref="A130:B130"/>
    <mergeCell ref="A131:B131"/>
    <mergeCell ref="A134:B134"/>
    <mergeCell ref="A135:B135"/>
    <mergeCell ref="A141:H141"/>
    <mergeCell ref="A142:B142"/>
    <mergeCell ref="A143:B143"/>
    <mergeCell ref="A144:B144"/>
    <mergeCell ref="A147:B147"/>
    <mergeCell ref="A148:B148"/>
    <mergeCell ref="A149:B149"/>
    <mergeCell ref="A150:B150"/>
    <mergeCell ref="A145:B145"/>
    <mergeCell ref="A146:B146"/>
    <mergeCell ref="A138:A139"/>
    <mergeCell ref="C138:C139"/>
    <mergeCell ref="E138:E139"/>
    <mergeCell ref="F138:F139"/>
    <mergeCell ref="E129:F129"/>
    <mergeCell ref="A132:B132"/>
    <mergeCell ref="A276:B276"/>
    <mergeCell ref="A277:B277"/>
    <mergeCell ref="A278:B278"/>
    <mergeCell ref="A279:B279"/>
    <mergeCell ref="A154:H154"/>
    <mergeCell ref="A137:H137"/>
    <mergeCell ref="B138:B139"/>
    <mergeCell ref="B155:B156"/>
    <mergeCell ref="A281:B281"/>
    <mergeCell ref="A267:H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151:B151"/>
    <mergeCell ref="A152:B152"/>
    <mergeCell ref="A153:B153"/>
    <mergeCell ref="E155:E156"/>
    <mergeCell ref="F155:F156"/>
    <mergeCell ref="A157:H157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321:E321"/>
    <mergeCell ref="F321:H321"/>
    <mergeCell ref="A339:H339"/>
    <mergeCell ref="A291:B291"/>
    <mergeCell ref="A292:B292"/>
    <mergeCell ref="A294:B294"/>
    <mergeCell ref="A295:B295"/>
    <mergeCell ref="A296:B296"/>
    <mergeCell ref="A297:B297"/>
    <mergeCell ref="A298:B298"/>
    <mergeCell ref="A299:B299"/>
    <mergeCell ref="A300:B300"/>
    <mergeCell ref="F320:H320"/>
    <mergeCell ref="A306:H306"/>
    <mergeCell ref="A301:B301"/>
    <mergeCell ref="A302:B302"/>
    <mergeCell ref="A303:B303"/>
    <mergeCell ref="A304:B304"/>
    <mergeCell ref="A305:B305"/>
    <mergeCell ref="A307:B307"/>
    <mergeCell ref="A308:B308"/>
    <mergeCell ref="A309:B309"/>
    <mergeCell ref="A310:B310"/>
    <mergeCell ref="A322:E322"/>
    <mergeCell ref="A412:H412"/>
    <mergeCell ref="A413:H413"/>
    <mergeCell ref="A414:H414"/>
    <mergeCell ref="A415:H415"/>
    <mergeCell ref="A416:H416"/>
    <mergeCell ref="A417:H417"/>
    <mergeCell ref="A420:H420"/>
    <mergeCell ref="C392:H392"/>
    <mergeCell ref="A393:H393"/>
    <mergeCell ref="A394:H394"/>
    <mergeCell ref="A496:B496"/>
    <mergeCell ref="C496:D496"/>
    <mergeCell ref="A392:B392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B326:H326"/>
    <mergeCell ref="A439:H439"/>
    <mergeCell ref="A440:H440"/>
    <mergeCell ref="A441:H441"/>
    <mergeCell ref="A442:H442"/>
    <mergeCell ref="A443:H443"/>
    <mergeCell ref="A444:H444"/>
    <mergeCell ref="A445:H445"/>
    <mergeCell ref="A421:H421"/>
    <mergeCell ref="A422:H422"/>
    <mergeCell ref="A423:H423"/>
    <mergeCell ref="A424:H424"/>
    <mergeCell ref="A425:H425"/>
    <mergeCell ref="A71:D72"/>
    <mergeCell ref="C73:H73"/>
    <mergeCell ref="A74:B74"/>
    <mergeCell ref="C74:D74"/>
    <mergeCell ref="G74:H74"/>
    <mergeCell ref="A75:B75"/>
    <mergeCell ref="C75:D75"/>
    <mergeCell ref="G75:H84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D86"/>
    <mergeCell ref="C87:H87"/>
    <mergeCell ref="A88:B88"/>
    <mergeCell ref="C88:D88"/>
    <mergeCell ref="G88:H88"/>
    <mergeCell ref="A89:B89"/>
    <mergeCell ref="C89:D89"/>
    <mergeCell ref="G89:H98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D100"/>
    <mergeCell ref="C101:H101"/>
    <mergeCell ref="A102:B102"/>
    <mergeCell ref="C102:D102"/>
    <mergeCell ref="G102:H102"/>
    <mergeCell ref="A103:B103"/>
    <mergeCell ref="C103:D103"/>
    <mergeCell ref="G103:H112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58:H158"/>
    <mergeCell ref="A159:H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C164:H167"/>
    <mergeCell ref="A258:H258"/>
    <mergeCell ref="A259:B259"/>
    <mergeCell ref="A260:B260"/>
    <mergeCell ref="A261:B261"/>
    <mergeCell ref="A262:B262"/>
    <mergeCell ref="A263:B263"/>
    <mergeCell ref="A264:B264"/>
    <mergeCell ref="A196:B196"/>
    <mergeCell ref="A197:B197"/>
    <mergeCell ref="A198:B198"/>
    <mergeCell ref="A199:B199"/>
    <mergeCell ref="A200:B200"/>
    <mergeCell ref="A201:B201"/>
    <mergeCell ref="A188:H188"/>
    <mergeCell ref="A189:B189"/>
    <mergeCell ref="A190:B190"/>
    <mergeCell ref="A191:B191"/>
    <mergeCell ref="A192:B192"/>
    <mergeCell ref="A193:B193"/>
    <mergeCell ref="A194:B194"/>
    <mergeCell ref="C190:H190"/>
    <mergeCell ref="A202:H202"/>
    <mergeCell ref="A265:B265"/>
    <mergeCell ref="A266:B266"/>
    <mergeCell ref="A168:H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H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C180:H180"/>
    <mergeCell ref="A187:H187"/>
    <mergeCell ref="A186:H186"/>
    <mergeCell ref="A195:H195"/>
    <mergeCell ref="A203:B203"/>
    <mergeCell ref="A204:B204"/>
    <mergeCell ref="A205:B205"/>
    <mergeCell ref="A206:B206"/>
    <mergeCell ref="A207:B207"/>
    <mergeCell ref="A208:B208"/>
    <mergeCell ref="C205:H205"/>
    <mergeCell ref="A209:H209"/>
    <mergeCell ref="A210:H210"/>
    <mergeCell ref="A225:H225"/>
    <mergeCell ref="A226:B226"/>
    <mergeCell ref="A227:B227"/>
    <mergeCell ref="A228:B228"/>
    <mergeCell ref="A229:B229"/>
    <mergeCell ref="A230:B230"/>
    <mergeCell ref="A231:B231"/>
    <mergeCell ref="A218:H218"/>
    <mergeCell ref="A219:B219"/>
    <mergeCell ref="A220:B220"/>
    <mergeCell ref="A221:B221"/>
    <mergeCell ref="A222:B222"/>
    <mergeCell ref="A223:B223"/>
    <mergeCell ref="A224:B224"/>
    <mergeCell ref="C231:H231"/>
    <mergeCell ref="A211:H211"/>
    <mergeCell ref="A212:B212"/>
    <mergeCell ref="A213:B213"/>
    <mergeCell ref="A214:B214"/>
    <mergeCell ref="A215:B215"/>
    <mergeCell ref="A216:B216"/>
    <mergeCell ref="A217:B217"/>
    <mergeCell ref="C212:H212"/>
    <mergeCell ref="C213:H213"/>
    <mergeCell ref="A251:B251"/>
    <mergeCell ref="A252:B252"/>
    <mergeCell ref="A253:B253"/>
    <mergeCell ref="A254:B254"/>
    <mergeCell ref="A255:B255"/>
    <mergeCell ref="A256:B256"/>
    <mergeCell ref="A234:H234"/>
    <mergeCell ref="A235:B235"/>
    <mergeCell ref="A236:B236"/>
    <mergeCell ref="A237:B237"/>
    <mergeCell ref="A238:B238"/>
    <mergeCell ref="A239:B239"/>
    <mergeCell ref="A240:B240"/>
    <mergeCell ref="A241:B241"/>
    <mergeCell ref="F322:H322"/>
    <mergeCell ref="A324:E324"/>
    <mergeCell ref="F324:H324"/>
    <mergeCell ref="A323:E323"/>
    <mergeCell ref="F323:H323"/>
    <mergeCell ref="E132:F132"/>
    <mergeCell ref="G132:H132"/>
    <mergeCell ref="A133:B133"/>
    <mergeCell ref="C133:D133"/>
    <mergeCell ref="E133:F133"/>
    <mergeCell ref="G133:H133"/>
    <mergeCell ref="A257:B257"/>
    <mergeCell ref="A242:H242"/>
    <mergeCell ref="A243:B243"/>
    <mergeCell ref="A244:B244"/>
    <mergeCell ref="A245:B245"/>
    <mergeCell ref="A246:B246"/>
    <mergeCell ref="A247:B247"/>
    <mergeCell ref="A248:B248"/>
    <mergeCell ref="A249:B249"/>
    <mergeCell ref="C256:H256"/>
    <mergeCell ref="A232:H232"/>
    <mergeCell ref="A233:H233"/>
    <mergeCell ref="A250:H250"/>
  </mergeCells>
  <dataValidations count="6">
    <dataValidation type="list" allowBlank="1" showInputMessage="1" showErrorMessage="1" sqref="A9:B9">
      <formula1>"CTS No,Survey No,Plot No,Gut No,FP No,"</formula1>
    </dataValidation>
    <dataValidation type="list" allowBlank="1" showInputMessage="1" showErrorMessage="1" sqref="B155">
      <formula1>"Flat No. (Sale Plan),Sale / Rehab,Sale / Mhada"</formula1>
    </dataValidation>
    <dataValidation type="list" allowBlank="1" showInputMessage="1" showErrorMessage="1" sqref="D138 D155">
      <formula1>"Carpet area,RERA Carpet area"</formula1>
    </dataValidation>
    <dataValidation type="list" allowBlank="1" showInputMessage="1" showErrorMessage="1" sqref="E155:E156">
      <formula1>"FB Area + DB Area + AP Area,Balcony Area,Chajja Area,Cornice Area,AP Area,WS Area"</formula1>
    </dataValidation>
    <dataValidation type="list" allowBlank="1" showInputMessage="1" showErrorMessage="1" sqref="E138:E139">
      <formula1>"Attached Loft area,Attached Otla area,Attached Mezzanine area"</formula1>
    </dataValidation>
    <dataValidation type="list" allowBlank="1" showInputMessage="1" showErrorMessage="1" sqref="B138">
      <formula1>"Shop No. (Sale Plan),Sale / Rehab,Sale / Mhada"</formula1>
    </dataValidation>
  </dataValidations>
  <hyperlinks>
    <hyperlink ref="C19" r:id="rId1"/>
  </hyperlinks>
  <printOptions horizontalCentered="1"/>
  <pageMargins left="0.23622047244094491" right="0.23622047244094491" top="0.78740157480314965" bottom="0.70866141732283472" header="0.19685039370078741" footer="0.19685039370078741"/>
  <pageSetup paperSize="2" fitToHeight="0" orientation="portrait" r:id="rId2"/>
  <headerFooter>
    <oddHeader>&amp;C&amp;G</oddHeader>
    <oddFooter>&amp;L&amp;"Times New Roman,Bold"&amp;F&amp;R&amp;"Times New Roman,Bold"&amp;P</oddFooter>
  </headerFooter>
  <rowBreaks count="5" manualBreakCount="5">
    <brk id="55" max="16383" man="1"/>
    <brk id="98" max="16383" man="1"/>
    <brk id="337" max="16383" man="1"/>
    <brk id="391" max="16383" man="1"/>
    <brk id="44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15" zoomScaleNormal="115" workbookViewId="0">
      <selection activeCell="C1" sqref="A1:XFD13"/>
    </sheetView>
  </sheetViews>
  <sheetFormatPr defaultRowHeight="15" x14ac:dyDescent="0.25"/>
  <cols>
    <col min="1" max="1" width="24.140625" customWidth="1"/>
    <col min="2" max="6" width="17.5703125" customWidth="1"/>
    <col min="7" max="7" width="10.42578125" customWidth="1"/>
  </cols>
  <sheetData>
    <row r="1" spans="1:8" x14ac:dyDescent="0.25">
      <c r="A1" s="239" t="s">
        <v>114</v>
      </c>
      <c r="B1" s="240"/>
      <c r="C1" s="9" t="s">
        <v>59</v>
      </c>
      <c r="D1" s="9" t="s">
        <v>60</v>
      </c>
      <c r="E1" s="9" t="s">
        <v>61</v>
      </c>
      <c r="F1" s="10" t="s">
        <v>47</v>
      </c>
    </row>
    <row r="2" spans="1:8" x14ac:dyDescent="0.25">
      <c r="A2" s="241"/>
      <c r="B2" s="242"/>
      <c r="C2" s="7">
        <v>0</v>
      </c>
      <c r="D2" s="23">
        <v>1</v>
      </c>
      <c r="E2" s="7">
        <v>0</v>
      </c>
      <c r="F2" s="8">
        <f ca="1">--TRIM(RIGHT(SUBSTITUTE(LEFT(A1,_xlfn.AGGREGATE(16,6,FIND({0,1,2,3,4,5,6,7,8,9},A1,ROW(INDIRECT("1:"&amp;LEN(A1)))),1))," ",REPT(" ",LEN(A1))),LEN(A1)))</f>
        <v>3</v>
      </c>
    </row>
    <row r="3" spans="1:8" x14ac:dyDescent="0.25">
      <c r="A3" s="2" t="s">
        <v>62</v>
      </c>
      <c r="B3" s="3" t="s">
        <v>63</v>
      </c>
      <c r="C3" s="21" t="s">
        <v>64</v>
      </c>
      <c r="D3" s="24" t="s">
        <v>57</v>
      </c>
      <c r="E3" s="243" t="s">
        <v>134</v>
      </c>
      <c r="F3" s="244"/>
      <c r="G3" s="33" t="s">
        <v>65</v>
      </c>
      <c r="H3" s="28">
        <f ca="1">F2*25%</f>
        <v>0.75</v>
      </c>
    </row>
    <row r="4" spans="1:8" x14ac:dyDescent="0.25">
      <c r="A4" s="2" t="s">
        <v>66</v>
      </c>
      <c r="B4" s="4">
        <f ca="1">H5</f>
        <v>3</v>
      </c>
      <c r="C4" s="22">
        <f ca="1">((100/F2)*B4)/100</f>
        <v>1</v>
      </c>
      <c r="D4" s="26" t="str">
        <f ca="1">IF(C13=100%,"All work Completed. Possession granted to the Building.",IF(C12=100%,"All work Completed, Waiting for OC",D10&amp;""&amp;D11&amp;""&amp;D9&amp;""&amp;D12&amp;" "&amp;D13))</f>
        <v xml:space="preserve">Excavation, Plinth, RCC Slab, Brickwork Completed </v>
      </c>
      <c r="E4" s="245" t="str">
        <f ca="1">D4</f>
        <v xml:space="preserve">Excavation, Plinth, RCC Slab, Brickwork Completed </v>
      </c>
      <c r="F4" s="246"/>
      <c r="G4" s="1" t="s">
        <v>67</v>
      </c>
      <c r="H4" s="29">
        <f ca="1">F2*50%</f>
        <v>1.5</v>
      </c>
    </row>
    <row r="5" spans="1:8" x14ac:dyDescent="0.25">
      <c r="A5" s="2" t="s">
        <v>68</v>
      </c>
      <c r="B5" s="5">
        <f ca="1">H13</f>
        <v>3</v>
      </c>
      <c r="C5" s="22">
        <f ca="1">((100/F2)*B5)/100</f>
        <v>1</v>
      </c>
      <c r="D5" s="27"/>
      <c r="E5" s="247"/>
      <c r="F5" s="248"/>
      <c r="G5" s="1" t="s">
        <v>69</v>
      </c>
      <c r="H5" s="29">
        <f ca="1">F2</f>
        <v>3</v>
      </c>
    </row>
    <row r="6" spans="1:8" x14ac:dyDescent="0.25">
      <c r="A6" s="2" t="s">
        <v>70</v>
      </c>
      <c r="B6" s="5">
        <v>4</v>
      </c>
      <c r="C6" s="22">
        <f ca="1">((100/(D2+E2+F2))*B6)/100</f>
        <v>1</v>
      </c>
      <c r="D6" s="27"/>
      <c r="E6" s="247"/>
      <c r="F6" s="248"/>
      <c r="G6" s="1" t="s">
        <v>71</v>
      </c>
      <c r="H6" s="30">
        <f ca="1">(IF(C2&gt;1,(F2/(C2+2)),F2/4))</f>
        <v>0.75</v>
      </c>
    </row>
    <row r="7" spans="1:8" x14ac:dyDescent="0.25">
      <c r="A7" s="2" t="s">
        <v>72</v>
      </c>
      <c r="B7" s="4">
        <v>3</v>
      </c>
      <c r="C7" s="22">
        <f ca="1">((100/F2)*B7)/100</f>
        <v>1</v>
      </c>
      <c r="D7" s="27"/>
      <c r="E7" s="247"/>
      <c r="F7" s="248"/>
      <c r="G7" s="1" t="s">
        <v>73</v>
      </c>
      <c r="H7" s="30">
        <f ca="1">(IF(C2&gt;1,(F2/(C2+2)+H6),F2/4+H6))</f>
        <v>1.5</v>
      </c>
    </row>
    <row r="8" spans="1:8" x14ac:dyDescent="0.25">
      <c r="A8" s="2" t="s">
        <v>74</v>
      </c>
      <c r="B8" s="4">
        <v>0</v>
      </c>
      <c r="C8" s="22">
        <f ca="1">((100/F2)*B8)/100</f>
        <v>0</v>
      </c>
      <c r="D8" s="25">
        <f ca="1">(((B5/F2*10)+(40/(D2+E2+F2)*B6)+(15/(F2)*B7)+(5/(F2)*B8)+(5/F2*B9)+(10/F2*B10)+(5/F2*B11)+(5/F2*B12)+(5/F2*B13))/100)</f>
        <v>0.65</v>
      </c>
      <c r="E8" s="247"/>
      <c r="F8" s="248"/>
      <c r="G8" s="1" t="s">
        <v>75</v>
      </c>
      <c r="H8" s="30">
        <f>(IF(C2&gt;1,(F2/(C2+2)+H7),0))</f>
        <v>0</v>
      </c>
    </row>
    <row r="9" spans="1:8" x14ac:dyDescent="0.25">
      <c r="A9" s="2" t="s">
        <v>76</v>
      </c>
      <c r="B9" s="4">
        <v>0</v>
      </c>
      <c r="C9" s="22">
        <f ca="1">((100/(F2))*B9)/100</f>
        <v>0</v>
      </c>
      <c r="D9" s="27" t="str">
        <f ca="1">(IF(B4=0,"Work not yet Started.",IF(C4=25%,"Piling work in process",IF(C4=50%,"Excavation work in process",IF(C4=100%,"","0")))))&amp;(IF(B5=0%,"",IF(B5=H6,", Footing work is process",IF(B5=H7,", Footing work Completed",IF(B5=H8,", 1st Basement Completed",IF(B5=H9,", 1st &amp; 2nd Basement Completed",IF(B5=H10,", 1st to 3rd Basement Completed",IF(B5=H11,", 1st to 4th Basement Completed",IF(B5=H12,", Plinth work is process",IF(B5=H13,"","0"))))))))))</f>
        <v/>
      </c>
      <c r="E9" s="247"/>
      <c r="F9" s="248"/>
      <c r="G9" s="1" t="s">
        <v>77</v>
      </c>
      <c r="H9" s="30">
        <f>(IF(C2&gt;2,(F2/(C2+2)+H8),0))</f>
        <v>0</v>
      </c>
    </row>
    <row r="10" spans="1:8" x14ac:dyDescent="0.25">
      <c r="A10" s="2" t="s">
        <v>78</v>
      </c>
      <c r="B10" s="4">
        <v>0</v>
      </c>
      <c r="C10" s="22">
        <f ca="1">((100/F2)*B10)/100</f>
        <v>0</v>
      </c>
      <c r="D10" s="27" t="str">
        <f ca="1">IF(C4=100%,"Excavation","")&amp;IF(C5=100%,", Plinth","")&amp;IF(C6=100%,", RCC Slab","")&amp;IF(C7=100%,", Brickwork","")&amp;IF(C8=100%,", Internal Plaster","")&amp;IF(C9=100%,", External Plaster","")&amp;IF(C10=100%,", Flooring","")&amp;IF(C11=100%,", Painting","")&amp;IF(C12=100%,", Building common Amenities","")</f>
        <v>Excavation, Plinth, RCC Slab, Brickwork</v>
      </c>
      <c r="E10" s="247"/>
      <c r="F10" s="248"/>
      <c r="G10" s="1" t="s">
        <v>79</v>
      </c>
      <c r="H10" s="31">
        <f>(IF(C2&gt;3,(F2/(C2+2)+H9),0))</f>
        <v>0</v>
      </c>
    </row>
    <row r="11" spans="1:8" x14ac:dyDescent="0.25">
      <c r="A11" s="2" t="s">
        <v>80</v>
      </c>
      <c r="B11" s="4">
        <v>0</v>
      </c>
      <c r="C11" s="22">
        <f ca="1">((100/F2)*B11)/100</f>
        <v>0</v>
      </c>
      <c r="D11" s="27" t="str">
        <f ca="1">IF(D10&lt;&gt;""," Completed","")</f>
        <v xml:space="preserve"> Completed</v>
      </c>
      <c r="E11" s="247"/>
      <c r="F11" s="248"/>
      <c r="G11" s="1" t="s">
        <v>81</v>
      </c>
      <c r="H11" s="30">
        <f>(IF(C2&gt;4,(F2/(C2+2)+H10),0))</f>
        <v>0</v>
      </c>
    </row>
    <row r="12" spans="1:8" x14ac:dyDescent="0.25">
      <c r="A12" s="2" t="s">
        <v>82</v>
      </c>
      <c r="B12" s="4">
        <v>0</v>
      </c>
      <c r="C12" s="22">
        <f ca="1">((100/(F2))*B12)/100</f>
        <v>0</v>
      </c>
      <c r="D12" s="27" t="str">
        <f ca="1">(IF(B6=(D2+E2+F2),"",IF(B6&gt;0,", RCC upto "&amp;B6&amp;" Slab","")))&amp;(IF(B7=F2,"",IF(B7&gt;0,", Brickwork upto "&amp;B7&amp;" Floor","")))&amp;(IF(B8=F2,"",IF(B8&gt;0,", Internal Plaster upto "&amp;B8&amp;" Floor","")))&amp;(IF(B9=F2,"",IF(B9&gt;0,", External Plaster upto "&amp;B9&amp;" Floor","")))&amp;(IF(B10=F2,"",IF(B10&gt;0,", Flooring upto "&amp;B10&amp;" Floor","")))&amp;(IF(B11=F2,"",IF(B11&gt;0,", Painting upto "&amp;B11&amp;" Floor","")))&amp;(IF(B12=F2,"",IF(B12&gt;0,", Finishing upto "&amp;B12&amp;" Floor","")))&amp;(IF(B13=F2,"",IF(B13&gt;0,", Possession upto "&amp;B13&amp;" Floor","")))</f>
        <v/>
      </c>
      <c r="E12" s="247"/>
      <c r="F12" s="248"/>
      <c r="G12" s="1" t="s">
        <v>83</v>
      </c>
      <c r="H12" s="30">
        <f ca="1">(IF(C2=1,(F2/(C2+3)+H7),IF(C2=0,(F2/4+H7),IF(C2&gt;1,0))))</f>
        <v>2.25</v>
      </c>
    </row>
    <row r="13" spans="1:8" ht="15.75" thickBot="1" x14ac:dyDescent="0.3">
      <c r="A13" s="35" t="s">
        <v>84</v>
      </c>
      <c r="B13" s="36">
        <v>0</v>
      </c>
      <c r="C13" s="37">
        <f ca="1">((100/(F2))*B13)/100</f>
        <v>0</v>
      </c>
      <c r="D13" s="38" t="str">
        <f ca="1">IF(D12&lt;&gt;"","Completed","")</f>
        <v/>
      </c>
      <c r="E13" s="249"/>
      <c r="F13" s="250"/>
      <c r="G13" s="34" t="s">
        <v>85</v>
      </c>
      <c r="H13" s="32">
        <f ca="1">(IF(C2&gt;1.5,(F2/(C2+2)+H7+MAX(0,H8-H7)+MAX(0,H9-H8)+MAX(0,H10-H9)+MAX(0,H11-H10)+MAX(0,H12-H11)),IF(C2=1,(F2/(C2+3)+H12),IF(C2=0,F2/4+H12))))</f>
        <v>3</v>
      </c>
    </row>
  </sheetData>
  <mergeCells count="3">
    <mergeCell ref="A1:B2"/>
    <mergeCell ref="E3:F3"/>
    <mergeCell ref="E4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C%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AMDEKAR</dc:creator>
  <cp:lastModifiedBy>VSJC</cp:lastModifiedBy>
  <cp:lastPrinted>2025-10-04T05:47:56Z</cp:lastPrinted>
  <dcterms:created xsi:type="dcterms:W3CDTF">2019-01-21T04:29:02Z</dcterms:created>
  <dcterms:modified xsi:type="dcterms:W3CDTF">2025-10-04T05:51:56Z</dcterms:modified>
</cp:coreProperties>
</file>