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Oct 2025\01-10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Report!$A$1:$H$763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9" i="1" l="1"/>
  <c r="A592" i="1" l="1"/>
  <c r="C136" i="1"/>
  <c r="C150" i="1" l="1"/>
  <c r="C151" i="1" s="1"/>
  <c r="C122" i="1"/>
  <c r="C152" i="1" l="1"/>
  <c r="C124" i="1"/>
  <c r="C123" i="1"/>
  <c r="C87" i="1" l="1"/>
  <c r="J98" i="1"/>
  <c r="J97" i="1"/>
  <c r="J96" i="1"/>
  <c r="J95" i="1"/>
  <c r="J202" i="1" l="1"/>
  <c r="O535" i="1"/>
  <c r="D534" i="1"/>
  <c r="F534" i="1" s="1"/>
  <c r="D533" i="1"/>
  <c r="F533" i="1" s="1"/>
  <c r="D532" i="1"/>
  <c r="F532" i="1" s="1"/>
  <c r="D531" i="1"/>
  <c r="F531" i="1" s="1"/>
  <c r="D530" i="1"/>
  <c r="F530" i="1" s="1"/>
  <c r="D529" i="1"/>
  <c r="F529" i="1" s="1"/>
  <c r="A529" i="1"/>
  <c r="A530" i="1" s="1"/>
  <c r="A531" i="1" s="1"/>
  <c r="A532" i="1" s="1"/>
  <c r="G528" i="1"/>
  <c r="D528" i="1"/>
  <c r="F528" i="1" s="1"/>
  <c r="D526" i="1"/>
  <c r="D525" i="1"/>
  <c r="D524" i="1"/>
  <c r="D523" i="1"/>
  <c r="D522" i="1"/>
  <c r="D521" i="1"/>
  <c r="D520" i="1"/>
  <c r="D519" i="1"/>
  <c r="P534" i="1"/>
  <c r="N534" i="1" l="1"/>
  <c r="P535" i="1"/>
  <c r="N535" i="1" s="1"/>
  <c r="F526" i="1"/>
  <c r="F524" i="1"/>
  <c r="F523" i="1"/>
  <c r="E517" i="1"/>
  <c r="D517" i="1"/>
  <c r="E516" i="1"/>
  <c r="D516" i="1"/>
  <c r="D515" i="1"/>
  <c r="E514" i="1"/>
  <c r="F514" i="1" s="1"/>
  <c r="D514" i="1"/>
  <c r="D512" i="1"/>
  <c r="E512" i="1"/>
  <c r="E511" i="1"/>
  <c r="E510" i="1"/>
  <c r="D511" i="1"/>
  <c r="D510" i="1"/>
  <c r="O526" i="1"/>
  <c r="F525" i="1"/>
  <c r="F522" i="1"/>
  <c r="F521" i="1"/>
  <c r="F520" i="1"/>
  <c r="A520" i="1"/>
  <c r="A521" i="1" s="1"/>
  <c r="A522" i="1" s="1"/>
  <c r="A523" i="1" s="1"/>
  <c r="G519" i="1"/>
  <c r="F519" i="1"/>
  <c r="E515" i="1"/>
  <c r="A511" i="1"/>
  <c r="A512" i="1" s="1"/>
  <c r="A515" i="1" s="1"/>
  <c r="G510" i="1"/>
  <c r="G498" i="1"/>
  <c r="D507" i="1"/>
  <c r="F507" i="1" s="1"/>
  <c r="D506" i="1"/>
  <c r="F506" i="1" s="1"/>
  <c r="O505" i="1"/>
  <c r="D505" i="1"/>
  <c r="F505" i="1" s="1"/>
  <c r="D504" i="1"/>
  <c r="F504" i="1" s="1"/>
  <c r="D503" i="1"/>
  <c r="F503" i="1" s="1"/>
  <c r="D502" i="1"/>
  <c r="F502" i="1" s="1"/>
  <c r="D501" i="1"/>
  <c r="F501" i="1" s="1"/>
  <c r="D500" i="1"/>
  <c r="F500" i="1" s="1"/>
  <c r="D499" i="1"/>
  <c r="F499" i="1" s="1"/>
  <c r="A499" i="1"/>
  <c r="A500" i="1" s="1"/>
  <c r="A501" i="1" s="1"/>
  <c r="A502" i="1" s="1"/>
  <c r="D494" i="1"/>
  <c r="D495" i="1"/>
  <c r="D493" i="1"/>
  <c r="D489" i="1"/>
  <c r="F489" i="1" s="1"/>
  <c r="D490" i="1"/>
  <c r="F490" i="1" s="1"/>
  <c r="D488" i="1"/>
  <c r="F488" i="1" s="1"/>
  <c r="D496" i="1"/>
  <c r="D492" i="1"/>
  <c r="F492" i="1" s="1"/>
  <c r="D491" i="1"/>
  <c r="F491" i="1" s="1"/>
  <c r="D487" i="1"/>
  <c r="F487" i="1" s="1"/>
  <c r="A488" i="1"/>
  <c r="A489" i="1" s="1"/>
  <c r="A490" i="1" s="1"/>
  <c r="A491" i="1" s="1"/>
  <c r="G487" i="1"/>
  <c r="E485" i="1"/>
  <c r="E484" i="1"/>
  <c r="E483" i="1"/>
  <c r="E481" i="1"/>
  <c r="D485" i="1"/>
  <c r="D484" i="1"/>
  <c r="D483" i="1"/>
  <c r="A482" i="1"/>
  <c r="A483" i="1" s="1"/>
  <c r="A484" i="1" s="1"/>
  <c r="A485" i="1" s="1"/>
  <c r="D481" i="1"/>
  <c r="E480" i="1"/>
  <c r="D476" i="1"/>
  <c r="D480" i="1"/>
  <c r="E479" i="1"/>
  <c r="D479" i="1"/>
  <c r="D478" i="1"/>
  <c r="E478" i="1"/>
  <c r="E477" i="1"/>
  <c r="D477" i="1"/>
  <c r="E476" i="1"/>
  <c r="D552" i="1"/>
  <c r="F552" i="1" s="1"/>
  <c r="D551" i="1"/>
  <c r="F551" i="1" s="1"/>
  <c r="D550" i="1"/>
  <c r="F550" i="1" s="1"/>
  <c r="D549" i="1"/>
  <c r="F549" i="1" s="1"/>
  <c r="D548" i="1"/>
  <c r="F548" i="1" s="1"/>
  <c r="D547" i="1"/>
  <c r="F547" i="1" s="1"/>
  <c r="A547" i="1"/>
  <c r="A548" i="1" s="1"/>
  <c r="A549" i="1" s="1"/>
  <c r="A550" i="1" s="1"/>
  <c r="A551" i="1" s="1"/>
  <c r="A552" i="1" s="1"/>
  <c r="G546" i="1"/>
  <c r="D546" i="1"/>
  <c r="F546" i="1" s="1"/>
  <c r="E544" i="1"/>
  <c r="D544" i="1"/>
  <c r="E543" i="1"/>
  <c r="D543" i="1"/>
  <c r="E542" i="1"/>
  <c r="D542" i="1"/>
  <c r="E541" i="1"/>
  <c r="D541" i="1"/>
  <c r="E540" i="1"/>
  <c r="D540" i="1"/>
  <c r="E539" i="1"/>
  <c r="D539" i="1"/>
  <c r="A539" i="1"/>
  <c r="A540" i="1" s="1"/>
  <c r="A541" i="1" s="1"/>
  <c r="A542" i="1" s="1"/>
  <c r="A543" i="1" s="1"/>
  <c r="A544" i="1" s="1"/>
  <c r="G538" i="1"/>
  <c r="E538" i="1"/>
  <c r="D538" i="1"/>
  <c r="D473" i="1"/>
  <c r="F473" i="1" s="1"/>
  <c r="D471" i="1"/>
  <c r="F471" i="1" s="1"/>
  <c r="O470" i="1"/>
  <c r="D470" i="1"/>
  <c r="F470" i="1" s="1"/>
  <c r="G469" i="1"/>
  <c r="D469" i="1"/>
  <c r="F469" i="1" s="1"/>
  <c r="D467" i="1"/>
  <c r="F467" i="1" s="1"/>
  <c r="D466" i="1"/>
  <c r="F466" i="1" s="1"/>
  <c r="D465" i="1"/>
  <c r="F465" i="1" s="1"/>
  <c r="O464" i="1"/>
  <c r="O465" i="1" s="1"/>
  <c r="D464" i="1"/>
  <c r="F464" i="1" s="1"/>
  <c r="G463" i="1"/>
  <c r="D463" i="1"/>
  <c r="F463" i="1" s="1"/>
  <c r="E461" i="1"/>
  <c r="D461" i="1"/>
  <c r="E460" i="1"/>
  <c r="D460" i="1"/>
  <c r="E459" i="1"/>
  <c r="D459" i="1"/>
  <c r="E458" i="1"/>
  <c r="D458" i="1"/>
  <c r="A458" i="1"/>
  <c r="A459" i="1" s="1"/>
  <c r="A460" i="1" s="1"/>
  <c r="A461" i="1" s="1"/>
  <c r="G457" i="1"/>
  <c r="E457" i="1"/>
  <c r="D457" i="1"/>
  <c r="P504" i="1"/>
  <c r="P525" i="1"/>
  <c r="P463" i="1"/>
  <c r="P469" i="1"/>
  <c r="F516" i="1" l="1"/>
  <c r="F483" i="1"/>
  <c r="F485" i="1"/>
  <c r="C200" i="1"/>
  <c r="E200" i="1"/>
  <c r="C203" i="1"/>
  <c r="E203" i="1"/>
  <c r="C202" i="1"/>
  <c r="E202" i="1"/>
  <c r="F515" i="1"/>
  <c r="C201" i="1"/>
  <c r="E201" i="1"/>
  <c r="F511" i="1"/>
  <c r="F517" i="1"/>
  <c r="F512" i="1"/>
  <c r="F510" i="1"/>
  <c r="A513" i="1"/>
  <c r="F540" i="1"/>
  <c r="F542" i="1"/>
  <c r="A516" i="1"/>
  <c r="A517" i="1" s="1"/>
  <c r="P526" i="1"/>
  <c r="N525" i="1"/>
  <c r="F544" i="1"/>
  <c r="F459" i="1"/>
  <c r="F461" i="1"/>
  <c r="F484" i="1"/>
  <c r="F457" i="1"/>
  <c r="F538" i="1"/>
  <c r="N504" i="1"/>
  <c r="P505" i="1"/>
  <c r="P506" i="1" s="1"/>
  <c r="P507" i="1" s="1"/>
  <c r="O506" i="1"/>
  <c r="F458" i="1"/>
  <c r="F460" i="1"/>
  <c r="F539" i="1"/>
  <c r="F541" i="1"/>
  <c r="F543" i="1"/>
  <c r="F481" i="1"/>
  <c r="N469" i="1"/>
  <c r="P470" i="1"/>
  <c r="N470" i="1" s="1"/>
  <c r="N463" i="1"/>
  <c r="P464" i="1"/>
  <c r="O466" i="1"/>
  <c r="O472" i="1"/>
  <c r="O471" i="1"/>
  <c r="D365" i="1"/>
  <c r="D364" i="1"/>
  <c r="F36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56" i="1"/>
  <c r="F356" i="1" s="1"/>
  <c r="D354" i="1"/>
  <c r="F354" i="1" s="1"/>
  <c r="D355" i="1"/>
  <c r="F355" i="1" s="1"/>
  <c r="D353" i="1"/>
  <c r="F353" i="1" s="1"/>
  <c r="D352" i="1"/>
  <c r="F352" i="1" s="1"/>
  <c r="D351" i="1"/>
  <c r="F351" i="1" s="1"/>
  <c r="D350" i="1"/>
  <c r="F350" i="1" s="1"/>
  <c r="F365" i="1"/>
  <c r="J364" i="1"/>
  <c r="I364" i="1"/>
  <c r="J362" i="1"/>
  <c r="I362" i="1"/>
  <c r="J356" i="1"/>
  <c r="I356" i="1"/>
  <c r="J354" i="1"/>
  <c r="I354" i="1"/>
  <c r="A351" i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G350" i="1"/>
  <c r="D348" i="1"/>
  <c r="D347" i="1"/>
  <c r="F347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F348" i="1"/>
  <c r="J347" i="1"/>
  <c r="I347" i="1"/>
  <c r="J345" i="1"/>
  <c r="I345" i="1"/>
  <c r="A342" i="1"/>
  <c r="A343" i="1" s="1"/>
  <c r="A344" i="1" s="1"/>
  <c r="A345" i="1" s="1"/>
  <c r="A346" i="1" s="1"/>
  <c r="A347" i="1" s="1"/>
  <c r="A348" i="1" s="1"/>
  <c r="G341" i="1"/>
  <c r="D339" i="1"/>
  <c r="F339" i="1" s="1"/>
  <c r="D338" i="1"/>
  <c r="D337" i="1"/>
  <c r="D336" i="1"/>
  <c r="F336" i="1" s="1"/>
  <c r="D335" i="1"/>
  <c r="F335" i="1" s="1"/>
  <c r="D334" i="1"/>
  <c r="G334" i="1"/>
  <c r="J338" i="1"/>
  <c r="I338" i="1"/>
  <c r="F338" i="1"/>
  <c r="F337" i="1"/>
  <c r="A335" i="1"/>
  <c r="A336" i="1" s="1"/>
  <c r="A337" i="1" s="1"/>
  <c r="A338" i="1" s="1"/>
  <c r="A339" i="1" s="1"/>
  <c r="C115" i="1"/>
  <c r="J126" i="1"/>
  <c r="J125" i="1"/>
  <c r="J124" i="1"/>
  <c r="J123" i="1"/>
  <c r="C129" i="1"/>
  <c r="J140" i="1"/>
  <c r="J139" i="1"/>
  <c r="J138" i="1"/>
  <c r="J137" i="1"/>
  <c r="H116" i="1"/>
  <c r="H130" i="1"/>
  <c r="G200" i="1" l="1"/>
  <c r="G202" i="1"/>
  <c r="F334" i="1"/>
  <c r="G192" i="1" s="1"/>
  <c r="C192" i="1"/>
  <c r="E192" i="1"/>
  <c r="G203" i="1"/>
  <c r="N526" i="1"/>
  <c r="N505" i="1"/>
  <c r="O507" i="1"/>
  <c r="N507" i="1" s="1"/>
  <c r="N506" i="1"/>
  <c r="O473" i="1"/>
  <c r="N464" i="1"/>
  <c r="P465" i="1"/>
  <c r="O467" i="1"/>
  <c r="P471" i="1"/>
  <c r="N471" i="1" s="1"/>
  <c r="P472" i="1"/>
  <c r="P473" i="1" s="1"/>
  <c r="J121" i="1"/>
  <c r="J119" i="1"/>
  <c r="D127" i="1"/>
  <c r="D125" i="1"/>
  <c r="D123" i="1"/>
  <c r="D121" i="1"/>
  <c r="J118" i="1"/>
  <c r="J120" i="1"/>
  <c r="D128" i="1"/>
  <c r="D126" i="1"/>
  <c r="D124" i="1"/>
  <c r="D122" i="1"/>
  <c r="D142" i="1"/>
  <c r="D140" i="1"/>
  <c r="D138" i="1"/>
  <c r="D136" i="1"/>
  <c r="J135" i="1"/>
  <c r="J133" i="1"/>
  <c r="D139" i="1"/>
  <c r="D137" i="1"/>
  <c r="D141" i="1"/>
  <c r="D135" i="1"/>
  <c r="J132" i="1"/>
  <c r="J134" i="1"/>
  <c r="C133" i="1" s="1"/>
  <c r="J563" i="1"/>
  <c r="J204" i="1"/>
  <c r="J136" i="1" l="1"/>
  <c r="J141" i="1" s="1"/>
  <c r="J142" i="1" s="1"/>
  <c r="C134" i="1" s="1"/>
  <c r="G133" i="1" s="1"/>
  <c r="J122" i="1"/>
  <c r="J127" i="1" s="1"/>
  <c r="J128" i="1" s="1"/>
  <c r="C120" i="1" s="1"/>
  <c r="G119" i="1" s="1"/>
  <c r="N473" i="1"/>
  <c r="N472" i="1"/>
  <c r="P466" i="1"/>
  <c r="N465" i="1"/>
  <c r="D119" i="1"/>
  <c r="D580" i="1"/>
  <c r="F580" i="1" s="1"/>
  <c r="D579" i="1"/>
  <c r="F579" i="1" s="1"/>
  <c r="D577" i="1"/>
  <c r="F577" i="1" s="1"/>
  <c r="D576" i="1"/>
  <c r="F576" i="1" s="1"/>
  <c r="D575" i="1"/>
  <c r="F575" i="1" s="1"/>
  <c r="D574" i="1"/>
  <c r="F574" i="1" s="1"/>
  <c r="A574" i="1"/>
  <c r="A575" i="1" s="1"/>
  <c r="A576" i="1" s="1"/>
  <c r="A577" i="1" s="1"/>
  <c r="A578" i="1" s="1"/>
  <c r="A579" i="1" s="1"/>
  <c r="A580" i="1" s="1"/>
  <c r="G573" i="1"/>
  <c r="D573" i="1"/>
  <c r="F573" i="1" s="1"/>
  <c r="D571" i="1"/>
  <c r="F571" i="1" s="1"/>
  <c r="D570" i="1"/>
  <c r="F570" i="1" s="1"/>
  <c r="D569" i="1"/>
  <c r="F569" i="1" s="1"/>
  <c r="D568" i="1"/>
  <c r="F568" i="1" s="1"/>
  <c r="D564" i="1"/>
  <c r="F564" i="1" s="1"/>
  <c r="D567" i="1"/>
  <c r="F567" i="1" s="1"/>
  <c r="D566" i="1"/>
  <c r="F566" i="1" s="1"/>
  <c r="D565" i="1"/>
  <c r="F565" i="1" s="1"/>
  <c r="D561" i="1"/>
  <c r="D560" i="1"/>
  <c r="D562" i="1"/>
  <c r="D559" i="1"/>
  <c r="E561" i="1"/>
  <c r="E560" i="1"/>
  <c r="E562" i="1"/>
  <c r="E559" i="1"/>
  <c r="A565" i="1"/>
  <c r="A566" i="1" s="1"/>
  <c r="A567" i="1" s="1"/>
  <c r="A568" i="1" s="1"/>
  <c r="A569" i="1" s="1"/>
  <c r="A570" i="1" s="1"/>
  <c r="A571" i="1" s="1"/>
  <c r="G564" i="1"/>
  <c r="A556" i="1"/>
  <c r="A557" i="1" s="1"/>
  <c r="A558" i="1" s="1"/>
  <c r="A559" i="1" s="1"/>
  <c r="A560" i="1" s="1"/>
  <c r="A561" i="1" s="1"/>
  <c r="A562" i="1" s="1"/>
  <c r="G555" i="1"/>
  <c r="A583" i="1"/>
  <c r="F494" i="1"/>
  <c r="F493" i="1"/>
  <c r="F496" i="1"/>
  <c r="F495" i="1"/>
  <c r="O494" i="1"/>
  <c r="G476" i="1"/>
  <c r="A477" i="1"/>
  <c r="A478" i="1" s="1"/>
  <c r="A479" i="1" s="1"/>
  <c r="A480" i="1" s="1"/>
  <c r="D330" i="1"/>
  <c r="F330" i="1" s="1"/>
  <c r="D329" i="1"/>
  <c r="F329" i="1" s="1"/>
  <c r="D328" i="1"/>
  <c r="D327" i="1"/>
  <c r="P493" i="1"/>
  <c r="D134" i="1" l="1"/>
  <c r="E133" i="1"/>
  <c r="D120" i="1"/>
  <c r="E119" i="1"/>
  <c r="I115" i="1" s="1"/>
  <c r="C117" i="1" s="1"/>
  <c r="D133" i="1"/>
  <c r="F562" i="1"/>
  <c r="P467" i="1"/>
  <c r="N467" i="1" s="1"/>
  <c r="N466" i="1"/>
  <c r="F560" i="1"/>
  <c r="C204" i="1"/>
  <c r="E204" i="1"/>
  <c r="F559" i="1"/>
  <c r="F561" i="1"/>
  <c r="F476" i="1"/>
  <c r="F480" i="1"/>
  <c r="F477" i="1"/>
  <c r="F479" i="1"/>
  <c r="F478" i="1"/>
  <c r="N493" i="1"/>
  <c r="P494" i="1"/>
  <c r="P495" i="1" s="1"/>
  <c r="P496" i="1" s="1"/>
  <c r="O495" i="1"/>
  <c r="D326" i="1"/>
  <c r="F326" i="1" s="1"/>
  <c r="F328" i="1"/>
  <c r="F327" i="1"/>
  <c r="D325" i="1"/>
  <c r="F325" i="1" s="1"/>
  <c r="D324" i="1"/>
  <c r="F324" i="1" s="1"/>
  <c r="D323" i="1"/>
  <c r="F323" i="1" s="1"/>
  <c r="D322" i="1"/>
  <c r="F322" i="1" s="1"/>
  <c r="D321" i="1"/>
  <c r="F321" i="1" s="1"/>
  <c r="D320" i="1"/>
  <c r="F320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D312" i="1"/>
  <c r="F312" i="1" s="1"/>
  <c r="D310" i="1"/>
  <c r="F310" i="1" s="1"/>
  <c r="D308" i="1"/>
  <c r="F308" i="1" s="1"/>
  <c r="D306" i="1"/>
  <c r="F306" i="1" s="1"/>
  <c r="D313" i="1"/>
  <c r="F313" i="1" s="1"/>
  <c r="D311" i="1"/>
  <c r="F311" i="1" s="1"/>
  <c r="D309" i="1"/>
  <c r="F309" i="1" s="1"/>
  <c r="D307" i="1"/>
  <c r="F307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8" i="1"/>
  <c r="F298" i="1" s="1"/>
  <c r="D299" i="1"/>
  <c r="F299" i="1" s="1"/>
  <c r="D297" i="1"/>
  <c r="F297" i="1" s="1"/>
  <c r="D295" i="1"/>
  <c r="F295" i="1" s="1"/>
  <c r="D296" i="1"/>
  <c r="F296" i="1" s="1"/>
  <c r="D294" i="1"/>
  <c r="F294" i="1" s="1"/>
  <c r="D293" i="1"/>
  <c r="F293" i="1" s="1"/>
  <c r="D292" i="1"/>
  <c r="F292" i="1" s="1"/>
  <c r="J296" i="1"/>
  <c r="I296" i="1"/>
  <c r="G292" i="1"/>
  <c r="A293" i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D290" i="1"/>
  <c r="F290" i="1" s="1"/>
  <c r="D264" i="1"/>
  <c r="F264" i="1" s="1"/>
  <c r="D263" i="1"/>
  <c r="A264" i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D277" i="1"/>
  <c r="F277" i="1" s="1"/>
  <c r="D278" i="1"/>
  <c r="F278" i="1" s="1"/>
  <c r="D276" i="1"/>
  <c r="F276" i="1" s="1"/>
  <c r="D275" i="1"/>
  <c r="F275" i="1" s="1"/>
  <c r="D273" i="1"/>
  <c r="F273" i="1" s="1"/>
  <c r="D271" i="1"/>
  <c r="F271" i="1" s="1"/>
  <c r="D269" i="1"/>
  <c r="F269" i="1" s="1"/>
  <c r="D267" i="1"/>
  <c r="F267" i="1" s="1"/>
  <c r="D274" i="1"/>
  <c r="F274" i="1" s="1"/>
  <c r="D272" i="1"/>
  <c r="F272" i="1" s="1"/>
  <c r="D270" i="1"/>
  <c r="F270" i="1" s="1"/>
  <c r="D268" i="1"/>
  <c r="F268" i="1" s="1"/>
  <c r="D266" i="1"/>
  <c r="F266" i="1" s="1"/>
  <c r="D265" i="1"/>
  <c r="F265" i="1" s="1"/>
  <c r="E42" i="1"/>
  <c r="G290" i="1"/>
  <c r="J267" i="1"/>
  <c r="I267" i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G263" i="1"/>
  <c r="C157" i="1"/>
  <c r="C143" i="1"/>
  <c r="C101" i="1"/>
  <c r="J112" i="1"/>
  <c r="J111" i="1"/>
  <c r="J110" i="1"/>
  <c r="J109" i="1"/>
  <c r="J154" i="1"/>
  <c r="J153" i="1"/>
  <c r="J152" i="1"/>
  <c r="J151" i="1"/>
  <c r="J168" i="1"/>
  <c r="J167" i="1"/>
  <c r="J166" i="1"/>
  <c r="J165" i="1"/>
  <c r="G52" i="1"/>
  <c r="G53" i="1" s="1"/>
  <c r="C52" i="1"/>
  <c r="C53" i="1" s="1"/>
  <c r="H144" i="1"/>
  <c r="H102" i="1"/>
  <c r="G201" i="1" l="1"/>
  <c r="I129" i="1"/>
  <c r="C131" i="1" s="1"/>
  <c r="G204" i="1"/>
  <c r="F263" i="1"/>
  <c r="G191" i="1" s="1"/>
  <c r="C191" i="1"/>
  <c r="E191" i="1"/>
  <c r="N494" i="1"/>
  <c r="N495" i="1"/>
  <c r="O496" i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J106" i="1"/>
  <c r="C105" i="1" s="1"/>
  <c r="D105" i="1" s="1"/>
  <c r="J104" i="1"/>
  <c r="D114" i="1"/>
  <c r="D112" i="1"/>
  <c r="D110" i="1"/>
  <c r="D108" i="1"/>
  <c r="J107" i="1"/>
  <c r="J108" i="1" s="1"/>
  <c r="J113" i="1" s="1"/>
  <c r="J114" i="1" s="1"/>
  <c r="C106" i="1" s="1"/>
  <c r="D113" i="1"/>
  <c r="D111" i="1"/>
  <c r="D109" i="1"/>
  <c r="D107" i="1"/>
  <c r="J105" i="1"/>
  <c r="J148" i="1"/>
  <c r="J146" i="1"/>
  <c r="D156" i="1"/>
  <c r="D154" i="1"/>
  <c r="D152" i="1"/>
  <c r="D150" i="1"/>
  <c r="J149" i="1"/>
  <c r="D155" i="1"/>
  <c r="D153" i="1"/>
  <c r="D151" i="1"/>
  <c r="D149" i="1"/>
  <c r="J147" i="1"/>
  <c r="E3" i="1"/>
  <c r="J150" i="1" l="1"/>
  <c r="D147" i="1"/>
  <c r="N496" i="1"/>
  <c r="E105" i="1"/>
  <c r="I101" i="1" s="1"/>
  <c r="C103" i="1" s="1"/>
  <c r="D106" i="1"/>
  <c r="G105" i="1"/>
  <c r="J155" i="1" l="1"/>
  <c r="J156" i="1" s="1"/>
  <c r="C148" i="1" s="1"/>
  <c r="E147" i="1" s="1"/>
  <c r="I143" i="1" s="1"/>
  <c r="C145" i="1" s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J215" i="1"/>
  <c r="I215" i="1"/>
  <c r="D148" i="1" l="1"/>
  <c r="G147" i="1"/>
  <c r="D454" i="1"/>
  <c r="F454" i="1" s="1"/>
  <c r="D453" i="1"/>
  <c r="F453" i="1" s="1"/>
  <c r="D452" i="1"/>
  <c r="F452" i="1" s="1"/>
  <c r="D451" i="1"/>
  <c r="F451" i="1" s="1"/>
  <c r="D450" i="1"/>
  <c r="F450" i="1" s="1"/>
  <c r="D448" i="1"/>
  <c r="F448" i="1" s="1"/>
  <c r="D447" i="1"/>
  <c r="F447" i="1" s="1"/>
  <c r="E190" i="1"/>
  <c r="E193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A238" i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G237" i="1"/>
  <c r="C194" i="1" l="1"/>
  <c r="F237" i="1"/>
  <c r="G194" i="1" s="1"/>
  <c r="E194" i="1"/>
  <c r="D379" i="1"/>
  <c r="F379" i="1" s="1"/>
  <c r="D407" i="1"/>
  <c r="F407" i="1" s="1"/>
  <c r="D435" i="1"/>
  <c r="F435" i="1" s="1"/>
  <c r="G391" i="1" l="1"/>
  <c r="G382" i="1"/>
  <c r="G213" i="1"/>
  <c r="F235" i="1"/>
  <c r="F233" i="1"/>
  <c r="F232" i="1"/>
  <c r="F231" i="1"/>
  <c r="F229" i="1"/>
  <c r="F228" i="1"/>
  <c r="F227" i="1"/>
  <c r="F225" i="1"/>
  <c r="F224" i="1"/>
  <c r="F223" i="1"/>
  <c r="F221" i="1"/>
  <c r="F220" i="1"/>
  <c r="H39" i="3"/>
  <c r="H38" i="3"/>
  <c r="F234" i="1"/>
  <c r="F230" i="1"/>
  <c r="F226" i="1"/>
  <c r="F222" i="1"/>
  <c r="A221" i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E5" i="5"/>
  <c r="E429" i="1"/>
  <c r="O448" i="1"/>
  <c r="O449" i="1" s="1"/>
  <c r="G447" i="1"/>
  <c r="D445" i="1"/>
  <c r="F445" i="1" s="1"/>
  <c r="D444" i="1"/>
  <c r="F444" i="1" s="1"/>
  <c r="D443" i="1"/>
  <c r="F443" i="1" s="1"/>
  <c r="D442" i="1"/>
  <c r="F442" i="1" s="1"/>
  <c r="D441" i="1"/>
  <c r="F441" i="1" s="1"/>
  <c r="D440" i="1"/>
  <c r="F440" i="1" s="1"/>
  <c r="O439" i="1"/>
  <c r="O440" i="1" s="1"/>
  <c r="O441" i="1" s="1"/>
  <c r="D439" i="1"/>
  <c r="F439" i="1" s="1"/>
  <c r="G438" i="1"/>
  <c r="D438" i="1"/>
  <c r="F438" i="1" s="1"/>
  <c r="D436" i="1"/>
  <c r="F436" i="1" s="1"/>
  <c r="D433" i="1"/>
  <c r="F433" i="1" s="1"/>
  <c r="E432" i="1"/>
  <c r="D432" i="1"/>
  <c r="E431" i="1"/>
  <c r="D431" i="1"/>
  <c r="E430" i="1"/>
  <c r="D430" i="1"/>
  <c r="G429" i="1"/>
  <c r="D429" i="1"/>
  <c r="A429" i="1"/>
  <c r="A430" i="1" s="1"/>
  <c r="A431" i="1" s="1"/>
  <c r="A432" i="1" s="1"/>
  <c r="A433" i="1" s="1"/>
  <c r="A434" i="1" s="1"/>
  <c r="A435" i="1" s="1"/>
  <c r="A436" i="1" s="1"/>
  <c r="D426" i="1"/>
  <c r="F426" i="1" s="1"/>
  <c r="D425" i="1"/>
  <c r="F425" i="1" s="1"/>
  <c r="D424" i="1"/>
  <c r="F424" i="1" s="1"/>
  <c r="D423" i="1"/>
  <c r="F423" i="1" s="1"/>
  <c r="D422" i="1"/>
  <c r="F422" i="1" s="1"/>
  <c r="D421" i="1"/>
  <c r="F421" i="1" s="1"/>
  <c r="O420" i="1"/>
  <c r="O421" i="1" s="1"/>
  <c r="G419" i="1"/>
  <c r="D419" i="1"/>
  <c r="F419" i="1" s="1"/>
  <c r="D417" i="1"/>
  <c r="F417" i="1" s="1"/>
  <c r="D416" i="1"/>
  <c r="F416" i="1" s="1"/>
  <c r="D415" i="1"/>
  <c r="F415" i="1" s="1"/>
  <c r="D414" i="1"/>
  <c r="F414" i="1" s="1"/>
  <c r="D413" i="1"/>
  <c r="F413" i="1" s="1"/>
  <c r="D412" i="1"/>
  <c r="F412" i="1" s="1"/>
  <c r="O411" i="1"/>
  <c r="O412" i="1" s="1"/>
  <c r="O413" i="1" s="1"/>
  <c r="D411" i="1"/>
  <c r="F411" i="1" s="1"/>
  <c r="G410" i="1"/>
  <c r="D410" i="1"/>
  <c r="F410" i="1" s="1"/>
  <c r="D408" i="1"/>
  <c r="F408" i="1" s="1"/>
  <c r="D405" i="1"/>
  <c r="F405" i="1" s="1"/>
  <c r="E404" i="1"/>
  <c r="D404" i="1"/>
  <c r="E403" i="1"/>
  <c r="D403" i="1"/>
  <c r="E402" i="1"/>
  <c r="D402" i="1"/>
  <c r="G401" i="1"/>
  <c r="E401" i="1"/>
  <c r="D401" i="1"/>
  <c r="A401" i="1"/>
  <c r="A402" i="1" s="1"/>
  <c r="A403" i="1" s="1"/>
  <c r="A404" i="1" s="1"/>
  <c r="A405" i="1" s="1"/>
  <c r="A406" i="1" s="1"/>
  <c r="A407" i="1" s="1"/>
  <c r="A408" i="1" s="1"/>
  <c r="D397" i="1"/>
  <c r="F397" i="1" s="1"/>
  <c r="D396" i="1"/>
  <c r="F396" i="1" s="1"/>
  <c r="D393" i="1"/>
  <c r="F393" i="1" s="1"/>
  <c r="D398" i="1"/>
  <c r="F398" i="1" s="1"/>
  <c r="D395" i="1"/>
  <c r="F395" i="1" s="1"/>
  <c r="D394" i="1"/>
  <c r="F394" i="1" s="1"/>
  <c r="D391" i="1"/>
  <c r="F391" i="1" s="1"/>
  <c r="D388" i="1"/>
  <c r="F388" i="1" s="1"/>
  <c r="D387" i="1"/>
  <c r="F387" i="1" s="1"/>
  <c r="D384" i="1"/>
  <c r="F384" i="1" s="1"/>
  <c r="D383" i="1"/>
  <c r="F383" i="1" s="1"/>
  <c r="D389" i="1"/>
  <c r="F389" i="1" s="1"/>
  <c r="D386" i="1"/>
  <c r="F386" i="1" s="1"/>
  <c r="D385" i="1"/>
  <c r="F385" i="1" s="1"/>
  <c r="D382" i="1"/>
  <c r="F382" i="1" s="1"/>
  <c r="D380" i="1"/>
  <c r="F380" i="1" s="1"/>
  <c r="D377" i="1"/>
  <c r="F377" i="1" s="1"/>
  <c r="D376" i="1"/>
  <c r="D375" i="1"/>
  <c r="D374" i="1"/>
  <c r="D373" i="1"/>
  <c r="O392" i="1"/>
  <c r="O393" i="1" s="1"/>
  <c r="E376" i="1"/>
  <c r="E375" i="1"/>
  <c r="E374" i="1"/>
  <c r="E373" i="1"/>
  <c r="P419" i="1"/>
  <c r="P391" i="1"/>
  <c r="P410" i="1"/>
  <c r="P438" i="1"/>
  <c r="P447" i="1"/>
  <c r="F431" i="1" l="1"/>
  <c r="I384" i="1"/>
  <c r="J384" i="1"/>
  <c r="K384" i="1" s="1"/>
  <c r="F376" i="1"/>
  <c r="F402" i="1"/>
  <c r="F404" i="1"/>
  <c r="F403" i="1"/>
  <c r="F432" i="1"/>
  <c r="F429" i="1"/>
  <c r="C199" i="1"/>
  <c r="E199" i="1"/>
  <c r="F401" i="1"/>
  <c r="E198" i="1"/>
  <c r="C198" i="1"/>
  <c r="F430" i="1"/>
  <c r="F373" i="1"/>
  <c r="C197" i="1"/>
  <c r="E197" i="1"/>
  <c r="F374" i="1"/>
  <c r="F375" i="1"/>
  <c r="C190" i="1"/>
  <c r="C193" i="1" s="1"/>
  <c r="P448" i="1"/>
  <c r="P449" i="1" s="1"/>
  <c r="P450" i="1" s="1"/>
  <c r="P451" i="1" s="1"/>
  <c r="P452" i="1" s="1"/>
  <c r="P453" i="1" s="1"/>
  <c r="P454" i="1" s="1"/>
  <c r="N447" i="1"/>
  <c r="A447" i="1" s="1"/>
  <c r="P439" i="1"/>
  <c r="N438" i="1"/>
  <c r="A438" i="1" s="1"/>
  <c r="O450" i="1"/>
  <c r="O442" i="1"/>
  <c r="P420" i="1"/>
  <c r="P421" i="1" s="1"/>
  <c r="P422" i="1" s="1"/>
  <c r="P423" i="1" s="1"/>
  <c r="P424" i="1" s="1"/>
  <c r="P425" i="1" s="1"/>
  <c r="P426" i="1" s="1"/>
  <c r="N419" i="1"/>
  <c r="A419" i="1" s="1"/>
  <c r="P411" i="1"/>
  <c r="N410" i="1"/>
  <c r="A410" i="1" s="1"/>
  <c r="O422" i="1"/>
  <c r="O414" i="1"/>
  <c r="P392" i="1"/>
  <c r="P393" i="1" s="1"/>
  <c r="P394" i="1" s="1"/>
  <c r="P395" i="1" s="1"/>
  <c r="P396" i="1" s="1"/>
  <c r="P397" i="1" s="1"/>
  <c r="P398" i="1" s="1"/>
  <c r="N391" i="1"/>
  <c r="A391" i="1" s="1"/>
  <c r="O394" i="1"/>
  <c r="D68" i="1"/>
  <c r="C205" i="1" l="1"/>
  <c r="E205" i="1"/>
  <c r="G198" i="1"/>
  <c r="G197" i="1"/>
  <c r="G199" i="1"/>
  <c r="N448" i="1"/>
  <c r="A448" i="1" s="1"/>
  <c r="N449" i="1"/>
  <c r="A449" i="1" s="1"/>
  <c r="N420" i="1"/>
  <c r="A420" i="1" s="1"/>
  <c r="N421" i="1"/>
  <c r="A421" i="1" s="1"/>
  <c r="O443" i="1"/>
  <c r="O451" i="1"/>
  <c r="N450" i="1"/>
  <c r="A450" i="1" s="1"/>
  <c r="P440" i="1"/>
  <c r="N439" i="1"/>
  <c r="A439" i="1" s="1"/>
  <c r="O415" i="1"/>
  <c r="O423" i="1"/>
  <c r="N422" i="1"/>
  <c r="A422" i="1" s="1"/>
  <c r="P412" i="1"/>
  <c r="N411" i="1"/>
  <c r="A411" i="1" s="1"/>
  <c r="N392" i="1"/>
  <c r="A392" i="1" s="1"/>
  <c r="N393" i="1"/>
  <c r="A393" i="1" s="1"/>
  <c r="O395" i="1"/>
  <c r="N394" i="1"/>
  <c r="A394" i="1" s="1"/>
  <c r="J82" i="1"/>
  <c r="J81" i="1"/>
  <c r="H72" i="1"/>
  <c r="G205" i="1" l="1"/>
  <c r="P441" i="1"/>
  <c r="N440" i="1"/>
  <c r="A440" i="1" s="1"/>
  <c r="O452" i="1"/>
  <c r="N451" i="1"/>
  <c r="A451" i="1" s="1"/>
  <c r="O444" i="1"/>
  <c r="P413" i="1"/>
  <c r="N412" i="1"/>
  <c r="A412" i="1" s="1"/>
  <c r="O424" i="1"/>
  <c r="N423" i="1"/>
  <c r="A423" i="1" s="1"/>
  <c r="O416" i="1"/>
  <c r="O396" i="1"/>
  <c r="N395" i="1"/>
  <c r="A395" i="1" s="1"/>
  <c r="D77" i="1"/>
  <c r="D83" i="1"/>
  <c r="J75" i="1"/>
  <c r="D84" i="1"/>
  <c r="D80" i="1"/>
  <c r="J76" i="1"/>
  <c r="C75" i="1" s="1"/>
  <c r="D75" i="1" s="1"/>
  <c r="J74" i="1"/>
  <c r="D79" i="1"/>
  <c r="D82" i="1"/>
  <c r="D78" i="1"/>
  <c r="J77" i="1"/>
  <c r="J78" i="1" s="1"/>
  <c r="J83" i="1" s="1"/>
  <c r="D81" i="1"/>
  <c r="G47" i="1"/>
  <c r="G48" i="1" s="1"/>
  <c r="A373" i="1"/>
  <c r="H158" i="1"/>
  <c r="H88" i="1"/>
  <c r="J93" i="1" l="1"/>
  <c r="J94" i="1" s="1"/>
  <c r="J99" i="1" s="1"/>
  <c r="J100" i="1" s="1"/>
  <c r="C92" i="1" s="1"/>
  <c r="D99" i="1"/>
  <c r="D97" i="1"/>
  <c r="D95" i="1"/>
  <c r="D93" i="1"/>
  <c r="J91" i="1"/>
  <c r="J92" i="1"/>
  <c r="C91" i="1" s="1"/>
  <c r="J90" i="1"/>
  <c r="D100" i="1"/>
  <c r="D98" i="1"/>
  <c r="D96" i="1"/>
  <c r="D94" i="1"/>
  <c r="D170" i="1"/>
  <c r="D168" i="1"/>
  <c r="D166" i="1"/>
  <c r="D164" i="1"/>
  <c r="J163" i="1"/>
  <c r="J164" i="1" s="1"/>
  <c r="J169" i="1" s="1"/>
  <c r="J170" i="1" s="1"/>
  <c r="C162" i="1" s="1"/>
  <c r="E161" i="1" s="1"/>
  <c r="D169" i="1"/>
  <c r="D167" i="1"/>
  <c r="D165" i="1"/>
  <c r="D163" i="1"/>
  <c r="J161" i="1"/>
  <c r="J162" i="1"/>
  <c r="C161" i="1" s="1"/>
  <c r="D161" i="1" s="1"/>
  <c r="J160" i="1"/>
  <c r="O445" i="1"/>
  <c r="O453" i="1"/>
  <c r="N452" i="1"/>
  <c r="A452" i="1" s="1"/>
  <c r="P442" i="1"/>
  <c r="N441" i="1"/>
  <c r="A441" i="1" s="1"/>
  <c r="O417" i="1"/>
  <c r="O425" i="1"/>
  <c r="N424" i="1"/>
  <c r="A424" i="1" s="1"/>
  <c r="P414" i="1"/>
  <c r="N413" i="1"/>
  <c r="A413" i="1" s="1"/>
  <c r="O397" i="1"/>
  <c r="N396" i="1"/>
  <c r="A396" i="1" s="1"/>
  <c r="J79" i="1"/>
  <c r="J80" i="1" s="1"/>
  <c r="A584" i="1"/>
  <c r="A585" i="1" s="1"/>
  <c r="A586" i="1" s="1"/>
  <c r="A587" i="1" s="1"/>
  <c r="A588" i="1" s="1"/>
  <c r="A590" i="1" s="1"/>
  <c r="A591" i="1" s="1"/>
  <c r="E91" i="1" l="1"/>
  <c r="I87" i="1" s="1"/>
  <c r="D92" i="1"/>
  <c r="G91" i="1"/>
  <c r="D91" i="1"/>
  <c r="I157" i="1"/>
  <c r="C159" i="1" s="1"/>
  <c r="D162" i="1"/>
  <c r="G161" i="1"/>
  <c r="P443" i="1"/>
  <c r="N442" i="1"/>
  <c r="A442" i="1" s="1"/>
  <c r="O454" i="1"/>
  <c r="N454" i="1" s="1"/>
  <c r="A454" i="1" s="1"/>
  <c r="N453" i="1"/>
  <c r="A453" i="1" s="1"/>
  <c r="P415" i="1"/>
  <c r="N414" i="1"/>
  <c r="A414" i="1" s="1"/>
  <c r="O426" i="1"/>
  <c r="N426" i="1" s="1"/>
  <c r="A426" i="1" s="1"/>
  <c r="N425" i="1"/>
  <c r="A425" i="1" s="1"/>
  <c r="O398" i="1"/>
  <c r="N398" i="1" s="1"/>
  <c r="A398" i="1" s="1"/>
  <c r="N397" i="1"/>
  <c r="A397" i="1" s="1"/>
  <c r="J84" i="1"/>
  <c r="C76" i="1" s="1"/>
  <c r="A374" i="1"/>
  <c r="A375" i="1" s="1"/>
  <c r="A376" i="1" s="1"/>
  <c r="A377" i="1" s="1"/>
  <c r="A378" i="1" s="1"/>
  <c r="A379" i="1" s="1"/>
  <c r="A380" i="1" s="1"/>
  <c r="P382" i="1"/>
  <c r="C89" i="1" l="1"/>
  <c r="P444" i="1"/>
  <c r="N443" i="1"/>
  <c r="A443" i="1" s="1"/>
  <c r="P416" i="1"/>
  <c r="N415" i="1"/>
  <c r="A415" i="1" s="1"/>
  <c r="E75" i="1"/>
  <c r="I71" i="1" s="1"/>
  <c r="C73" i="1" s="1"/>
  <c r="D76" i="1"/>
  <c r="G75" i="1"/>
  <c r="N382" i="1"/>
  <c r="P445" i="1" l="1"/>
  <c r="N445" i="1" s="1"/>
  <c r="A445" i="1" s="1"/>
  <c r="N444" i="1"/>
  <c r="A444" i="1" s="1"/>
  <c r="P417" i="1"/>
  <c r="N417" i="1" s="1"/>
  <c r="A417" i="1" s="1"/>
  <c r="N416" i="1"/>
  <c r="A416" i="1" s="1"/>
  <c r="D70" i="1" l="1"/>
  <c r="F171" i="1" s="1"/>
  <c r="C13" i="1" l="1"/>
  <c r="E40" i="1" l="1"/>
  <c r="E41" i="1" s="1"/>
  <c r="F213" i="1" l="1"/>
  <c r="A214" i="1"/>
  <c r="A215" i="1" s="1"/>
  <c r="A216" i="1" s="1"/>
  <c r="A217" i="1" s="1"/>
  <c r="A218" i="1" s="1"/>
  <c r="A219" i="1" s="1"/>
  <c r="F214" i="1"/>
  <c r="F215" i="1"/>
  <c r="F216" i="1"/>
  <c r="F217" i="1"/>
  <c r="F218" i="1"/>
  <c r="F219" i="1"/>
  <c r="G190" i="1" l="1"/>
  <c r="G193" i="1" s="1"/>
  <c r="O383" i="1"/>
  <c r="A382" i="1" l="1"/>
  <c r="P383" i="1"/>
  <c r="P384" i="1" s="1"/>
  <c r="P385" i="1" s="1"/>
  <c r="P386" i="1" s="1"/>
  <c r="P387" i="1" s="1"/>
  <c r="P388" i="1" s="1"/>
  <c r="P389" i="1" s="1"/>
  <c r="O384" i="1"/>
  <c r="G373" i="1"/>
  <c r="E24" i="1"/>
  <c r="E22" i="1"/>
  <c r="N383" i="1" l="1"/>
  <c r="A383" i="1" s="1"/>
  <c r="N384" i="1"/>
  <c r="A384" i="1" s="1"/>
  <c r="O385" i="1"/>
  <c r="N385" i="1" s="1"/>
  <c r="G6" i="5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A385" i="1" l="1"/>
  <c r="O386" i="1"/>
  <c r="N386" i="1" s="1"/>
  <c r="G12" i="5"/>
  <c r="A386" i="1" l="1"/>
  <c r="O387" i="1"/>
  <c r="N387" i="1" l="1"/>
  <c r="A387" i="1" s="1"/>
  <c r="O388" i="1"/>
  <c r="N388" i="1" l="1"/>
  <c r="A388" i="1" s="1"/>
  <c r="O389" i="1"/>
  <c r="N389" i="1" s="1"/>
  <c r="A389" i="1" s="1"/>
  <c r="E7" i="1"/>
  <c r="D604" i="1" l="1"/>
  <c r="F187" i="1"/>
  <c r="C47" i="1"/>
  <c r="C48" i="1" s="1"/>
  <c r="D57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<sst xmlns="http://schemas.openxmlformats.org/spreadsheetml/2006/main" count="925" uniqueCount="298">
  <si>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</si>
  <si>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</si>
  <si>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</si>
  <si>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</si>
  <si>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</si>
  <si>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</si>
  <si>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</si>
  <si>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</si>
  <si>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</si>
  <si>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</si>
  <si>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</si>
  <si>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</si>
  <si>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</si>
  <si>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</si>
  <si>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</si>
  <si>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</si>
  <si>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</si>
  <si>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</si>
  <si>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</si>
  <si>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</si>
  <si>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</si>
  <si>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</si>
  <si>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</si>
  <si>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</si>
  <si>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</si>
  <si>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</si>
  <si>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</si>
  <si>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</si>
  <si>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</si>
  <si>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</si>
  <si>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</si>
  <si>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</si>
  <si>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</si>
  <si>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</si>
  <si>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</si>
  <si>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</si>
  <si>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</si>
  <si>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</si>
  <si>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</si>
  <si>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</si>
  <si>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</si>
  <si>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</si>
  <si>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</si>
  <si>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</si>
  <si>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</si>
  <si>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</si>
  <si>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</si>
  <si>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</si>
  <si>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</si>
  <si>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</si>
  <si>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</si>
  <si>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</si>
  <si>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</si>
  <si>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</si>
  <si>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</si>
  <si>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</si>
  <si>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</si>
  <si>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</si>
  <si>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</si>
  <si>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</si>
  <si>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</si>
  <si>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</si>
  <si>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</si>
  <si>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</si>
  <si>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</si>
  <si>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</si>
  <si>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</si>
  <si>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</si>
  <si>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</si>
  <si>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</si>
  <si>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</si>
  <si>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</si>
  <si>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</si>
  <si>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</si>
  <si>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</si>
  <si>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</si>
  <si>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</si>
  <si>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</si>
  <si>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</si>
  <si>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</si>
  <si>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</si>
  <si>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</si>
  <si>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</si>
  <si>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</si>
  <si>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</si>
  <si>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</si>
  <si>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</si>
  <si>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</si>
  <si>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</si>
  <si>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</si>
  <si>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</si>
  <si>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</si>
  <si>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</si>
  <si>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</si>
  <si>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</si>
  <si>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</si>
  <si>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</si>
  <si>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</si>
  <si>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</si>
  <si>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</si>
  <si>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</si>
  <si>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</si>
  <si>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</si>
  <si>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</si>
  <si>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</si>
  <si>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</si>
  <si>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</si>
  <si>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</si>
  <si>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</si>
  <si>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</si>
  <si>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</si>
  <si>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</si>
  <si>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</si>
  <si>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</si>
  <si>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</si>
  <si>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</si>
  <si>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</si>
  <si>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</si>
  <si>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</si>
  <si>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</si>
  <si>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</si>
  <si>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</si>
  <si>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</si>
  <si>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</si>
  <si>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</si>
  <si>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</si>
  <si>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</si>
  <si>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</si>
  <si>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</si>
  <si>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</si>
  <si>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</si>
  <si>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</si>
  <si>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</si>
  <si>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</si>
  <si>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</si>
  <si>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</si>
  <si>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</si>
  <si>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</si>
  <si>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</si>
  <si>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</si>
  <si>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</si>
  <si>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</si>
  <si>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</si>
  <si>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</si>
  <si>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</si>
  <si>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</si>
  <si>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</si>
  <si>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</si>
  <si>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</si>
  <si>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</si>
  <si>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</si>
  <si>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</si>
  <si>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</si>
  <si>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</si>
  <si>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</si>
  <si>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</si>
  <si>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</si>
  <si>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</si>
  <si>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</si>
  <si>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</si>
  <si>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</si>
  <si>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</si>
  <si>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</si>
  <si>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</si>
  <si>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</si>
  <si>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</si>
  <si>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</si>
  <si>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</si>
  <si>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</si>
  <si>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</si>
  <si>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</si>
  <si>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</si>
  <si>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</si>
  <si>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</si>
  <si>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</si>
  <si>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</si>
  <si>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</si>
  <si>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</si>
  <si>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</si>
  <si>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</si>
  <si>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</si>
  <si>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</si>
  <si>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</si>
  <si>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</si>
  <si>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</si>
  <si>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</si>
  <si>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</si>
  <si>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M/s.Swaminarayan Life Space LLP</t>
  </si>
  <si>
    <t>Swaminarayan City Phase I</t>
  </si>
  <si>
    <t xml:space="preserve">Mr.Mahajan 9372246443
</t>
  </si>
  <si>
    <t>60/7, 60/8, 61/21, 61/51, 61/58, 61/80, 61/95, 61/75C, 61/81, 61/17, 61/18, 61/20, 61/52, 61/53, 61/54, 61/55, 61/56, 61/57</t>
  </si>
  <si>
    <t>Thakurli</t>
  </si>
  <si>
    <t>Thane</t>
  </si>
  <si>
    <t>Kalyan</t>
  </si>
  <si>
    <t>Village</t>
  </si>
  <si>
    <t>Reti Bunder Road</t>
  </si>
  <si>
    <t>CTS No</t>
  </si>
  <si>
    <t>Swastik Heights</t>
  </si>
  <si>
    <t>Building</t>
  </si>
  <si>
    <t>KDMC/TPD/BP/DOM/2018-19/0026/156</t>
  </si>
  <si>
    <t>18/03/2021.</t>
  </si>
  <si>
    <t>Tower A</t>
  </si>
  <si>
    <t>2nd Floor for Residential</t>
  </si>
  <si>
    <t>2BHK</t>
  </si>
  <si>
    <t>1BHK</t>
  </si>
  <si>
    <t>Recreational Area</t>
  </si>
  <si>
    <t>Refuge Area</t>
  </si>
  <si>
    <t>Tower B</t>
  </si>
  <si>
    <t>Tower C</t>
  </si>
  <si>
    <t>7th, 12th, 17th, 22nd Floor (Part Refuge Area)</t>
  </si>
  <si>
    <t>Shop</t>
  </si>
  <si>
    <t>Ground Floor For Commercial &amp; Parking</t>
  </si>
  <si>
    <t>1st Podium Floor</t>
  </si>
  <si>
    <t>We considered  Saleable area as per our calculation.</t>
  </si>
  <si>
    <t>We considered Gross carpet area = Net carpet + Enclose balcony + C.B Area + A.P Area.</t>
  </si>
  <si>
    <t>3rd, 4th, 5th, 6th, 8th, 9th, 10th, 11th, 13th, 14th, 15th, 16th, 18th, 19th, 20th, 21st, 23rd, 24th Floor</t>
  </si>
  <si>
    <t>As per RERA - 30/06/2027.</t>
  </si>
  <si>
    <t xml:space="preserve"> Refuge Area</t>
  </si>
  <si>
    <t>1st Floor For Commercial &amp; Parking</t>
  </si>
  <si>
    <t>Office</t>
  </si>
  <si>
    <t>Approved Plans, CC</t>
  </si>
  <si>
    <t>3.3 Km from Thakurli Railway Station</t>
  </si>
  <si>
    <t>Floor Rise Rate Per Sq.ft from 2nd Floor</t>
  </si>
  <si>
    <t>KDMC/TPD/BP/DOM/2018-19/0026/294</t>
  </si>
  <si>
    <t>Tower G = St/Gr + 1st to 33rd Floor</t>
  </si>
  <si>
    <t>Tower H = St/Gr + 1st to 24th Floor</t>
  </si>
  <si>
    <t>Tower D = St/Gr + 1st to 28th Floor</t>
  </si>
  <si>
    <t>39A</t>
  </si>
  <si>
    <t>2nd Floor For Commercial</t>
  </si>
  <si>
    <t>1st Floor For Commercial</t>
  </si>
  <si>
    <t>3rd Floor for Residential</t>
  </si>
  <si>
    <t>3BHK</t>
  </si>
  <si>
    <t>4th, 6th, 7th, 8th, 9th, 11th, 12th, 13th, 14th, 15th, 17th, 18th, 19th, 20th, 21st, 23rd, 24th,25th, 26th, 27th, 28th Floor</t>
  </si>
  <si>
    <t>5th, 10th, 16th, 22nd Floor (Part Refuge Area)</t>
  </si>
  <si>
    <t xml:space="preserve">We have updated revised approved floor plan &amp; C.C for D Tower, G Tower (3rd to33rd Floor) &amp; H Tower (2nd to 24th Floor) (on 24/03/2023).
</t>
  </si>
  <si>
    <t>3rd to 33rd Floor</t>
  </si>
  <si>
    <t>2nd Floor for Residential &amp; Parking</t>
  </si>
  <si>
    <t>3rd to 6th 8th to 11th 13th to 16th, 18th to 21st, 23rd &amp; 24th Floor</t>
  </si>
  <si>
    <t>7th, 12th, 17th &amp; 22nd Floor (Part Refuge Area)</t>
  </si>
  <si>
    <t>Part Parking Area</t>
  </si>
  <si>
    <t>Location Link</t>
  </si>
  <si>
    <t>https://goo.gl/maps/SSxf3PAAuBuFXSMn9</t>
  </si>
  <si>
    <t>Layout Plan:</t>
  </si>
  <si>
    <t>Tower E = St/Gr + 1st to 35th Floor</t>
  </si>
  <si>
    <t>Tower F = St/Gr + 1st to 35th Floor</t>
  </si>
  <si>
    <t>Tower A, B &amp; C = St/Gr + P + 2nd to 24th Floor 
Tower D = St/Gr + 1st to 28th Floor
Tower E &amp; F = St/Gr + 1st to 35th Floor
Tower G = St/Gr + 1st to 33rd Floor
Tower H = St/Gr + 1st to 24th Floor</t>
  </si>
  <si>
    <t xml:space="preserve">1st Floor For Commercial </t>
  </si>
  <si>
    <t xml:space="preserve">2nd Floor For Commercial </t>
  </si>
  <si>
    <t>4th Floor for Residential</t>
  </si>
  <si>
    <t>Amenities Area</t>
  </si>
  <si>
    <t>5th, 6th, 8th to 11th, 13th to 16th, 18th to 21st, 23rd to 26th, 28th to 31st, 33rd, 34th &amp; 35th Floor</t>
  </si>
  <si>
    <t>7th, 12th, 17th, 22nd, 27th &amp; 32nd Floor (Part Refuge Area)</t>
  </si>
  <si>
    <t>Provide approved 3rd Floor plan for E &amp; F Tower, Ground &amp; 1st Floor plan for G Tower &amp; Ground &amp; 1st Floor plan for H Tower.</t>
  </si>
  <si>
    <t>Flats - 1625, Shops - 119, Office - 23</t>
  </si>
  <si>
    <t xml:space="preserve">We have updated revised approved floor plan &amp; C.C for E, F Tower, G Tower (Gr + 1st to 2nd &amp; 4th to 35th Floor)  (on 29/03/2023).
</t>
  </si>
  <si>
    <t>08 Buildings</t>
  </si>
  <si>
    <t xml:space="preserve">Tower C  = St/Gr + P + 2nd to 24th Floor </t>
  </si>
  <si>
    <t xml:space="preserve">Tower A &amp; B   = St/Gr + P + 2nd to 24th Floor 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</si>
  <si>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E mail : vsjcapf@gmail.com. Web site : www.vsjadon.com
</t>
  </si>
  <si>
    <t xml:space="preserve">Phase 1
Phase 1A
Phase 1B
Phase 1C
</t>
  </si>
  <si>
    <t xml:space="preserve">Phase 1 = P51700018305
Phase 1A = P51700019326
Phase 1B = P51700031749
Phase 1C = P51700049570
</t>
  </si>
  <si>
    <t>Phase 1 (Tower A, B &amp; C)</t>
  </si>
  <si>
    <t xml:space="preserve">Valid Up to: Phase 1(Tower A, B &amp; C) = St/Gr + P + 24th Floor </t>
  </si>
  <si>
    <t>Phase 1A (Tower D &amp; H)
Phase 1B(Tower G)
Phase 1C(Tower E &amp; F)</t>
  </si>
  <si>
    <t xml:space="preserve">Commencement Certificate No.
Valid Up to: </t>
  </si>
  <si>
    <t xml:space="preserve">Phase 1A(Tower D) = St/Gr + 1st to 28th Floor
Phase 1A(Tower H)= St/Gr + 1st to 24th Floor
Phase 1C(Tower E &amp; F) = St/Gr + 1st to 35th Floor
Phase 1B(Tower G) = St/Gr + 1st to 33rd Floor
  </t>
  </si>
  <si>
    <t>Phase 1</t>
  </si>
  <si>
    <t>Phase 1A</t>
  </si>
  <si>
    <t>Phase 1C</t>
  </si>
  <si>
    <t>Phase 1A (Tower D)</t>
  </si>
  <si>
    <t>Phase 1C (Tower E)</t>
  </si>
  <si>
    <t>Phase 1C (Tower F)</t>
  </si>
  <si>
    <t>Phase 1B (Tower G)</t>
  </si>
  <si>
    <t>Phase 1A (Tower H)</t>
  </si>
  <si>
    <t>Building &amp; Tower</t>
  </si>
  <si>
    <t xml:space="preserve"> D Tower Shop</t>
  </si>
  <si>
    <t>E &amp; F Tower Shop</t>
  </si>
  <si>
    <t>A Tower</t>
  </si>
  <si>
    <t>B Tower</t>
  </si>
  <si>
    <t>C Tower</t>
  </si>
  <si>
    <t>D Tower</t>
  </si>
  <si>
    <t>E Tower</t>
  </si>
  <si>
    <t>F Tower</t>
  </si>
  <si>
    <t>G Tower</t>
  </si>
  <si>
    <t>H Tower</t>
  </si>
  <si>
    <t>A, B &amp; C Tower</t>
  </si>
  <si>
    <t>E &amp; F Tower</t>
  </si>
  <si>
    <t xml:space="preserve">
Please check the nomenclature.
</t>
  </si>
  <si>
    <t>Swaminarayan City Phase 1, 1A, 1B &amp; 1C</t>
  </si>
  <si>
    <t xml:space="preserve">Tower A  Athena
Tower B Almada
Tower C Aveiro
Tower D  Estonia
Tower H Amadora
Tower G Georgia
Tower E Adonia
Tower F Fiona
</t>
  </si>
  <si>
    <t>Latitude,Longitude</t>
  </si>
  <si>
    <t>19.2278343,73.0711571</t>
  </si>
  <si>
    <t xml:space="preserve">Tower A, B &amp; C = St/Gr + P + 2nd to 24th Floor </t>
  </si>
  <si>
    <t>Pooja</t>
  </si>
  <si>
    <t xml:space="preserve">As checked on RERA portal on date 11/07/2025, we have observed that above project "Swaminarayan City Phase 1" is kept under abeyance. Please check from your end.
</t>
  </si>
  <si>
    <t>On Site, we meet Ms. Trupti : 7718831106.</t>
  </si>
  <si>
    <t>Tower A, B &amp; C = All work completed. Please provide OC.
Tower D, E, F, G &amp; H = Construction Work is in process at the time of visit. Internal photo was not allowed.</t>
  </si>
  <si>
    <t>Gangaram parshuram Lambore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</si>
</sst>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0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0" fontId="18" fillId="0" borderId="0" xfId="0" applyFont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Protection="1">
      <protection hidden="1"/>
    </xf>
    <xf numFmtId="0" fontId="8" fillId="0" borderId="11" xfId="1" applyFont="1" applyBorder="1" applyProtection="1">
      <protection hidden="1"/>
    </xf>
    <xf numFmtId="0" fontId="18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3" fillId="0" borderId="5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1" fillId="0" borderId="0" xfId="1" applyFont="1"/>
    <xf numFmtId="1" fontId="8" fillId="0" borderId="0" xfId="0" applyNumberFormat="1" applyFont="1" applyAlignment="1">
      <alignment horizontal="center" vertical="center"/>
    </xf>
    <xf numFmtId="0" fontId="13" fillId="0" borderId="9" xfId="1" applyFont="1" applyBorder="1" applyAlignment="1" applyProtection="1">
      <alignment vertical="top" wrapText="1"/>
      <protection locked="0"/>
    </xf>
    <xf numFmtId="0" fontId="8" fillId="3" borderId="0" xfId="1" applyFont="1" applyFill="1" applyAlignment="1">
      <alignment wrapText="1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 applyProtection="1">
      <alignment horizontal="center" vertical="center"/>
      <protection hidden="1"/>
    </xf>
    <xf numFmtId="0" fontId="13" fillId="0" borderId="19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9" fontId="14" fillId="0" borderId="20" xfId="1" applyNumberFormat="1" applyFont="1" applyBorder="1" applyAlignment="1" applyProtection="1">
      <alignment horizontal="center" vertical="center" wrapText="1"/>
      <protection locked="0"/>
    </xf>
    <xf numFmtId="0" fontId="14" fillId="0" borderId="30" xfId="1" applyFont="1" applyBorder="1" applyAlignment="1" applyProtection="1">
      <alignment horizontal="center" vertical="center" wrapText="1"/>
      <protection locked="0"/>
    </xf>
    <xf numFmtId="0" fontId="14" fillId="0" borderId="31" xfId="1" applyFont="1" applyBorder="1" applyAlignment="1" applyProtection="1">
      <alignment horizontal="center" vertical="center" wrapText="1"/>
      <protection locked="0"/>
    </xf>
    <xf numFmtId="0" fontId="14" fillId="0" borderId="15" xfId="1" applyFont="1" applyBorder="1" applyAlignment="1" applyProtection="1">
      <alignment horizontal="center" vertical="center" wrapText="1"/>
      <protection locked="0"/>
    </xf>
    <xf numFmtId="0" fontId="14" fillId="0" borderId="33" xfId="1" applyFont="1" applyBorder="1" applyAlignment="1" applyProtection="1">
      <alignment horizontal="center" vertical="center"/>
      <protection locked="0"/>
    </xf>
    <xf numFmtId="0" fontId="14" fillId="0" borderId="34" xfId="1" applyFont="1" applyBorder="1" applyAlignment="1" applyProtection="1">
      <alignment horizontal="center" vertical="center"/>
      <protection locked="0"/>
    </xf>
    <xf numFmtId="0" fontId="14" fillId="0" borderId="31" xfId="1" applyFont="1" applyBorder="1" applyAlignment="1" applyProtection="1">
      <alignment horizontal="center" vertical="center"/>
      <protection locked="0"/>
    </xf>
    <xf numFmtId="0" fontId="14" fillId="0" borderId="32" xfId="1" applyFont="1" applyBorder="1" applyAlignment="1" applyProtection="1">
      <alignment horizontal="center" vertical="center"/>
      <protection locked="0"/>
    </xf>
    <xf numFmtId="9" fontId="14" fillId="0" borderId="33" xfId="1" applyNumberFormat="1" applyFont="1" applyBorder="1" applyAlignment="1" applyProtection="1">
      <alignment horizontal="center" vertical="center" wrapText="1"/>
      <protection locked="0"/>
    </xf>
    <xf numFmtId="9" fontId="14" fillId="0" borderId="34" xfId="1" applyNumberFormat="1" applyFont="1" applyBorder="1" applyAlignment="1" applyProtection="1">
      <alignment horizontal="center" vertical="center" wrapText="1"/>
      <protection locked="0"/>
    </xf>
    <xf numFmtId="9" fontId="14" fillId="0" borderId="31" xfId="1" applyNumberFormat="1" applyFont="1" applyBorder="1" applyAlignment="1" applyProtection="1">
      <alignment horizontal="center" vertical="center" wrapText="1"/>
      <protection locked="0"/>
    </xf>
    <xf numFmtId="9" fontId="14" fillId="0" borderId="32" xfId="1" applyNumberFormat="1" applyFont="1" applyBorder="1" applyAlignment="1" applyProtection="1">
      <alignment horizontal="center" vertical="center" wrapText="1"/>
      <protection locked="0"/>
    </xf>
    <xf numFmtId="0" fontId="14" fillId="0" borderId="33" xfId="1" applyFont="1" applyBorder="1" applyAlignment="1" applyProtection="1">
      <alignment horizontal="center" vertical="center" wrapText="1"/>
      <protection locked="0"/>
    </xf>
    <xf numFmtId="0" fontId="14" fillId="0" borderId="11" xfId="1" applyFont="1" applyBorder="1" applyAlignment="1" applyProtection="1">
      <alignment horizontal="center" vertical="center" wrapText="1"/>
      <protection locked="0"/>
    </xf>
    <xf numFmtId="0" fontId="14" fillId="0" borderId="14" xfId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9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1" fontId="11" fillId="0" borderId="9" xfId="0" applyNumberFormat="1" applyFont="1" applyBorder="1" applyAlignment="1" applyProtection="1">
      <alignment horizontal="center" vertical="center"/>
      <protection locked="0"/>
    </xf>
    <xf numFmtId="1" fontId="11" fillId="0" borderId="10" xfId="0" applyNumberFormat="1" applyFont="1" applyBorder="1" applyAlignment="1" applyProtection="1">
      <alignment horizontal="center" vertical="center"/>
      <protection locked="0"/>
    </xf>
    <xf numFmtId="1" fontId="11" fillId="0" borderId="9" xfId="0" applyNumberFormat="1" applyFont="1" applyBorder="1" applyAlignment="1" applyProtection="1">
      <alignment horizontal="center" vertical="top" wrapText="1"/>
      <protection locked="0"/>
    </xf>
    <xf numFmtId="1" fontId="11" fillId="0" borderId="10" xfId="0" applyNumberFormat="1" applyFont="1" applyBorder="1" applyAlignment="1" applyProtection="1">
      <alignment horizontal="center" vertical="top" wrapText="1"/>
      <protection locked="0"/>
    </xf>
    <xf numFmtId="1" fontId="9" fillId="0" borderId="9" xfId="0" applyNumberFormat="1" applyFont="1" applyBorder="1" applyAlignment="1" applyProtection="1">
      <alignment horizontal="center" vertical="top" wrapText="1"/>
      <protection locked="0"/>
    </xf>
    <xf numFmtId="1" fontId="9" fillId="0" borderId="10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6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25" xfId="1" applyFont="1" applyFill="1" applyBorder="1" applyAlignment="1" applyProtection="1">
      <alignment horizontal="left" vertical="top" wrapText="1"/>
      <protection locked="0"/>
    </xf>
    <xf numFmtId="0" fontId="14" fillId="0" borderId="18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68" fontId="13" fillId="2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9" xfId="0" applyNumberFormat="1" applyFont="1" applyBorder="1" applyAlignment="1" applyProtection="1">
      <alignment horizontal="left" vertical="top" wrapText="1"/>
      <protection locked="0"/>
    </xf>
    <xf numFmtId="1" fontId="9" fillId="0" borderId="24" xfId="0" applyNumberFormat="1" applyFont="1" applyBorder="1" applyAlignment="1" applyProtection="1">
      <alignment horizontal="left" vertical="top" wrapText="1"/>
      <protection locked="0"/>
    </xf>
    <xf numFmtId="1" fontId="9" fillId="0" borderId="10" xfId="0" applyNumberFormat="1" applyFont="1" applyBorder="1" applyAlignment="1" applyProtection="1">
      <alignment horizontal="left" vertical="top" wrapText="1"/>
      <protection locked="0"/>
    </xf>
    <xf numFmtId="0" fontId="14" fillId="0" borderId="7" xfId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5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24" xfId="1" applyFont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 applyProtection="1">
      <alignment horizontal="center" vertical="top" wrapText="1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2" fillId="0" borderId="24" xfId="1" applyFont="1" applyBorder="1" applyAlignment="1" applyProtection="1">
      <alignment horizontal="center" vertical="top" wrapText="1"/>
      <protection locked="0"/>
    </xf>
    <xf numFmtId="0" fontId="12" fillId="0" borderId="10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24" fillId="0" borderId="9" xfId="10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1" fillId="0" borderId="9" xfId="1" applyFont="1" applyBorder="1" applyAlignment="1" applyProtection="1">
      <alignment horizontal="left"/>
      <protection locked="0"/>
    </xf>
    <xf numFmtId="0" fontId="11" fillId="0" borderId="24" xfId="1" applyFont="1" applyBorder="1" applyAlignment="1" applyProtection="1">
      <alignment horizontal="left"/>
      <protection locked="0"/>
    </xf>
    <xf numFmtId="0" fontId="11" fillId="0" borderId="10" xfId="1" applyFont="1" applyBorder="1" applyAlignment="1" applyProtection="1">
      <alignment horizontal="left"/>
      <protection locked="0"/>
    </xf>
    <xf numFmtId="0" fontId="14" fillId="0" borderId="36" xfId="1" applyFont="1" applyBorder="1" applyAlignment="1" applyProtection="1">
      <alignment horizontal="left" vertical="top" wrapText="1"/>
      <protection locked="0"/>
    </xf>
    <xf numFmtId="0" fontId="14" fillId="0" borderId="23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4" fillId="0" borderId="2" xfId="1" applyFont="1" applyBorder="1" applyAlignment="1" applyProtection="1">
      <alignment horizontal="left" vertical="top" wrapText="1"/>
      <protection locked="0"/>
    </xf>
    <xf numFmtId="0" fontId="14" fillId="0" borderId="37" xfId="1" applyFont="1" applyBorder="1" applyAlignment="1" applyProtection="1">
      <alignment horizontal="left" vertical="top" wrapText="1"/>
      <protection locked="0"/>
    </xf>
    <xf numFmtId="168" fontId="14" fillId="2" borderId="1" xfId="9" applyNumberFormat="1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639247</xdr:colOff>
      <xdr:row>742</xdr:row>
      <xdr:rowOff>114095</xdr:rowOff>
    </xdr:from>
    <xdr:to>
      <xdr:col>7</xdr:col>
      <xdr:colOff>14113</xdr:colOff>
      <xdr:row>760</xdr:row>
      <xdr:rowOff>129233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9247" y="65048618"/>
          <a:ext cx="506388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628039</xdr:colOff>
      <xdr:row>724</xdr:row>
      <xdr:rowOff>2546</xdr:rowOff>
    </xdr:from>
    <xdr:to>
      <xdr:col>7</xdr:col>
      <xdr:colOff>14962</xdr:colOff>
      <xdr:row>742</xdr:row>
      <xdr:rowOff>17681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8039" y="61352205"/>
          <a:ext cx="507594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374433</xdr:colOff>
      <xdr:row>688</xdr:row>
      <xdr:rowOff>13138</xdr:rowOff>
    </xdr:from>
    <xdr:to>
      <xdr:col>7</xdr:col>
      <xdr:colOff>531264</xdr:colOff>
      <xdr:row>716</xdr:row>
      <xdr:rowOff>112785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433" y="103704259"/>
          <a:ext cx="5858693" cy="56110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597908</xdr:colOff>
      <xdr:row>692</xdr:row>
      <xdr:rowOff>23730</xdr:rowOff>
    </xdr:from>
    <xdr:to>
      <xdr:col>3</xdr:col>
      <xdr:colOff>345937</xdr:colOff>
      <xdr:row>703</xdr:row>
      <xdr:rowOff>167372</xdr:rowOff>
    </xdr:to>
    <xdr:sp macro="" textlink="">
      <xdr:nvSpPr>
        <xdr:cNvPr id="46" name="Text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rot="1836782">
          <a:off x="2161322" y="104496558"/>
          <a:ext cx="595425" cy="2311400"/>
        </a:xfrm>
        <a:prstGeom prst="rect">
          <a:avLst/>
        </a:prstGeom>
        <a:noFill/>
        <a:ln w="38100"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1</xdr:col>
      <xdr:colOff>462707</xdr:colOff>
      <xdr:row>692</xdr:row>
      <xdr:rowOff>33198</xdr:rowOff>
    </xdr:from>
    <xdr:to>
      <xdr:col>3</xdr:col>
      <xdr:colOff>376761</xdr:colOff>
      <xdr:row>694</xdr:row>
      <xdr:rowOff>8392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224707" y="104506026"/>
          <a:ext cx="156286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A, B &amp; C Wing </a:t>
          </a:r>
        </a:p>
      </xdr:txBody>
    </xdr:sp>
    <xdr:clientData/>
  </xdr:twoCellAnchor>
  <xdr:twoCellAnchor>
    <xdr:from>
      <xdr:col>4</xdr:col>
      <xdr:colOff>262298</xdr:colOff>
      <xdr:row>699</xdr:row>
      <xdr:rowOff>174106</xdr:rowOff>
    </xdr:from>
    <xdr:to>
      <xdr:col>5</xdr:col>
      <xdr:colOff>763291</xdr:colOff>
      <xdr:row>703</xdr:row>
      <xdr:rowOff>157904</xdr:rowOff>
    </xdr:to>
    <xdr:sp macro="" textlink="">
      <xdr:nvSpPr>
        <xdr:cNvPr id="48" name="Text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rot="1389600">
          <a:off x="3619039" y="106026416"/>
          <a:ext cx="1282700" cy="772074"/>
        </a:xfrm>
        <a:prstGeom prst="rect">
          <a:avLst/>
        </a:prstGeom>
        <a:noFill/>
        <a:ln w="38100"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4</xdr:col>
      <xdr:colOff>248814</xdr:colOff>
      <xdr:row>709</xdr:row>
      <xdr:rowOff>68112</xdr:rowOff>
    </xdr:from>
    <xdr:to>
      <xdr:col>5</xdr:col>
      <xdr:colOff>466615</xdr:colOff>
      <xdr:row>713</xdr:row>
      <xdr:rowOff>51910</xdr:rowOff>
    </xdr:to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rot="1389600">
          <a:off x="3605555" y="107891112"/>
          <a:ext cx="999508" cy="772074"/>
        </a:xfrm>
        <a:prstGeom prst="rect">
          <a:avLst/>
        </a:prstGeom>
        <a:noFill/>
        <a:ln w="38100"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5</xdr:col>
      <xdr:colOff>465420</xdr:colOff>
      <xdr:row>710</xdr:row>
      <xdr:rowOff>111851</xdr:rowOff>
    </xdr:from>
    <xdr:to>
      <xdr:col>6</xdr:col>
      <xdr:colOff>302703</xdr:colOff>
      <xdr:row>714</xdr:row>
      <xdr:rowOff>95649</xdr:rowOff>
    </xdr:to>
    <xdr:sp macro="" textlink="">
      <xdr:nvSpPr>
        <xdr:cNvPr id="50" name="TextBox 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rot="1389600">
          <a:off x="4603868" y="108131920"/>
          <a:ext cx="618990" cy="772074"/>
        </a:xfrm>
        <a:prstGeom prst="rect">
          <a:avLst/>
        </a:prstGeom>
        <a:noFill/>
        <a:ln w="38100"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6</xdr:col>
      <xdr:colOff>224823</xdr:colOff>
      <xdr:row>712</xdr:row>
      <xdr:rowOff>45090</xdr:rowOff>
    </xdr:from>
    <xdr:to>
      <xdr:col>7</xdr:col>
      <xdr:colOff>379591</xdr:colOff>
      <xdr:row>714</xdr:row>
      <xdr:rowOff>20284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144978" y="108459297"/>
          <a:ext cx="936475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G Wing </a:t>
          </a:r>
        </a:p>
      </xdr:txBody>
    </xdr:sp>
    <xdr:clientData/>
  </xdr:twoCellAnchor>
  <xdr:twoCellAnchor>
    <xdr:from>
      <xdr:col>4</xdr:col>
      <xdr:colOff>475236</xdr:colOff>
      <xdr:row>697</xdr:row>
      <xdr:rowOff>99282</xdr:rowOff>
    </xdr:from>
    <xdr:to>
      <xdr:col>5</xdr:col>
      <xdr:colOff>630004</xdr:colOff>
      <xdr:row>699</xdr:row>
      <xdr:rowOff>74476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3831977" y="105557454"/>
          <a:ext cx="936475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 Wing </a:t>
          </a:r>
        </a:p>
      </xdr:txBody>
    </xdr:sp>
    <xdr:clientData/>
  </xdr:twoCellAnchor>
  <xdr:twoCellAnchor>
    <xdr:from>
      <xdr:col>3</xdr:col>
      <xdr:colOff>866225</xdr:colOff>
      <xdr:row>712</xdr:row>
      <xdr:rowOff>103750</xdr:rowOff>
    </xdr:from>
    <xdr:to>
      <xdr:col>5</xdr:col>
      <xdr:colOff>75062</xdr:colOff>
      <xdr:row>714</xdr:row>
      <xdr:rowOff>78944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 rot="1370040">
          <a:off x="3277035" y="108517957"/>
          <a:ext cx="936475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H Wing </a:t>
          </a:r>
        </a:p>
      </xdr:txBody>
    </xdr:sp>
    <xdr:clientData/>
  </xdr:twoCellAnchor>
  <xdr:twoCellAnchor>
    <xdr:from>
      <xdr:col>8</xdr:col>
      <xdr:colOff>175249</xdr:colOff>
      <xdr:row>603</xdr:row>
      <xdr:rowOff>47625</xdr:rowOff>
    </xdr:from>
    <xdr:to>
      <xdr:col>9</xdr:col>
      <xdr:colOff>21808</xdr:colOff>
      <xdr:row>605</xdr:row>
      <xdr:rowOff>16907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699874" y="129139950"/>
          <a:ext cx="100860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A , B &amp; C</a:t>
          </a:r>
          <a:endParaRPr lang="x-none"/>
        </a:p>
      </xdr:txBody>
    </xdr:sp>
    <xdr:clientData/>
  </xdr:twoCellAnchor>
  <xdr:twoCellAnchor>
    <xdr:from>
      <xdr:col>9</xdr:col>
      <xdr:colOff>144310</xdr:colOff>
      <xdr:row>603</xdr:row>
      <xdr:rowOff>91559</xdr:rowOff>
    </xdr:from>
    <xdr:to>
      <xdr:col>9</xdr:col>
      <xdr:colOff>474850</xdr:colOff>
      <xdr:row>605</xdr:row>
      <xdr:rowOff>60841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7830985" y="129183884"/>
          <a:ext cx="330540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D</a:t>
          </a:r>
          <a:endParaRPr lang="x-none"/>
        </a:p>
      </xdr:txBody>
    </xdr:sp>
    <xdr:clientData/>
  </xdr:twoCellAnchor>
  <xdr:twoCellAnchor>
    <xdr:from>
      <xdr:col>9</xdr:col>
      <xdr:colOff>500224</xdr:colOff>
      <xdr:row>603</xdr:row>
      <xdr:rowOff>47775</xdr:rowOff>
    </xdr:from>
    <xdr:to>
      <xdr:col>10</xdr:col>
      <xdr:colOff>68764</xdr:colOff>
      <xdr:row>605</xdr:row>
      <xdr:rowOff>17057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8186899" y="129140100"/>
          <a:ext cx="330540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H</a:t>
          </a:r>
          <a:endParaRPr lang="x-none"/>
        </a:p>
      </xdr:txBody>
    </xdr:sp>
    <xdr:clientData/>
  </xdr:twoCellAnchor>
  <xdr:oneCellAnchor>
    <xdr:from>
      <xdr:col>9</xdr:col>
      <xdr:colOff>431800</xdr:colOff>
      <xdr:row>601</xdr:row>
      <xdr:rowOff>38100</xdr:rowOff>
    </xdr:from>
    <xdr:ext cx="639727" cy="280205"/>
    <xdr:sp macro="" textlink="">
      <xdr:nvSpPr>
        <xdr:cNvPr id="11" name="TextBox 10"/>
        <xdr:cNvSpPr txBox="1"/>
      </xdr:nvSpPr>
      <xdr:spPr>
        <a:xfrm>
          <a:off x="8921750" y="122624850"/>
          <a:ext cx="6397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 Wing</a:t>
          </a:r>
        </a:p>
      </xdr:txBody>
    </xdr:sp>
    <xdr:clientData/>
  </xdr:oneCellAnchor>
  <xdr:twoCellAnchor editAs="oneCell">
    <xdr:from>
      <xdr:col>10</xdr:col>
      <xdr:colOff>488950</xdr:colOff>
      <xdr:row>581</xdr:row>
      <xdr:rowOff>552450</xdr:rowOff>
    </xdr:from>
    <xdr:to>
      <xdr:col>18</xdr:col>
      <xdr:colOff>15200</xdr:colOff>
      <xdr:row>594</xdr:row>
      <xdr:rowOff>72750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79000" y="118281450"/>
          <a:ext cx="5400000" cy="2835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175249</xdr:colOff>
      <xdr:row>645</xdr:row>
      <xdr:rowOff>47625</xdr:rowOff>
    </xdr:from>
    <xdr:to>
      <xdr:col>9</xdr:col>
      <xdr:colOff>21808</xdr:colOff>
      <xdr:row>647</xdr:row>
      <xdr:rowOff>16907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445999" y="123548775"/>
          <a:ext cx="1065759" cy="3629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A , B &amp; C</a:t>
          </a:r>
          <a:endParaRPr lang="x-none"/>
        </a:p>
      </xdr:txBody>
    </xdr:sp>
    <xdr:clientData/>
  </xdr:twoCellAnchor>
  <xdr:twoCellAnchor>
    <xdr:from>
      <xdr:col>9</xdr:col>
      <xdr:colOff>144310</xdr:colOff>
      <xdr:row>645</xdr:row>
      <xdr:rowOff>91559</xdr:rowOff>
    </xdr:from>
    <xdr:to>
      <xdr:col>9</xdr:col>
      <xdr:colOff>474850</xdr:colOff>
      <xdr:row>647</xdr:row>
      <xdr:rowOff>60841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8634260" y="123592709"/>
          <a:ext cx="330540" cy="3629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D</a:t>
          </a:r>
          <a:endParaRPr lang="x-none"/>
        </a:p>
      </xdr:txBody>
    </xdr:sp>
    <xdr:clientData/>
  </xdr:twoCellAnchor>
  <xdr:twoCellAnchor>
    <xdr:from>
      <xdr:col>9</xdr:col>
      <xdr:colOff>500224</xdr:colOff>
      <xdr:row>645</xdr:row>
      <xdr:rowOff>47775</xdr:rowOff>
    </xdr:from>
    <xdr:to>
      <xdr:col>10</xdr:col>
      <xdr:colOff>68764</xdr:colOff>
      <xdr:row>647</xdr:row>
      <xdr:rowOff>17057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8990174" y="123548925"/>
          <a:ext cx="368640" cy="3629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H</a:t>
          </a:r>
          <a:endParaRPr lang="x-none"/>
        </a:p>
      </xdr:txBody>
    </xdr:sp>
    <xdr:clientData/>
  </xdr:twoCellAnchor>
  <xdr:twoCellAnchor>
    <xdr:from>
      <xdr:col>0</xdr:col>
      <xdr:colOff>419100</xdr:colOff>
      <xdr:row>604</xdr:row>
      <xdr:rowOff>101600</xdr:rowOff>
    </xdr:from>
    <xdr:to>
      <xdr:col>7</xdr:col>
      <xdr:colOff>933462</xdr:colOff>
      <xdr:row>647</xdr:row>
      <xdr:rowOff>106600</xdr:rowOff>
    </xdr:to>
    <xdr:grpSp>
      <xdr:nvGrpSpPr>
        <xdr:cNvPr id="10" name="Group 9"/>
        <xdr:cNvGrpSpPr/>
      </xdr:nvGrpSpPr>
      <xdr:grpSpPr>
        <a:xfrm>
          <a:off x="419100" y="123602750"/>
          <a:ext cx="6489712" cy="8463200"/>
          <a:chOff x="419100" y="123780550"/>
          <a:chExt cx="6489712" cy="8463200"/>
        </a:xfrm>
      </xdr:grpSpPr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2813" y="123780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100" y="129507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0880" y="129507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8948" y="129507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0881" y="123780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8949" y="123780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0881" y="1266441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8949" y="1266441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2812" y="1266441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571500</xdr:colOff>
      <xdr:row>649</xdr:row>
      <xdr:rowOff>158750</xdr:rowOff>
    </xdr:from>
    <xdr:to>
      <xdr:col>7</xdr:col>
      <xdr:colOff>744052</xdr:colOff>
      <xdr:row>679</xdr:row>
      <xdr:rowOff>186013</xdr:rowOff>
    </xdr:to>
    <xdr:grpSp>
      <xdr:nvGrpSpPr>
        <xdr:cNvPr id="13" name="Group 12"/>
        <xdr:cNvGrpSpPr/>
      </xdr:nvGrpSpPr>
      <xdr:grpSpPr>
        <a:xfrm>
          <a:off x="571500" y="132505450"/>
          <a:ext cx="6147902" cy="5932763"/>
          <a:chOff x="571500" y="132702300"/>
          <a:chExt cx="6147902" cy="5932763"/>
        </a:xfrm>
      </xdr:grpSpPr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6151" y="135755063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500" y="132702300"/>
            <a:ext cx="3836952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1651" y="1327023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0" y="135755063"/>
            <a:ext cx="2166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14</xdr:row>
      <xdr:rowOff>0</xdr:rowOff>
    </xdr:from>
    <xdr:to>
      <xdr:col>6</xdr:col>
      <xdr:colOff>670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4" y="2675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6</xdr:col>
      <xdr:colOff>669</xdr:colOff>
      <xdr:row>52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83" y="6485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</xdr:colOff>
      <xdr:row>54</xdr:row>
      <xdr:rowOff>0</xdr:rowOff>
    </xdr:from>
    <xdr:to>
      <xdr:col>6</xdr:col>
      <xdr:colOff>19719</xdr:colOff>
      <xdr:row>72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8833" y="10295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Sxf3PAAuBuFXSMn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723"/>
  <sheetViews>
    <sheetView tabSelected="1" view="pageBreakPreview" topLeftCell="A581" zoomScaleNormal="100" zoomScaleSheetLayoutView="100" zoomScalePageLayoutView="85" workbookViewId="0">
      <selection activeCell="B589" sqref="B589:H589"/>
    </sheetView>
  </sheetViews>
  <sheetFormatPr defaultColWidth="9.1796875" defaultRowHeight="15.5" x14ac:dyDescent="0.35"/>
  <cols>
    <col min="1" max="1" width="11.453125" style="16" customWidth="1"/>
    <col min="2" max="2" width="12" style="16" customWidth="1"/>
    <col min="3" max="3" width="12.7265625" style="16" customWidth="1"/>
    <col min="4" max="4" width="14.1796875" style="16" customWidth="1"/>
    <col min="5" max="7" width="11.7265625" style="16" customWidth="1"/>
    <col min="8" max="8" width="18.54296875" style="16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customWidth="1"/>
    <col min="15" max="15" width="9.81640625" style="8" customWidth="1"/>
    <col min="16" max="16" width="10.453125" style="8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9" ht="46.5" customHeight="1" x14ac:dyDescent="0.35">
      <c r="A1" s="190" t="s">
        <v>258</v>
      </c>
      <c r="B1" s="191"/>
      <c r="C1" s="191"/>
      <c r="D1" s="191"/>
      <c r="E1" s="191"/>
      <c r="F1" s="191"/>
      <c r="G1" s="191"/>
      <c r="H1" s="192"/>
    </row>
    <row r="2" spans="1:9" ht="16.5" customHeight="1" x14ac:dyDescent="0.35">
      <c r="A2" s="155" t="s">
        <v>0</v>
      </c>
      <c r="B2" s="155"/>
      <c r="C2" s="155"/>
      <c r="D2" s="155"/>
      <c r="E2" s="155"/>
      <c r="F2" s="155"/>
      <c r="G2" s="155"/>
      <c r="H2" s="155"/>
    </row>
    <row r="3" spans="1:9" x14ac:dyDescent="0.35">
      <c r="A3" s="145" t="s">
        <v>1</v>
      </c>
      <c r="B3" s="145"/>
      <c r="C3" s="145"/>
      <c r="D3" s="145"/>
      <c r="E3" s="193" t="str">
        <f ca="1">TEXT(TODAY(),"DD/MM/YYYY")</f>
        <v>04/10/2025</v>
      </c>
      <c r="F3" s="193"/>
      <c r="G3" s="193"/>
      <c r="H3" s="193"/>
    </row>
    <row r="4" spans="1:9" ht="15" customHeight="1" x14ac:dyDescent="0.35">
      <c r="A4" s="145" t="s">
        <v>2</v>
      </c>
      <c r="B4" s="145"/>
      <c r="C4" s="145"/>
      <c r="D4" s="145"/>
      <c r="E4" s="195" t="s">
        <v>186</v>
      </c>
      <c r="F4" s="195"/>
      <c r="G4" s="195"/>
      <c r="H4" s="195"/>
    </row>
    <row r="5" spans="1:9" x14ac:dyDescent="0.35">
      <c r="A5" s="145" t="s">
        <v>3</v>
      </c>
      <c r="B5" s="145"/>
      <c r="C5" s="145"/>
      <c r="D5" s="145"/>
      <c r="E5" s="193">
        <v>45933</v>
      </c>
      <c r="F5" s="193"/>
      <c r="G5" s="193"/>
      <c r="H5" s="193"/>
    </row>
    <row r="6" spans="1:9" ht="16.5" customHeight="1" x14ac:dyDescent="0.35">
      <c r="A6" s="145" t="s">
        <v>4</v>
      </c>
      <c r="B6" s="145"/>
      <c r="C6" s="145"/>
      <c r="D6" s="145"/>
      <c r="E6" s="146" t="s">
        <v>187</v>
      </c>
      <c r="F6" s="146"/>
      <c r="G6" s="146"/>
      <c r="H6" s="146"/>
    </row>
    <row r="7" spans="1:9" ht="15" customHeight="1" x14ac:dyDescent="0.35">
      <c r="A7" s="145" t="s">
        <v>5</v>
      </c>
      <c r="B7" s="145"/>
      <c r="C7" s="145"/>
      <c r="D7" s="145"/>
      <c r="E7" s="146" t="str">
        <f>E6</f>
        <v>M/s.Swaminarayan Life Space LLP</v>
      </c>
      <c r="F7" s="146"/>
      <c r="G7" s="146"/>
      <c r="H7" s="146"/>
    </row>
    <row r="8" spans="1:9" x14ac:dyDescent="0.35">
      <c r="A8" s="145" t="s">
        <v>6</v>
      </c>
      <c r="B8" s="145"/>
      <c r="C8" s="145"/>
      <c r="D8" s="145"/>
      <c r="E8" s="194" t="s">
        <v>288</v>
      </c>
      <c r="F8" s="194"/>
      <c r="G8" s="194"/>
      <c r="H8" s="194"/>
    </row>
    <row r="9" spans="1:9" x14ac:dyDescent="0.35">
      <c r="A9" s="145" t="s">
        <v>159</v>
      </c>
      <c r="B9" s="145"/>
      <c r="C9" s="145"/>
      <c r="D9" s="145"/>
      <c r="E9" s="146" t="s">
        <v>189</v>
      </c>
      <c r="F9" s="145"/>
      <c r="G9" s="145"/>
      <c r="H9" s="145"/>
    </row>
    <row r="10" spans="1:9" ht="127.5" customHeight="1" x14ac:dyDescent="0.35">
      <c r="A10" s="118" t="s">
        <v>7</v>
      </c>
      <c r="B10" s="118"/>
      <c r="C10" s="118"/>
      <c r="D10" s="118"/>
      <c r="E10" s="62" t="s">
        <v>259</v>
      </c>
      <c r="F10" s="196" t="s">
        <v>289</v>
      </c>
      <c r="G10" s="196"/>
      <c r="H10" s="197"/>
      <c r="I10" s="63" t="s">
        <v>287</v>
      </c>
    </row>
    <row r="11" spans="1:9" x14ac:dyDescent="0.35">
      <c r="A11" s="145" t="s">
        <v>8</v>
      </c>
      <c r="B11" s="145"/>
      <c r="C11" s="145"/>
      <c r="D11" s="145"/>
      <c r="E11" s="154" t="s">
        <v>220</v>
      </c>
      <c r="F11" s="154"/>
      <c r="G11" s="154"/>
      <c r="H11" s="154"/>
    </row>
    <row r="12" spans="1:9" ht="63.75" customHeight="1" x14ac:dyDescent="0.35">
      <c r="A12" s="145" t="s">
        <v>9</v>
      </c>
      <c r="B12" s="145"/>
      <c r="C12" s="145"/>
      <c r="D12" s="145"/>
      <c r="E12" s="154" t="s">
        <v>260</v>
      </c>
      <c r="F12" s="118"/>
      <c r="G12" s="118"/>
      <c r="H12" s="118"/>
    </row>
    <row r="13" spans="1:9" ht="51.75" customHeight="1" x14ac:dyDescent="0.35">
      <c r="A13" s="146" t="s">
        <v>10</v>
      </c>
      <c r="B13" s="146"/>
      <c r="C13" s="14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Swaminarayan City Phase 1, 1A, 1B &amp; 1C, CTS No.60/7, 60/8, 61/21, 61/51, 61/58, 61/80, 61/95, 61/75C, 61/81, 61/17, 61/18, 61/20, 61/52, 61/53, 61/54, 61/55, 61/56, 61/57, near Swastik Heights, Reti Bunder Road, Thakurli, Thakurli, Kalyan, Thane.</v>
      </c>
      <c r="D13" s="146"/>
      <c r="E13" s="146"/>
      <c r="F13" s="146"/>
      <c r="G13" s="146"/>
      <c r="H13" s="146"/>
    </row>
    <row r="14" spans="1:9" ht="31.5" customHeight="1" x14ac:dyDescent="0.35">
      <c r="A14" s="154" t="s">
        <v>196</v>
      </c>
      <c r="B14" s="154"/>
      <c r="C14" s="154" t="s">
        <v>190</v>
      </c>
      <c r="D14" s="154"/>
      <c r="E14" s="154"/>
      <c r="F14" s="154"/>
      <c r="G14" s="154"/>
      <c r="H14" s="154"/>
    </row>
    <row r="15" spans="1:9" ht="15.75" customHeight="1" x14ac:dyDescent="0.35">
      <c r="A15" s="146" t="s">
        <v>11</v>
      </c>
      <c r="B15" s="146"/>
      <c r="C15" s="118" t="s">
        <v>195</v>
      </c>
      <c r="D15" s="118"/>
      <c r="E15" s="146" t="s">
        <v>194</v>
      </c>
      <c r="F15" s="146"/>
      <c r="G15" s="154" t="s">
        <v>191</v>
      </c>
      <c r="H15" s="154"/>
    </row>
    <row r="16" spans="1:9" x14ac:dyDescent="0.35">
      <c r="A16" s="145" t="s">
        <v>13</v>
      </c>
      <c r="B16" s="145"/>
      <c r="C16" s="154" t="s">
        <v>191</v>
      </c>
      <c r="D16" s="154"/>
      <c r="E16" s="146" t="s">
        <v>12</v>
      </c>
      <c r="F16" s="146"/>
      <c r="G16" s="198" t="s">
        <v>192</v>
      </c>
      <c r="H16" s="198"/>
    </row>
    <row r="17" spans="1:8" x14ac:dyDescent="0.35">
      <c r="A17" s="145" t="s">
        <v>101</v>
      </c>
      <c r="B17" s="145"/>
      <c r="C17" s="154" t="s">
        <v>193</v>
      </c>
      <c r="D17" s="154"/>
      <c r="E17" s="146" t="s">
        <v>14</v>
      </c>
      <c r="F17" s="146"/>
      <c r="G17" s="154">
        <v>421202</v>
      </c>
      <c r="H17" s="154"/>
    </row>
    <row r="18" spans="1:8" ht="32.25" customHeight="1" x14ac:dyDescent="0.35">
      <c r="A18" s="145" t="s">
        <v>160</v>
      </c>
      <c r="B18" s="145"/>
      <c r="C18" s="199" t="s">
        <v>197</v>
      </c>
      <c r="D18" s="199"/>
      <c r="E18" s="146" t="s">
        <v>15</v>
      </c>
      <c r="F18" s="146"/>
      <c r="G18" s="154" t="s">
        <v>221</v>
      </c>
      <c r="H18" s="154"/>
    </row>
    <row r="19" spans="1:8" ht="15" customHeight="1" x14ac:dyDescent="0.35">
      <c r="A19" s="146" t="s">
        <v>106</v>
      </c>
      <c r="B19" s="146"/>
      <c r="C19" s="146"/>
      <c r="D19" s="146"/>
      <c r="E19" s="118" t="s">
        <v>16</v>
      </c>
      <c r="F19" s="118"/>
      <c r="G19" s="118"/>
      <c r="H19" s="118"/>
    </row>
    <row r="20" spans="1:8" ht="18.75" customHeight="1" x14ac:dyDescent="0.35">
      <c r="A20" s="146"/>
      <c r="B20" s="146"/>
      <c r="C20" s="146"/>
      <c r="D20" s="146"/>
      <c r="E20" s="118"/>
      <c r="F20" s="118"/>
      <c r="G20" s="118"/>
      <c r="H20" s="118"/>
    </row>
    <row r="21" spans="1:8" ht="15" customHeight="1" x14ac:dyDescent="0.35">
      <c r="A21" s="146" t="s">
        <v>17</v>
      </c>
      <c r="B21" s="146"/>
      <c r="C21" s="146"/>
      <c r="D21" s="146"/>
      <c r="E21" s="154" t="s">
        <v>18</v>
      </c>
      <c r="F21" s="154"/>
      <c r="G21" s="154"/>
      <c r="H21" s="154"/>
    </row>
    <row r="22" spans="1:8" ht="15" customHeight="1" x14ac:dyDescent="0.35">
      <c r="A22" s="145" t="s">
        <v>19</v>
      </c>
      <c r="B22" s="145"/>
      <c r="C22" s="145"/>
      <c r="D22" s="145"/>
      <c r="E22" s="154" t="str">
        <f>IF(AND(G16="Mumbai"),"Upper Class","Middle Class")</f>
        <v>Middle Class</v>
      </c>
      <c r="F22" s="154"/>
      <c r="G22" s="154"/>
      <c r="H22" s="154"/>
    </row>
    <row r="23" spans="1:8" x14ac:dyDescent="0.35">
      <c r="A23" s="145" t="s">
        <v>20</v>
      </c>
      <c r="B23" s="145"/>
      <c r="C23" s="145"/>
      <c r="D23" s="145"/>
      <c r="E23" s="154" t="s">
        <v>21</v>
      </c>
      <c r="F23" s="154"/>
      <c r="G23" s="154"/>
      <c r="H23" s="154"/>
    </row>
    <row r="24" spans="1:8" ht="15.75" customHeight="1" x14ac:dyDescent="0.35">
      <c r="A24" s="145" t="s">
        <v>22</v>
      </c>
      <c r="B24" s="145"/>
      <c r="C24" s="145"/>
      <c r="D24" s="145"/>
      <c r="E24" s="154" t="str">
        <f>IF(AND(G16="Mumbai"),"Developed","Developing")</f>
        <v>Developing</v>
      </c>
      <c r="F24" s="154"/>
      <c r="G24" s="154"/>
      <c r="H24" s="154"/>
    </row>
    <row r="25" spans="1:8" x14ac:dyDescent="0.35">
      <c r="A25" s="145" t="s">
        <v>23</v>
      </c>
      <c r="B25" s="145"/>
      <c r="C25" s="145"/>
      <c r="D25" s="145"/>
      <c r="E25" s="154" t="s">
        <v>24</v>
      </c>
      <c r="F25" s="154"/>
      <c r="G25" s="154"/>
      <c r="H25" s="154"/>
    </row>
    <row r="26" spans="1:8" x14ac:dyDescent="0.35">
      <c r="A26" s="145" t="s">
        <v>114</v>
      </c>
      <c r="B26" s="145"/>
      <c r="C26" s="145"/>
      <c r="D26" s="145"/>
      <c r="E26" s="154" t="s">
        <v>115</v>
      </c>
      <c r="F26" s="154"/>
      <c r="G26" s="154"/>
      <c r="H26" s="154"/>
    </row>
    <row r="27" spans="1:8" ht="15" customHeight="1" x14ac:dyDescent="0.35">
      <c r="A27" s="146" t="s">
        <v>33</v>
      </c>
      <c r="B27" s="146"/>
      <c r="C27" s="146"/>
      <c r="D27" s="146"/>
      <c r="E27" s="195" t="s">
        <v>110</v>
      </c>
      <c r="F27" s="195"/>
      <c r="G27" s="195"/>
      <c r="H27" s="195"/>
    </row>
    <row r="28" spans="1:8" x14ac:dyDescent="0.35">
      <c r="A28" s="146" t="s">
        <v>126</v>
      </c>
      <c r="B28" s="146"/>
      <c r="C28" s="146"/>
      <c r="D28" s="146"/>
      <c r="E28" s="146" t="s">
        <v>34</v>
      </c>
      <c r="F28" s="146"/>
      <c r="G28" s="146"/>
      <c r="H28" s="146"/>
    </row>
    <row r="29" spans="1:8" s="11" customFormat="1" x14ac:dyDescent="0.35">
      <c r="A29" s="202" t="s">
        <v>127</v>
      </c>
      <c r="B29" s="202"/>
      <c r="C29" s="201" t="s">
        <v>29</v>
      </c>
      <c r="D29" s="201"/>
      <c r="E29" s="201"/>
      <c r="F29" s="201" t="s">
        <v>31</v>
      </c>
      <c r="G29" s="201"/>
      <c r="H29" s="201"/>
    </row>
    <row r="30" spans="1:8" s="11" customFormat="1" x14ac:dyDescent="0.35">
      <c r="A30" s="200" t="s">
        <v>25</v>
      </c>
      <c r="B30" s="200" t="s">
        <v>30</v>
      </c>
      <c r="C30" s="141" t="s">
        <v>30</v>
      </c>
      <c r="D30" s="141"/>
      <c r="E30" s="141"/>
      <c r="F30" s="141" t="s">
        <v>198</v>
      </c>
      <c r="G30" s="141"/>
      <c r="H30" s="141"/>
    </row>
    <row r="31" spans="1:8" x14ac:dyDescent="0.35">
      <c r="A31" s="200" t="s">
        <v>26</v>
      </c>
      <c r="B31" s="200" t="s">
        <v>30</v>
      </c>
      <c r="C31" s="141" t="s">
        <v>30</v>
      </c>
      <c r="D31" s="141"/>
      <c r="E31" s="141"/>
      <c r="F31" s="141" t="s">
        <v>198</v>
      </c>
      <c r="G31" s="141"/>
      <c r="H31" s="141"/>
    </row>
    <row r="32" spans="1:8" s="11" customFormat="1" x14ac:dyDescent="0.35">
      <c r="A32" s="200" t="s">
        <v>28</v>
      </c>
      <c r="B32" s="200" t="s">
        <v>30</v>
      </c>
      <c r="C32" s="141" t="s">
        <v>30</v>
      </c>
      <c r="D32" s="141"/>
      <c r="E32" s="141"/>
      <c r="F32" s="141" t="s">
        <v>198</v>
      </c>
      <c r="G32" s="141"/>
      <c r="H32" s="141"/>
    </row>
    <row r="33" spans="1:8" x14ac:dyDescent="0.35">
      <c r="A33" s="200" t="s">
        <v>27</v>
      </c>
      <c r="B33" s="200" t="s">
        <v>30</v>
      </c>
      <c r="C33" s="141" t="s">
        <v>30</v>
      </c>
      <c r="D33" s="141"/>
      <c r="E33" s="141"/>
      <c r="F33" s="141" t="s">
        <v>195</v>
      </c>
      <c r="G33" s="141"/>
      <c r="H33" s="141"/>
    </row>
    <row r="34" spans="1:8" x14ac:dyDescent="0.35">
      <c r="A34" s="145" t="s">
        <v>32</v>
      </c>
      <c r="B34" s="145"/>
      <c r="C34" s="145"/>
      <c r="D34" s="145"/>
      <c r="E34" s="145"/>
      <c r="F34" s="145"/>
      <c r="G34" s="145"/>
      <c r="H34" s="145"/>
    </row>
    <row r="35" spans="1:8" ht="15.75" customHeight="1" x14ac:dyDescent="0.35">
      <c r="A35" s="145" t="s">
        <v>290</v>
      </c>
      <c r="B35" s="145"/>
      <c r="C35" s="208" t="s">
        <v>291</v>
      </c>
      <c r="D35" s="209"/>
      <c r="E35" s="209"/>
      <c r="F35" s="209"/>
      <c r="G35" s="209"/>
      <c r="H35" s="210"/>
    </row>
    <row r="36" spans="1:8" ht="15.75" customHeight="1" x14ac:dyDescent="0.35">
      <c r="A36" s="145" t="s">
        <v>240</v>
      </c>
      <c r="B36" s="145"/>
      <c r="C36" s="204" t="s">
        <v>241</v>
      </c>
      <c r="D36" s="205"/>
      <c r="E36" s="205"/>
      <c r="F36" s="205"/>
      <c r="G36" s="205"/>
      <c r="H36" s="206"/>
    </row>
    <row r="37" spans="1:8" x14ac:dyDescent="0.35">
      <c r="A37" s="158" t="s">
        <v>35</v>
      </c>
      <c r="B37" s="158"/>
      <c r="C37" s="158"/>
      <c r="D37" s="158"/>
      <c r="E37" s="158"/>
      <c r="F37" s="158"/>
      <c r="G37" s="158"/>
      <c r="H37" s="158"/>
    </row>
    <row r="38" spans="1:8" x14ac:dyDescent="0.35">
      <c r="A38" s="145" t="s">
        <v>36</v>
      </c>
      <c r="B38" s="145"/>
      <c r="C38" s="145"/>
      <c r="D38" s="145"/>
      <c r="E38" s="203">
        <v>23396.95</v>
      </c>
      <c r="F38" s="203"/>
      <c r="G38" s="203"/>
      <c r="H38" s="203"/>
    </row>
    <row r="39" spans="1:8" x14ac:dyDescent="0.35">
      <c r="A39" s="145" t="s">
        <v>37</v>
      </c>
      <c r="B39" s="145"/>
      <c r="C39" s="145"/>
      <c r="D39" s="145"/>
      <c r="E39" s="144">
        <v>1.1000000000000001</v>
      </c>
      <c r="F39" s="144"/>
      <c r="G39" s="144"/>
      <c r="H39" s="144"/>
    </row>
    <row r="40" spans="1:8" x14ac:dyDescent="0.35">
      <c r="A40" s="145" t="s">
        <v>38</v>
      </c>
      <c r="B40" s="145"/>
      <c r="C40" s="145"/>
      <c r="D40" s="145"/>
      <c r="E40" s="144">
        <f>E42/E38-E39</f>
        <v>5.0467048055408803E-2</v>
      </c>
      <c r="F40" s="144"/>
      <c r="G40" s="144"/>
      <c r="H40" s="144"/>
    </row>
    <row r="41" spans="1:8" x14ac:dyDescent="0.35">
      <c r="A41" s="145" t="s">
        <v>39</v>
      </c>
      <c r="B41" s="145"/>
      <c r="C41" s="145"/>
      <c r="D41" s="145"/>
      <c r="E41" s="144">
        <f>E39+E40</f>
        <v>1.1504670480554089</v>
      </c>
      <c r="F41" s="144"/>
      <c r="G41" s="144"/>
      <c r="H41" s="144"/>
    </row>
    <row r="42" spans="1:8" x14ac:dyDescent="0.35">
      <c r="A42" s="145" t="s">
        <v>125</v>
      </c>
      <c r="B42" s="145"/>
      <c r="C42" s="145"/>
      <c r="D42" s="145"/>
      <c r="E42" s="207">
        <f>12517.51+14399.91</f>
        <v>26917.42</v>
      </c>
      <c r="F42" s="207"/>
      <c r="G42" s="207"/>
      <c r="H42" s="207"/>
    </row>
    <row r="43" spans="1:8" x14ac:dyDescent="0.35">
      <c r="A43" s="118" t="s">
        <v>40</v>
      </c>
      <c r="B43" s="118"/>
      <c r="C43" s="118"/>
      <c r="D43" s="118"/>
      <c r="E43" s="118" t="s">
        <v>255</v>
      </c>
      <c r="F43" s="118"/>
      <c r="G43" s="118"/>
      <c r="H43" s="118"/>
    </row>
    <row r="44" spans="1:8" x14ac:dyDescent="0.35">
      <c r="A44" s="158" t="s">
        <v>41</v>
      </c>
      <c r="B44" s="158"/>
      <c r="C44" s="158"/>
      <c r="D44" s="158"/>
      <c r="E44" s="158"/>
      <c r="F44" s="158"/>
      <c r="G44" s="158"/>
      <c r="H44" s="158"/>
    </row>
    <row r="45" spans="1:8" s="60" customFormat="1" ht="15" x14ac:dyDescent="0.3">
      <c r="A45" s="182" t="s">
        <v>261</v>
      </c>
      <c r="B45" s="183"/>
      <c r="C45" s="183"/>
      <c r="D45" s="183"/>
      <c r="E45" s="183"/>
      <c r="F45" s="183"/>
      <c r="G45" s="183"/>
      <c r="H45" s="184"/>
    </row>
    <row r="46" spans="1:8" ht="32.25" customHeight="1" x14ac:dyDescent="0.35">
      <c r="A46" s="146" t="s">
        <v>42</v>
      </c>
      <c r="B46" s="146"/>
      <c r="C46" s="147" t="s">
        <v>199</v>
      </c>
      <c r="D46" s="147"/>
      <c r="E46" s="147"/>
      <c r="F46" s="48" t="s">
        <v>43</v>
      </c>
      <c r="G46" s="148" t="s">
        <v>200</v>
      </c>
      <c r="H46" s="148"/>
    </row>
    <row r="47" spans="1:8" ht="30" customHeight="1" x14ac:dyDescent="0.35">
      <c r="A47" s="145" t="s">
        <v>44</v>
      </c>
      <c r="B47" s="145"/>
      <c r="C47" s="147" t="str">
        <f>C46</f>
        <v>KDMC/TPD/BP/DOM/2018-19/0026/156</v>
      </c>
      <c r="D47" s="147"/>
      <c r="E47" s="147"/>
      <c r="F47" s="48" t="s">
        <v>43</v>
      </c>
      <c r="G47" s="148" t="str">
        <f>G46</f>
        <v>18/03/2021.</v>
      </c>
      <c r="H47" s="148"/>
    </row>
    <row r="48" spans="1:8" s="10" customFormat="1" ht="30.75" customHeight="1" x14ac:dyDescent="0.35">
      <c r="A48" s="154" t="s">
        <v>45</v>
      </c>
      <c r="B48" s="154"/>
      <c r="C48" s="147" t="str">
        <f>C47</f>
        <v>KDMC/TPD/BP/DOM/2018-19/0026/156</v>
      </c>
      <c r="D48" s="149"/>
      <c r="E48" s="149"/>
      <c r="F48" s="13" t="s">
        <v>43</v>
      </c>
      <c r="G48" s="148" t="str">
        <f>G47</f>
        <v>18/03/2021.</v>
      </c>
      <c r="H48" s="148"/>
    </row>
    <row r="49" spans="1:9" s="10" customFormat="1" x14ac:dyDescent="0.35">
      <c r="A49" s="154"/>
      <c r="B49" s="154"/>
      <c r="C49" s="186" t="s">
        <v>262</v>
      </c>
      <c r="D49" s="187"/>
      <c r="E49" s="187"/>
      <c r="F49" s="187"/>
      <c r="G49" s="187"/>
      <c r="H49" s="188"/>
    </row>
    <row r="50" spans="1:9" s="60" customFormat="1" ht="49.5" customHeight="1" x14ac:dyDescent="0.3">
      <c r="A50" s="182" t="s">
        <v>263</v>
      </c>
      <c r="B50" s="183"/>
      <c r="C50" s="183"/>
      <c r="D50" s="183"/>
      <c r="E50" s="183"/>
      <c r="F50" s="183"/>
      <c r="G50" s="183"/>
      <c r="H50" s="184"/>
    </row>
    <row r="51" spans="1:9" ht="32.25" customHeight="1" x14ac:dyDescent="0.35">
      <c r="A51" s="146" t="s">
        <v>42</v>
      </c>
      <c r="B51" s="146"/>
      <c r="C51" s="147" t="s">
        <v>223</v>
      </c>
      <c r="D51" s="147"/>
      <c r="E51" s="147"/>
      <c r="F51" s="48" t="s">
        <v>43</v>
      </c>
      <c r="G51" s="148">
        <v>44853</v>
      </c>
      <c r="H51" s="148"/>
    </row>
    <row r="52" spans="1:9" ht="30" customHeight="1" x14ac:dyDescent="0.35">
      <c r="A52" s="145" t="s">
        <v>44</v>
      </c>
      <c r="B52" s="145"/>
      <c r="C52" s="147" t="str">
        <f>C51</f>
        <v>KDMC/TPD/BP/DOM/2018-19/0026/294</v>
      </c>
      <c r="D52" s="147"/>
      <c r="E52" s="147"/>
      <c r="F52" s="48" t="s">
        <v>43</v>
      </c>
      <c r="G52" s="148">
        <f>G51</f>
        <v>44853</v>
      </c>
      <c r="H52" s="148"/>
    </row>
    <row r="53" spans="1:9" s="10" customFormat="1" ht="30.75" customHeight="1" x14ac:dyDescent="0.35">
      <c r="A53" s="154" t="s">
        <v>264</v>
      </c>
      <c r="B53" s="154"/>
      <c r="C53" s="147" t="str">
        <f>C52</f>
        <v>KDMC/TPD/BP/DOM/2018-19/0026/294</v>
      </c>
      <c r="D53" s="149"/>
      <c r="E53" s="149"/>
      <c r="F53" s="13" t="s">
        <v>43</v>
      </c>
      <c r="G53" s="148">
        <f>G52</f>
        <v>44853</v>
      </c>
      <c r="H53" s="148"/>
    </row>
    <row r="54" spans="1:9" s="10" customFormat="1" ht="63.75" customHeight="1" x14ac:dyDescent="0.35">
      <c r="A54" s="154"/>
      <c r="B54" s="154"/>
      <c r="C54" s="186" t="s">
        <v>265</v>
      </c>
      <c r="D54" s="187"/>
      <c r="E54" s="187"/>
      <c r="F54" s="187"/>
      <c r="G54" s="187"/>
      <c r="H54" s="188"/>
    </row>
    <row r="55" spans="1:9" x14ac:dyDescent="0.35">
      <c r="A55" s="150" t="s">
        <v>46</v>
      </c>
      <c r="B55" s="150"/>
      <c r="C55" s="151" t="s">
        <v>141</v>
      </c>
      <c r="D55" s="152"/>
      <c r="E55" s="152" t="s">
        <v>47</v>
      </c>
      <c r="F55" s="51" t="s">
        <v>43</v>
      </c>
      <c r="G55" s="185" t="s">
        <v>30</v>
      </c>
      <c r="H55" s="185"/>
    </row>
    <row r="56" spans="1:9" x14ac:dyDescent="0.35">
      <c r="A56" s="153" t="s">
        <v>49</v>
      </c>
      <c r="B56" s="153"/>
      <c r="C56" s="153"/>
      <c r="D56" s="153"/>
      <c r="E56" s="153"/>
      <c r="F56" s="153"/>
      <c r="G56" s="153"/>
      <c r="H56" s="153"/>
    </row>
    <row r="57" spans="1:9" x14ac:dyDescent="0.35">
      <c r="A57" s="146" t="s">
        <v>124</v>
      </c>
      <c r="B57" s="146"/>
      <c r="C57" s="146"/>
      <c r="D57" s="145">
        <f>E42</f>
        <v>26917.42</v>
      </c>
      <c r="E57" s="145"/>
      <c r="F57" s="145"/>
      <c r="G57" s="145"/>
      <c r="H57" s="145"/>
    </row>
    <row r="58" spans="1:9" x14ac:dyDescent="0.35">
      <c r="A58" s="154" t="s">
        <v>50</v>
      </c>
      <c r="B58" s="118"/>
      <c r="C58" s="118"/>
      <c r="D58" s="118" t="s">
        <v>253</v>
      </c>
      <c r="E58" s="118"/>
      <c r="F58" s="118"/>
      <c r="G58" s="118"/>
      <c r="H58" s="118"/>
      <c r="I58" s="39"/>
    </row>
    <row r="59" spans="1:9" ht="78" customHeight="1" x14ac:dyDescent="0.35">
      <c r="A59" s="154" t="s">
        <v>51</v>
      </c>
      <c r="B59" s="154"/>
      <c r="C59" s="154"/>
      <c r="D59" s="154" t="s">
        <v>245</v>
      </c>
      <c r="E59" s="118"/>
      <c r="F59" s="118"/>
      <c r="G59" s="118"/>
      <c r="H59" s="118"/>
    </row>
    <row r="60" spans="1:9" ht="15.75" customHeight="1" x14ac:dyDescent="0.35">
      <c r="A60" s="154" t="s">
        <v>122</v>
      </c>
      <c r="B60" s="154"/>
      <c r="C60" s="154"/>
      <c r="D60" s="118" t="s">
        <v>257</v>
      </c>
      <c r="E60" s="118"/>
      <c r="F60" s="118"/>
      <c r="G60" s="118"/>
      <c r="H60" s="118"/>
    </row>
    <row r="61" spans="1:9" ht="15.75" customHeight="1" x14ac:dyDescent="0.35">
      <c r="A61" s="154"/>
      <c r="B61" s="154"/>
      <c r="C61" s="154"/>
      <c r="D61" s="118" t="s">
        <v>256</v>
      </c>
      <c r="E61" s="118"/>
      <c r="F61" s="118"/>
      <c r="G61" s="118"/>
      <c r="H61" s="118"/>
    </row>
    <row r="62" spans="1:9" ht="15.75" customHeight="1" x14ac:dyDescent="0.35">
      <c r="A62" s="154"/>
      <c r="B62" s="154"/>
      <c r="C62" s="154"/>
      <c r="D62" s="118" t="s">
        <v>226</v>
      </c>
      <c r="E62" s="118"/>
      <c r="F62" s="118"/>
      <c r="G62" s="118"/>
      <c r="H62" s="118"/>
    </row>
    <row r="63" spans="1:9" ht="15.75" customHeight="1" x14ac:dyDescent="0.35">
      <c r="A63" s="154"/>
      <c r="B63" s="154"/>
      <c r="C63" s="154"/>
      <c r="D63" s="118" t="s">
        <v>243</v>
      </c>
      <c r="E63" s="118"/>
      <c r="F63" s="118"/>
      <c r="G63" s="118"/>
      <c r="H63" s="118"/>
    </row>
    <row r="64" spans="1:9" ht="15.75" customHeight="1" x14ac:dyDescent="0.35">
      <c r="A64" s="154"/>
      <c r="B64" s="154"/>
      <c r="C64" s="154"/>
      <c r="D64" s="118" t="s">
        <v>244</v>
      </c>
      <c r="E64" s="118"/>
      <c r="F64" s="118"/>
      <c r="G64" s="118"/>
      <c r="H64" s="118"/>
    </row>
    <row r="65" spans="1:14" ht="15.75" customHeight="1" x14ac:dyDescent="0.35">
      <c r="A65" s="154"/>
      <c r="B65" s="154"/>
      <c r="C65" s="154"/>
      <c r="D65" s="118" t="s">
        <v>224</v>
      </c>
      <c r="E65" s="118"/>
      <c r="F65" s="118"/>
      <c r="G65" s="118"/>
      <c r="H65" s="118"/>
    </row>
    <row r="66" spans="1:14" ht="15.75" customHeight="1" x14ac:dyDescent="0.35">
      <c r="A66" s="154"/>
      <c r="B66" s="154"/>
      <c r="C66" s="154"/>
      <c r="D66" s="118" t="s">
        <v>225</v>
      </c>
      <c r="E66" s="118"/>
      <c r="F66" s="118"/>
      <c r="G66" s="118"/>
      <c r="H66" s="118"/>
    </row>
    <row r="67" spans="1:14" ht="15.75" customHeight="1" x14ac:dyDescent="0.35">
      <c r="A67" s="145" t="s">
        <v>48</v>
      </c>
      <c r="B67" s="145"/>
      <c r="C67" s="145"/>
      <c r="D67" s="146" t="s">
        <v>216</v>
      </c>
      <c r="E67" s="146"/>
      <c r="F67" s="146"/>
      <c r="G67" s="146"/>
      <c r="H67" s="146"/>
      <c r="J67" s="38"/>
      <c r="K67" s="39"/>
      <c r="N67" s="39"/>
    </row>
    <row r="68" spans="1:14" ht="15.75" customHeight="1" x14ac:dyDescent="0.35">
      <c r="A68" s="145" t="s">
        <v>120</v>
      </c>
      <c r="B68" s="145"/>
      <c r="C68" s="145"/>
      <c r="D68" s="189" t="str">
        <f>(IF(G55="NA","60 Years After Completion",IF(G55&lt;&gt;"NA",""&amp;60-ROUNDDOWN((E3-G55)/360,0)&amp;" Years"," ")))</f>
        <v>60 Years After Completion</v>
      </c>
      <c r="E68" s="189"/>
      <c r="F68" s="189"/>
      <c r="G68" s="189"/>
      <c r="H68" s="189"/>
      <c r="N68" s="39"/>
    </row>
    <row r="69" spans="1:14" ht="15.75" customHeight="1" x14ac:dyDescent="0.35">
      <c r="A69" s="145" t="s">
        <v>121</v>
      </c>
      <c r="B69" s="145"/>
      <c r="C69" s="145"/>
      <c r="D69" s="146" t="s">
        <v>24</v>
      </c>
      <c r="E69" s="146"/>
      <c r="F69" s="146"/>
      <c r="G69" s="146"/>
      <c r="H69" s="146"/>
      <c r="J69" s="18"/>
      <c r="K69" s="18"/>
    </row>
    <row r="70" spans="1:14" ht="15.75" customHeight="1" thickBot="1" x14ac:dyDescent="0.4">
      <c r="A70" s="179" t="s">
        <v>119</v>
      </c>
      <c r="B70" s="179"/>
      <c r="C70" s="179"/>
      <c r="D70" s="180" t="str">
        <f ca="1">(IF(G75&gt;95%,"Nothing",IF(G75&gt;0%,"Cement, Aggregate, Steel, etc",IF(G75=0%,"Work not yet Started"))))</f>
        <v>Nothing</v>
      </c>
      <c r="E70" s="180"/>
      <c r="F70" s="180"/>
      <c r="G70" s="180"/>
      <c r="H70" s="180"/>
      <c r="J70" s="18"/>
    </row>
    <row r="71" spans="1:14" ht="15.75" customHeight="1" x14ac:dyDescent="0.35">
      <c r="A71" s="122" t="s">
        <v>178</v>
      </c>
      <c r="B71" s="123"/>
      <c r="C71" s="124" t="s">
        <v>292</v>
      </c>
      <c r="D71" s="125"/>
      <c r="E71" s="125"/>
      <c r="F71" s="125"/>
      <c r="G71" s="125"/>
      <c r="H71" s="126"/>
      <c r="I71" s="42" t="str">
        <f ca="1">(IF(E75&gt;99%,"All work completed. Please provide OC.",IF(E75&gt;89.8%,"Plinth, RCC, Brick, Plaster, Flooring, Painting work Completed. Finishing work is in process.",IF(E75&lt;94%,(IF(C75=0,"Work not yet Started.",IF(D75=25%,"Piling work in process",IF(D75=50%,"Excavation work in process",IF(D75=100%,"Excavation work Completed. ","0")))&amp;(IF(C76=0%,"",IF(C76=J77,"Footing work is process",IF(C76=J78,"Footing work Completed",IF(C76=J79,"1st Basement Completed",IF(C76=J80,"1st &amp; 2nd Basement Completed",IF(C76=J81,"1st to 3rd Basement Completed",IF(C76=J82,"1st to 4th Basement Completed",IF(C76=J83,"Plinth work is process",IF(C76=J84,"Plinth work completed","0")))))))))))&amp;(IF(C77=(D72+F72+H72),", RCC Slab",IF(C77&gt;0,", RCC upto "&amp;C77&amp;" Slab",""))&amp;(IF(C78=H72,", Brickwork",IF(C78&gt;0,", Brickwork upto "&amp;C78&amp;" Floor",""))&amp;(IF(C79=H72,", Internal Plaster",IF(C79&gt;0,", Internal Plaster upto "&amp;C79&amp;" Floor",""))&amp;(IF(C80=H72,", External Plaster",IF(C80&gt;0,", External Plaster upto "&amp;C80&amp;" Floor",""))&amp;(IF(C81=H72,", Flooring",IF(C81&gt;0,", Flooring upto "&amp;C81&amp;" Floor",""))&amp;(IF(C82=H72,", Painting",IF(C82&gt;0,", Painting upto "&amp;C82&amp;" Floor",""))&amp;(IF(C83&gt;0,", Finishing upto "&amp;C83&amp;" Floor","")&amp;(IF(C77&gt;0.5," Completed",""))))))))))))))</f>
        <v>All work completed. Please provide OC.</v>
      </c>
      <c r="J71" s="20"/>
    </row>
    <row r="72" spans="1:14" x14ac:dyDescent="0.35">
      <c r="A72" s="58" t="s">
        <v>180</v>
      </c>
      <c r="B72" s="59">
        <v>0</v>
      </c>
      <c r="C72" s="59" t="s">
        <v>100</v>
      </c>
      <c r="D72" s="59">
        <v>1</v>
      </c>
      <c r="E72" s="59" t="s">
        <v>99</v>
      </c>
      <c r="F72" s="59">
        <v>0</v>
      </c>
      <c r="G72" s="59" t="s">
        <v>113</v>
      </c>
      <c r="H72" s="47">
        <f ca="1">--TRIM(RIGHT(SUBSTITUTE(LEFT(C71,_xlfn.AGGREGATE(16,6,FIND({0,1,2,3,4,5,6,7,8,9},C71,ROW(INDIRECT("1:"&amp;LEN(C71)))),1))," ",REPT(" ",LEN(C71))),LEN(C71)))</f>
        <v>24</v>
      </c>
      <c r="I72" s="18"/>
      <c r="J72" s="21"/>
    </row>
    <row r="73" spans="1:14" ht="19" customHeight="1" thickBot="1" x14ac:dyDescent="0.4">
      <c r="A73" s="127" t="s">
        <v>123</v>
      </c>
      <c r="B73" s="128"/>
      <c r="C73" s="176" t="str">
        <f ca="1">I71</f>
        <v>All work completed. Please provide OC.</v>
      </c>
      <c r="D73" s="176"/>
      <c r="E73" s="176"/>
      <c r="F73" s="176"/>
      <c r="G73" s="176"/>
      <c r="H73" s="177"/>
      <c r="I73" s="18" t="s">
        <v>140</v>
      </c>
      <c r="J73" s="21"/>
    </row>
    <row r="74" spans="1:14" ht="15.75" hidden="1" customHeight="1" x14ac:dyDescent="0.35">
      <c r="A74" s="133" t="s">
        <v>52</v>
      </c>
      <c r="B74" s="134"/>
      <c r="C74" s="66" t="s">
        <v>177</v>
      </c>
      <c r="D74" s="66" t="s">
        <v>116</v>
      </c>
      <c r="E74" s="178" t="s">
        <v>118</v>
      </c>
      <c r="F74" s="178"/>
      <c r="G74" s="178" t="s">
        <v>117</v>
      </c>
      <c r="H74" s="181"/>
      <c r="I74" s="37" t="s">
        <v>179</v>
      </c>
      <c r="J74" s="22">
        <f ca="1">H72*25%</f>
        <v>6</v>
      </c>
    </row>
    <row r="75" spans="1:14" hidden="1" x14ac:dyDescent="0.35">
      <c r="A75" s="133" t="s">
        <v>166</v>
      </c>
      <c r="B75" s="134"/>
      <c r="C75" s="53">
        <f ca="1">J76</f>
        <v>24</v>
      </c>
      <c r="D75" s="56">
        <f ca="1">((100/H72)*C75)/100</f>
        <v>1</v>
      </c>
      <c r="E75" s="136">
        <f ca="1">(((C76/H72*10)+(40/(D72+F72+H72)*C77)+(7.5/(H72)*C78)+(7.5/(H72)*C79)+(10/H72*C80)+(10/H72*C81)+(5/H72*C82)+(5/H72*C83)+(5/H72*C84))/100)</f>
        <v>1</v>
      </c>
      <c r="F75" s="136"/>
      <c r="G75" s="136">
        <f ca="1">((((C75/H72)*20)+((C76/H72)*25)+(30/(H72+F72+D72)*C77)+(5/H72*C78)+(5/H72*C79)+(5/H72*C80)+(5/H72*C81)+(0/H72*C82)+(0/H72*C83)+(5/H72*C84))/100)</f>
        <v>1</v>
      </c>
      <c r="H75" s="138"/>
      <c r="I75" s="37" t="s">
        <v>135</v>
      </c>
      <c r="J75" s="41">
        <f ca="1">H72*50%</f>
        <v>12</v>
      </c>
    </row>
    <row r="76" spans="1:14" hidden="1" x14ac:dyDescent="0.35">
      <c r="A76" s="133" t="s">
        <v>53</v>
      </c>
      <c r="B76" s="134"/>
      <c r="C76" s="54">
        <f ca="1">J84</f>
        <v>24</v>
      </c>
      <c r="D76" s="56">
        <f ca="1">((100/H72)*C76)/100</f>
        <v>1</v>
      </c>
      <c r="E76" s="136"/>
      <c r="F76" s="136"/>
      <c r="G76" s="136"/>
      <c r="H76" s="138"/>
      <c r="I76" s="37" t="s">
        <v>136</v>
      </c>
      <c r="J76" s="41">
        <f ca="1">H72</f>
        <v>24</v>
      </c>
    </row>
    <row r="77" spans="1:14" ht="15.75" hidden="1" customHeight="1" x14ac:dyDescent="0.35">
      <c r="A77" s="140" t="s">
        <v>167</v>
      </c>
      <c r="B77" s="141"/>
      <c r="C77" s="54">
        <v>25</v>
      </c>
      <c r="D77" s="56">
        <f ca="1">((100/(D72+F72+H72))*C77)/100</f>
        <v>1</v>
      </c>
      <c r="E77" s="136"/>
      <c r="F77" s="136"/>
      <c r="G77" s="136"/>
      <c r="H77" s="138"/>
      <c r="I77" s="37" t="s">
        <v>137</v>
      </c>
      <c r="J77" s="44">
        <f ca="1">(IF(B72&gt;1,(H72/(B72+2)),H72/4))</f>
        <v>6</v>
      </c>
    </row>
    <row r="78" spans="1:14" ht="15.75" hidden="1" customHeight="1" x14ac:dyDescent="0.35">
      <c r="A78" s="133" t="s">
        <v>174</v>
      </c>
      <c r="B78" s="134" t="s">
        <v>168</v>
      </c>
      <c r="C78" s="53">
        <v>24</v>
      </c>
      <c r="D78" s="56">
        <f ca="1">((100/H72)*C78)/100</f>
        <v>1</v>
      </c>
      <c r="E78" s="136"/>
      <c r="F78" s="136"/>
      <c r="G78" s="136"/>
      <c r="H78" s="138"/>
      <c r="I78" s="37" t="s">
        <v>138</v>
      </c>
      <c r="J78" s="44">
        <f ca="1">(IF(B72&gt;1,(H72/(B72+2)+J77),H72/4+J77))</f>
        <v>12</v>
      </c>
    </row>
    <row r="79" spans="1:14" ht="15.75" hidden="1" customHeight="1" x14ac:dyDescent="0.35">
      <c r="A79" s="133" t="s">
        <v>175</v>
      </c>
      <c r="B79" s="134" t="s">
        <v>168</v>
      </c>
      <c r="C79" s="53">
        <v>24</v>
      </c>
      <c r="D79" s="56">
        <f ca="1">((100/H72)*C79)/100</f>
        <v>1</v>
      </c>
      <c r="E79" s="136"/>
      <c r="F79" s="136"/>
      <c r="G79" s="136"/>
      <c r="H79" s="138"/>
      <c r="I79" s="37" t="s">
        <v>184</v>
      </c>
      <c r="J79" s="44">
        <f>(IF(B72&gt;1,(H72/(B72+2)+J78),0))</f>
        <v>0</v>
      </c>
    </row>
    <row r="80" spans="1:14" ht="15" hidden="1" customHeight="1" x14ac:dyDescent="0.35">
      <c r="A80" s="133" t="s">
        <v>173</v>
      </c>
      <c r="B80" s="134" t="s">
        <v>170</v>
      </c>
      <c r="C80" s="53">
        <v>24</v>
      </c>
      <c r="D80" s="56">
        <f ca="1">((100/(H72))*C80)/100</f>
        <v>1</v>
      </c>
      <c r="E80" s="136"/>
      <c r="F80" s="136"/>
      <c r="G80" s="136"/>
      <c r="H80" s="138"/>
      <c r="I80" s="37" t="s">
        <v>181</v>
      </c>
      <c r="J80" s="44">
        <f>(IF(B72&gt;2,(H72/(B72+2)+J79),0))</f>
        <v>0</v>
      </c>
    </row>
    <row r="81" spans="1:11" ht="15.75" hidden="1" customHeight="1" x14ac:dyDescent="0.35">
      <c r="A81" s="133" t="s">
        <v>169</v>
      </c>
      <c r="B81" s="134" t="s">
        <v>169</v>
      </c>
      <c r="C81" s="53">
        <v>24</v>
      </c>
      <c r="D81" s="56">
        <f ca="1">((100/H72)*C81)/100</f>
        <v>1</v>
      </c>
      <c r="E81" s="136"/>
      <c r="F81" s="136"/>
      <c r="G81" s="136"/>
      <c r="H81" s="138"/>
      <c r="I81" s="37" t="s">
        <v>182</v>
      </c>
      <c r="J81" s="45">
        <f>(IF(B72&gt;3,(H72/(B72+2)+J80),0))</f>
        <v>0</v>
      </c>
    </row>
    <row r="82" spans="1:11" ht="15.75" hidden="1" customHeight="1" x14ac:dyDescent="0.35">
      <c r="A82" s="133" t="s">
        <v>176</v>
      </c>
      <c r="B82" s="134"/>
      <c r="C82" s="53">
        <v>24</v>
      </c>
      <c r="D82" s="56">
        <f ca="1">((100/H72)*C82)/100</f>
        <v>1</v>
      </c>
      <c r="E82" s="136"/>
      <c r="F82" s="136"/>
      <c r="G82" s="136"/>
      <c r="H82" s="138"/>
      <c r="I82" s="37" t="s">
        <v>183</v>
      </c>
      <c r="J82" s="44">
        <f>(IF(B72&gt;4,(H72/(B72+2)+J81),0))</f>
        <v>0</v>
      </c>
    </row>
    <row r="83" spans="1:11" ht="15.75" hidden="1" customHeight="1" x14ac:dyDescent="0.35">
      <c r="A83" s="133" t="s">
        <v>171</v>
      </c>
      <c r="B83" s="134" t="s">
        <v>171</v>
      </c>
      <c r="C83" s="53">
        <v>24</v>
      </c>
      <c r="D83" s="56">
        <f ca="1">((100/(H72))*C83)/100</f>
        <v>1</v>
      </c>
      <c r="E83" s="136"/>
      <c r="F83" s="136"/>
      <c r="G83" s="136"/>
      <c r="H83" s="138"/>
      <c r="I83" s="37" t="s">
        <v>185</v>
      </c>
      <c r="J83" s="44">
        <f ca="1">(IF(B72=1,(H72/(B72+3)+J78),IF(B72=0,(H72/4+J78),IF(B72&gt;1,0))))</f>
        <v>18</v>
      </c>
    </row>
    <row r="84" spans="1:11" ht="16" hidden="1" thickBot="1" x14ac:dyDescent="0.4">
      <c r="A84" s="142" t="s">
        <v>172</v>
      </c>
      <c r="B84" s="143"/>
      <c r="C84" s="55">
        <v>24</v>
      </c>
      <c r="D84" s="57">
        <f ca="1">((100/(H72))*C84)/100</f>
        <v>1</v>
      </c>
      <c r="E84" s="137"/>
      <c r="F84" s="137"/>
      <c r="G84" s="137"/>
      <c r="H84" s="139"/>
      <c r="I84" s="43" t="s">
        <v>139</v>
      </c>
      <c r="J84" s="46">
        <f ca="1">(IF(B72&gt;1.5,(H72/(B72+2)+J78+MAX(0,J79-J78)+MAX(0,J80-J79)+MAX(0,J81-J80)+MAX(0,J82-J81)+MAX(0,J83-J82)),IF(B72=1,(H72/(B72+3)+J83),IF(B72=0,H72/4+J83))))</f>
        <v>24</v>
      </c>
    </row>
    <row r="85" spans="1:11" s="64" customFormat="1" ht="15.75" customHeight="1" x14ac:dyDescent="0.35">
      <c r="A85" s="79" t="s">
        <v>118</v>
      </c>
      <c r="B85" s="80"/>
      <c r="C85" s="83">
        <v>1</v>
      </c>
      <c r="D85" s="84"/>
      <c r="E85" s="87" t="s">
        <v>117</v>
      </c>
      <c r="F85" s="88"/>
      <c r="G85" s="75">
        <v>1</v>
      </c>
      <c r="H85" s="76"/>
      <c r="K85" s="65"/>
    </row>
    <row r="86" spans="1:11" s="64" customFormat="1" ht="16" thickBot="1" x14ac:dyDescent="0.4">
      <c r="A86" s="81"/>
      <c r="B86" s="82"/>
      <c r="C86" s="85"/>
      <c r="D86" s="86"/>
      <c r="E86" s="77"/>
      <c r="F86" s="89"/>
      <c r="G86" s="77"/>
      <c r="H86" s="78"/>
      <c r="K86" s="65"/>
    </row>
    <row r="87" spans="1:11" ht="15.75" hidden="1" customHeight="1" x14ac:dyDescent="0.35">
      <c r="A87" s="122" t="s">
        <v>178</v>
      </c>
      <c r="B87" s="123"/>
      <c r="C87" s="124" t="str">
        <f>D61</f>
        <v xml:space="preserve">Tower C  = St/Gr + P + 2nd to 24th Floor </v>
      </c>
      <c r="D87" s="125"/>
      <c r="E87" s="125"/>
      <c r="F87" s="125"/>
      <c r="G87" s="125"/>
      <c r="H87" s="126"/>
      <c r="I87" s="42" t="str">
        <f ca="1">(IF(E91&gt;99%,"All work completed. Please provide OC.",IF(E91&gt;89.8%,"Plinth, RCC, Brick, Plaster, Flooring, Painting work Completed. Finishing work is in process.",IF(E91&lt;94%,(IF(C91=0,"Work not yet Started.",IF(D91=25%,"Piling work in process",IF(D91=50%,"Excavation work in process",IF(D91=100%,"Excavation work Completed. ","0")))&amp;(IF(C92=0%,"",IF(C92=J93,"Footing work is process",IF(C92=J94,"Footing work Completed",IF(C92=J95,"1st Basement Completed",IF(C92=J96,"1st &amp; 2nd Basement Completed",IF(C92=J97,"1st to 3rd Basement Completed",IF(C92=J98,"1st to 4th Basement Completed",IF(C92=J99,"Plinth work is process",IF(C92=J100,"Plinth work completed","0")))))))))))&amp;(IF(C93=(D88+F88+H88),", RCC Slab",IF(C93&gt;0,", RCC upto "&amp;C93&amp;" Slab",""))&amp;(IF(C94=H88,", Brickwork",IF(C94&gt;0,", Brickwork upto "&amp;C94&amp;" Floor",""))&amp;(IF(C95=H88,", Internal Plaster",IF(C95&gt;0,", Internal Plaster upto "&amp;C95&amp;" Floor",""))&amp;(IF(C96=H88,", External Plaster",IF(C96&gt;0,", External Plaster upto "&amp;C96&amp;" Floor",""))&amp;(IF(C97=H88,", Flooring",IF(C97&gt;0,", Flooring upto "&amp;C97&amp;" Floor",""))&amp;(IF(C98=H88,", Painting",IF(C98&gt;0,", Painting upto "&amp;C98&amp;" Floor",""))&amp;(IF(C99&gt;0,", Finishing upto "&amp;C99&amp;" Floor","")&amp;(IF(C93&gt;0.5," Completed",""))))))))))))))</f>
        <v>All work completed. Please provide OC.</v>
      </c>
      <c r="J87" s="20"/>
    </row>
    <row r="88" spans="1:11" hidden="1" x14ac:dyDescent="0.35">
      <c r="A88" s="58" t="s">
        <v>180</v>
      </c>
      <c r="B88" s="59">
        <v>0</v>
      </c>
      <c r="C88" s="59" t="s">
        <v>100</v>
      </c>
      <c r="D88" s="59">
        <v>1</v>
      </c>
      <c r="E88" s="59" t="s">
        <v>99</v>
      </c>
      <c r="F88" s="59">
        <v>0</v>
      </c>
      <c r="G88" s="59" t="s">
        <v>113</v>
      </c>
      <c r="H88" s="47">
        <f ca="1">--TRIM(RIGHT(SUBSTITUTE(LEFT(C87,_xlfn.AGGREGATE(16,6,FIND({0,1,2,3,4,5,6,7,8,9},C87,ROW(INDIRECT("1:"&amp;LEN(C87)))),1))," ",REPT(" ",LEN(C87))),LEN(C87)))</f>
        <v>24</v>
      </c>
      <c r="I88" s="18"/>
      <c r="J88" s="21"/>
    </row>
    <row r="89" spans="1:11" hidden="1" x14ac:dyDescent="0.35">
      <c r="A89" s="127" t="s">
        <v>123</v>
      </c>
      <c r="B89" s="128"/>
      <c r="C89" s="131" t="str">
        <f ca="1">I87</f>
        <v>All work completed. Please provide OC.</v>
      </c>
      <c r="D89" s="131"/>
      <c r="E89" s="131"/>
      <c r="F89" s="131"/>
      <c r="G89" s="131"/>
      <c r="H89" s="132"/>
      <c r="I89" s="18" t="s">
        <v>140</v>
      </c>
      <c r="J89" s="21"/>
    </row>
    <row r="90" spans="1:11" ht="15.75" hidden="1" customHeight="1" x14ac:dyDescent="0.35">
      <c r="A90" s="133" t="s">
        <v>52</v>
      </c>
      <c r="B90" s="134"/>
      <c r="C90" s="52" t="s">
        <v>177</v>
      </c>
      <c r="D90" s="52" t="s">
        <v>116</v>
      </c>
      <c r="E90" s="134" t="s">
        <v>118</v>
      </c>
      <c r="F90" s="134"/>
      <c r="G90" s="134" t="s">
        <v>117</v>
      </c>
      <c r="H90" s="135"/>
      <c r="I90" s="37" t="s">
        <v>179</v>
      </c>
      <c r="J90" s="22">
        <f ca="1">H88*25%</f>
        <v>6</v>
      </c>
    </row>
    <row r="91" spans="1:11" hidden="1" x14ac:dyDescent="0.35">
      <c r="A91" s="133" t="s">
        <v>166</v>
      </c>
      <c r="B91" s="134"/>
      <c r="C91" s="53">
        <f ca="1">J92</f>
        <v>24</v>
      </c>
      <c r="D91" s="56">
        <f ca="1">((100/H88)*C91)/100</f>
        <v>1</v>
      </c>
      <c r="E91" s="136">
        <f ca="1">(((C92/H88*10)+(40/(D88+F88+H88)*C93)+(7.5/(H88)*C94)+(7.5/(H88)*C95)+(10/H88*C96)+(10/H88*C97)+(5/H88*C98)+(5/H88*C99)+(5/H88*C100))/100)</f>
        <v>1</v>
      </c>
      <c r="F91" s="136"/>
      <c r="G91" s="136">
        <f ca="1">((((C91/H88)*20)+((C92/H88)*25)+(30/(H88+F88+D88)*C93)+(5/H88*C94)+(5/H88*C95)+(5/H88*C96)+(5/H88*C97)+(0/H88*C98)+(0/H88*C99)+(5/H88*C100))/100)</f>
        <v>1</v>
      </c>
      <c r="H91" s="138"/>
      <c r="I91" s="37" t="s">
        <v>135</v>
      </c>
      <c r="J91" s="41">
        <f ca="1">H88*50%</f>
        <v>12</v>
      </c>
    </row>
    <row r="92" spans="1:11" hidden="1" x14ac:dyDescent="0.35">
      <c r="A92" s="133" t="s">
        <v>53</v>
      </c>
      <c r="B92" s="134"/>
      <c r="C92" s="54">
        <f ca="1">J100</f>
        <v>24</v>
      </c>
      <c r="D92" s="56">
        <f ca="1">((100/H88)*C92)/100</f>
        <v>1</v>
      </c>
      <c r="E92" s="136"/>
      <c r="F92" s="136"/>
      <c r="G92" s="136"/>
      <c r="H92" s="138"/>
      <c r="I92" s="37" t="s">
        <v>136</v>
      </c>
      <c r="J92" s="41">
        <f ca="1">H88</f>
        <v>24</v>
      </c>
    </row>
    <row r="93" spans="1:11" ht="15.75" hidden="1" customHeight="1" x14ac:dyDescent="0.35">
      <c r="A93" s="140" t="s">
        <v>167</v>
      </c>
      <c r="B93" s="141"/>
      <c r="C93" s="54">
        <v>25</v>
      </c>
      <c r="D93" s="56">
        <f ca="1">((100/(D88+F88+H88))*C93)/100</f>
        <v>1</v>
      </c>
      <c r="E93" s="136"/>
      <c r="F93" s="136"/>
      <c r="G93" s="136"/>
      <c r="H93" s="138"/>
      <c r="I93" s="37" t="s">
        <v>137</v>
      </c>
      <c r="J93" s="44">
        <f ca="1">(IF(B88&gt;1,(H88/(B88+2)),H88/4))</f>
        <v>6</v>
      </c>
    </row>
    <row r="94" spans="1:11" ht="15.75" hidden="1" customHeight="1" x14ac:dyDescent="0.35">
      <c r="A94" s="133" t="s">
        <v>174</v>
      </c>
      <c r="B94" s="134" t="s">
        <v>168</v>
      </c>
      <c r="C94" s="53">
        <v>24</v>
      </c>
      <c r="D94" s="56">
        <f ca="1">((100/H88)*C94)/100</f>
        <v>1</v>
      </c>
      <c r="E94" s="136"/>
      <c r="F94" s="136"/>
      <c r="G94" s="136"/>
      <c r="H94" s="138"/>
      <c r="I94" s="37" t="s">
        <v>138</v>
      </c>
      <c r="J94" s="44">
        <f ca="1">(IF(B88&gt;1,(H88/(B88+2)+J93),H88/4+J93))</f>
        <v>12</v>
      </c>
    </row>
    <row r="95" spans="1:11" ht="15.75" hidden="1" customHeight="1" x14ac:dyDescent="0.35">
      <c r="A95" s="133" t="s">
        <v>175</v>
      </c>
      <c r="B95" s="134" t="s">
        <v>168</v>
      </c>
      <c r="C95" s="53">
        <v>24</v>
      </c>
      <c r="D95" s="56">
        <f ca="1">((100/H88)*C95)/100</f>
        <v>1</v>
      </c>
      <c r="E95" s="136"/>
      <c r="F95" s="136"/>
      <c r="G95" s="136"/>
      <c r="H95" s="138"/>
      <c r="I95" s="37" t="s">
        <v>184</v>
      </c>
      <c r="J95" s="44">
        <f>(IF(B88&gt;1,(H88/(B88+2)+J94),0))</f>
        <v>0</v>
      </c>
    </row>
    <row r="96" spans="1:11" ht="15" hidden="1" customHeight="1" x14ac:dyDescent="0.35">
      <c r="A96" s="133" t="s">
        <v>173</v>
      </c>
      <c r="B96" s="134" t="s">
        <v>170</v>
      </c>
      <c r="C96" s="53">
        <v>24</v>
      </c>
      <c r="D96" s="56">
        <f ca="1">((100/(H88))*C96)/100</f>
        <v>1</v>
      </c>
      <c r="E96" s="136"/>
      <c r="F96" s="136"/>
      <c r="G96" s="136"/>
      <c r="H96" s="138"/>
      <c r="I96" s="37" t="s">
        <v>181</v>
      </c>
      <c r="J96" s="44">
        <f>(IF(B88&gt;2,(H88/(B88+2)+J95),0))</f>
        <v>0</v>
      </c>
    </row>
    <row r="97" spans="1:10" ht="15.75" hidden="1" customHeight="1" x14ac:dyDescent="0.35">
      <c r="A97" s="133" t="s">
        <v>169</v>
      </c>
      <c r="B97" s="134" t="s">
        <v>169</v>
      </c>
      <c r="C97" s="53">
        <v>24</v>
      </c>
      <c r="D97" s="56">
        <f ca="1">((100/H88)*C97)/100</f>
        <v>1</v>
      </c>
      <c r="E97" s="136"/>
      <c r="F97" s="136"/>
      <c r="G97" s="136"/>
      <c r="H97" s="138"/>
      <c r="I97" s="37" t="s">
        <v>182</v>
      </c>
      <c r="J97" s="45">
        <f>(IF(B88&gt;3,(H88/(B88+2)+J96),0))</f>
        <v>0</v>
      </c>
    </row>
    <row r="98" spans="1:10" ht="15.75" hidden="1" customHeight="1" x14ac:dyDescent="0.35">
      <c r="A98" s="133" t="s">
        <v>176</v>
      </c>
      <c r="B98" s="134"/>
      <c r="C98" s="53">
        <v>24</v>
      </c>
      <c r="D98" s="56">
        <f ca="1">((100/H88)*C98)/100</f>
        <v>1</v>
      </c>
      <c r="E98" s="136"/>
      <c r="F98" s="136"/>
      <c r="G98" s="136"/>
      <c r="H98" s="138"/>
      <c r="I98" s="37" t="s">
        <v>183</v>
      </c>
      <c r="J98" s="44">
        <f>(IF(B88&gt;4,(H88/(B88+2)+J97),0))</f>
        <v>0</v>
      </c>
    </row>
    <row r="99" spans="1:10" ht="15.75" hidden="1" customHeight="1" x14ac:dyDescent="0.35">
      <c r="A99" s="133" t="s">
        <v>171</v>
      </c>
      <c r="B99" s="134" t="s">
        <v>171</v>
      </c>
      <c r="C99" s="53">
        <v>24</v>
      </c>
      <c r="D99" s="56">
        <f ca="1">((100/(H88))*C99)/100</f>
        <v>1</v>
      </c>
      <c r="E99" s="136"/>
      <c r="F99" s="136"/>
      <c r="G99" s="136"/>
      <c r="H99" s="138"/>
      <c r="I99" s="37" t="s">
        <v>185</v>
      </c>
      <c r="J99" s="44">
        <f ca="1">(IF(B88=1,(H88/(B88+3)+J94),IF(B88=0,(H88/4+J94),IF(B88&gt;1,0))))</f>
        <v>18</v>
      </c>
    </row>
    <row r="100" spans="1:10" ht="16" hidden="1" thickBot="1" x14ac:dyDescent="0.4">
      <c r="A100" s="142" t="s">
        <v>172</v>
      </c>
      <c r="B100" s="143"/>
      <c r="C100" s="55">
        <v>24</v>
      </c>
      <c r="D100" s="57">
        <f ca="1">((100/(H88))*C100)/100</f>
        <v>1</v>
      </c>
      <c r="E100" s="137"/>
      <c r="F100" s="137"/>
      <c r="G100" s="137"/>
      <c r="H100" s="139"/>
      <c r="I100" s="43" t="s">
        <v>139</v>
      </c>
      <c r="J100" s="46">
        <f ca="1">(IF(B88&gt;1.5,(H88/(B88+2)+J94+MAX(0,J95-J94)+MAX(0,J96-J95)+MAX(0,J97-J96)+MAX(0,J98-J97)+MAX(0,J99-J98)),IF(B88=1,(H88/(B88+3)+J99),IF(B88=0,H88/4+J99))))</f>
        <v>24</v>
      </c>
    </row>
    <row r="101" spans="1:10" ht="15.75" customHeight="1" x14ac:dyDescent="0.35">
      <c r="A101" s="129" t="s">
        <v>178</v>
      </c>
      <c r="B101" s="130"/>
      <c r="C101" s="124" t="str">
        <f>D62</f>
        <v>Tower D = St/Gr + 1st to 28th Floor</v>
      </c>
      <c r="D101" s="125"/>
      <c r="E101" s="125"/>
      <c r="F101" s="125"/>
      <c r="G101" s="125"/>
      <c r="H101" s="126"/>
      <c r="I101" s="42" t="str">
        <f ca="1">(IF(E105&gt;99%,"All work completed. Please provide OC.",IF(E105&gt;89.8%,"Plinth, RCC, Brick, Plaster, Flooring, Painting work Completed. Finishing work is in process.",IF(E105&lt;94%,(IF(C105=0,"Work not yet Started.",IF(D105=25%,"Piling work in process",IF(D105=50%,"Excavation work in process",IF(D105=100%,"Excavation work Completed. ","0")))&amp;(IF(C106=0%,"",IF(C106=J107,"Footing work is process",IF(C106=J108,"Footing work Completed",IF(C106=J109,"1st Basement Completed",IF(C106=J110,"1st &amp; 2nd Basement Completed",IF(C106=J111,"1st to 3rd Basement Completed",IF(C106=J112,"1st to 4th Basement Completed",IF(C106=J113,"Plinth work is process",IF(C106=J114,"Plinth work completed","0")))))))))))&amp;(IF(C107=(D102+F102+H102),", RCC Slab",IF(C107&gt;0,", RCC upto "&amp;C107&amp;" Slab",""))&amp;(IF(C108=H102,", Brickwork",IF(C108&gt;0,", Brickwork upto "&amp;C108&amp;" Floor",""))&amp;(IF(C109=H102,", Internal Plaster",IF(C109&gt;0,", Internal Plaster upto "&amp;C109&amp;" Floor",""))&amp;(IF(C110=H102,", External Plaster",IF(C110&gt;0,", External Plaster upto "&amp;C110&amp;" Floor",""))&amp;(IF(C111=H102,", Flooring",IF(C111&gt;0,", Flooring upto "&amp;C111&amp;" Floor",""))&amp;(IF(C112=H102,", Painting",IF(C112&gt;0,", Painting upto "&amp;C112&amp;" Floor",""))&amp;(IF(C113&gt;0,", Finishing upto "&amp;C113&amp;" Floor","")&amp;(IF(C107&gt;0.5," Completed",""))))))))))))))</f>
        <v>Excavation work Completed. Plinth work completed, RCC Slab, Brickwork upto 26 Floor, Internal Plaster upto 25 Floor, External Plaster upto 18 Floor, Flooring upto 8 Floor Completed</v>
      </c>
      <c r="J101" s="20"/>
    </row>
    <row r="102" spans="1:10" x14ac:dyDescent="0.35">
      <c r="A102" s="58" t="s">
        <v>180</v>
      </c>
      <c r="B102" s="59">
        <v>0</v>
      </c>
      <c r="C102" s="59" t="s">
        <v>100</v>
      </c>
      <c r="D102" s="59">
        <v>1</v>
      </c>
      <c r="E102" s="59" t="s">
        <v>99</v>
      </c>
      <c r="F102" s="59">
        <v>0</v>
      </c>
      <c r="G102" s="59" t="s">
        <v>113</v>
      </c>
      <c r="H102" s="47">
        <f ca="1">--TRIM(RIGHT(SUBSTITUTE(LEFT(C101,_xlfn.AGGREGATE(16,6,FIND({0,1,2,3,4,5,6,7,8,9},C101,ROW(INDIRECT("1:"&amp;LEN(C101)))),1))," ",REPT(" ",LEN(C101))),LEN(C101)))</f>
        <v>28</v>
      </c>
      <c r="I102" s="18"/>
      <c r="J102" s="21"/>
    </row>
    <row r="103" spans="1:10" ht="49.15" customHeight="1" x14ac:dyDescent="0.35">
      <c r="A103" s="127" t="s">
        <v>123</v>
      </c>
      <c r="B103" s="128"/>
      <c r="C103" s="131" t="str">
        <f ca="1">I101</f>
        <v>Excavation work Completed. Plinth work completed, RCC Slab, Brickwork upto 26 Floor, Internal Plaster upto 25 Floor, External Plaster upto 18 Floor, Flooring upto 8 Floor Completed</v>
      </c>
      <c r="D103" s="131"/>
      <c r="E103" s="131"/>
      <c r="F103" s="131"/>
      <c r="G103" s="131"/>
      <c r="H103" s="132"/>
      <c r="I103" s="18" t="s">
        <v>140</v>
      </c>
      <c r="J103" s="21"/>
    </row>
    <row r="104" spans="1:10" ht="15.75" customHeight="1" x14ac:dyDescent="0.35">
      <c r="A104" s="133" t="s">
        <v>52</v>
      </c>
      <c r="B104" s="134"/>
      <c r="C104" s="52" t="s">
        <v>177</v>
      </c>
      <c r="D104" s="52" t="s">
        <v>116</v>
      </c>
      <c r="E104" s="134" t="s">
        <v>118</v>
      </c>
      <c r="F104" s="134"/>
      <c r="G104" s="134" t="s">
        <v>117</v>
      </c>
      <c r="H104" s="135"/>
      <c r="I104" s="37" t="s">
        <v>179</v>
      </c>
      <c r="J104" s="22">
        <f ca="1">H102*25%</f>
        <v>7</v>
      </c>
    </row>
    <row r="105" spans="1:10" x14ac:dyDescent="0.35">
      <c r="A105" s="133" t="s">
        <v>166</v>
      </c>
      <c r="B105" s="134"/>
      <c r="C105" s="53">
        <f ca="1">J106</f>
        <v>28</v>
      </c>
      <c r="D105" s="56">
        <f ca="1">((100/H102)*C105)/100</f>
        <v>1</v>
      </c>
      <c r="E105" s="136">
        <f ca="1">(((C106/H102*10)+(40/(D102+F102+H102)*C107)+(7.5/(H102)*C108)+(7.5/(H102)*C109)+(10/H102*C110)+(10/H102*C111)+(5/H102*C112)+(5/H102*C113)+(5/H102*C114))/100)</f>
        <v>0.72946428571428568</v>
      </c>
      <c r="F105" s="136"/>
      <c r="G105" s="136">
        <f ca="1">((((C105/H102)*20)+((C106/H102)*25)+(30/(H102+F102+D102)*C107)+(5/H102*C108)+(5/H102*C109)+(5/H102*C110)+(5/H102*C111)+(0/H102*C112)+(0/H102*C113)+(5/H102*C114))/100)</f>
        <v>0.88749999999999984</v>
      </c>
      <c r="H105" s="138"/>
      <c r="I105" s="37" t="s">
        <v>135</v>
      </c>
      <c r="J105" s="41">
        <f ca="1">H102*50%</f>
        <v>14</v>
      </c>
    </row>
    <row r="106" spans="1:10" x14ac:dyDescent="0.35">
      <c r="A106" s="133" t="s">
        <v>53</v>
      </c>
      <c r="B106" s="134"/>
      <c r="C106" s="54">
        <f ca="1">J114</f>
        <v>28</v>
      </c>
      <c r="D106" s="56">
        <f ca="1">((100/H102)*C106)/100</f>
        <v>1</v>
      </c>
      <c r="E106" s="136"/>
      <c r="F106" s="136"/>
      <c r="G106" s="136"/>
      <c r="H106" s="138"/>
      <c r="I106" s="37" t="s">
        <v>136</v>
      </c>
      <c r="J106" s="41">
        <f ca="1">H102</f>
        <v>28</v>
      </c>
    </row>
    <row r="107" spans="1:10" ht="15.75" customHeight="1" x14ac:dyDescent="0.35">
      <c r="A107" s="140" t="s">
        <v>167</v>
      </c>
      <c r="B107" s="141"/>
      <c r="C107" s="54">
        <v>29</v>
      </c>
      <c r="D107" s="56">
        <f ca="1">((100/(D102+F102+H102))*C107)/100</f>
        <v>1</v>
      </c>
      <c r="E107" s="136"/>
      <c r="F107" s="136"/>
      <c r="G107" s="136"/>
      <c r="H107" s="138"/>
      <c r="I107" s="37" t="s">
        <v>137</v>
      </c>
      <c r="J107" s="44">
        <f ca="1">(IF(B102&gt;1,(H102/(B102+2)),H102/4))</f>
        <v>7</v>
      </c>
    </row>
    <row r="108" spans="1:10" ht="15.75" customHeight="1" x14ac:dyDescent="0.35">
      <c r="A108" s="133" t="s">
        <v>174</v>
      </c>
      <c r="B108" s="134" t="s">
        <v>168</v>
      </c>
      <c r="C108" s="53">
        <v>26</v>
      </c>
      <c r="D108" s="56">
        <f ca="1">((100/H102)*C108)/100</f>
        <v>0.9285714285714286</v>
      </c>
      <c r="E108" s="136"/>
      <c r="F108" s="136"/>
      <c r="G108" s="136"/>
      <c r="H108" s="138"/>
      <c r="I108" s="37" t="s">
        <v>138</v>
      </c>
      <c r="J108" s="44">
        <f ca="1">(IF(B102&gt;1,(H102/(B102+2)+J107),H102/4+J107))</f>
        <v>14</v>
      </c>
    </row>
    <row r="109" spans="1:10" ht="15.75" customHeight="1" x14ac:dyDescent="0.35">
      <c r="A109" s="133" t="s">
        <v>175</v>
      </c>
      <c r="B109" s="134" t="s">
        <v>168</v>
      </c>
      <c r="C109" s="53">
        <v>25</v>
      </c>
      <c r="D109" s="56">
        <f ca="1">((100/H102)*C109)/100</f>
        <v>0.8928571428571429</v>
      </c>
      <c r="E109" s="136"/>
      <c r="F109" s="136"/>
      <c r="G109" s="136"/>
      <c r="H109" s="138"/>
      <c r="I109" s="37" t="s">
        <v>184</v>
      </c>
      <c r="J109" s="44">
        <f>(IF(B102&gt;1,(H102/(B102+2)+J108),0))</f>
        <v>0</v>
      </c>
    </row>
    <row r="110" spans="1:10" ht="15" customHeight="1" x14ac:dyDescent="0.35">
      <c r="A110" s="133" t="s">
        <v>173</v>
      </c>
      <c r="B110" s="134" t="s">
        <v>170</v>
      </c>
      <c r="C110" s="53">
        <v>18</v>
      </c>
      <c r="D110" s="56">
        <f ca="1">((100/(H102))*C110)/100</f>
        <v>0.6428571428571429</v>
      </c>
      <c r="E110" s="136"/>
      <c r="F110" s="136"/>
      <c r="G110" s="136"/>
      <c r="H110" s="138"/>
      <c r="I110" s="37" t="s">
        <v>181</v>
      </c>
      <c r="J110" s="44">
        <f>(IF(B102&gt;2,(H102/(B102+2)+J109),0))</f>
        <v>0</v>
      </c>
    </row>
    <row r="111" spans="1:10" ht="15.75" customHeight="1" x14ac:dyDescent="0.35">
      <c r="A111" s="133" t="s">
        <v>169</v>
      </c>
      <c r="B111" s="134" t="s">
        <v>169</v>
      </c>
      <c r="C111" s="53">
        <v>8</v>
      </c>
      <c r="D111" s="56">
        <f ca="1">((100/H102)*C111)/100</f>
        <v>0.28571428571428575</v>
      </c>
      <c r="E111" s="136"/>
      <c r="F111" s="136"/>
      <c r="G111" s="136"/>
      <c r="H111" s="138"/>
      <c r="I111" s="37" t="s">
        <v>182</v>
      </c>
      <c r="J111" s="45">
        <f>(IF(B102&gt;3,(H102/(B102+2)+J110),0))</f>
        <v>0</v>
      </c>
    </row>
    <row r="112" spans="1:10" ht="15.75" customHeight="1" x14ac:dyDescent="0.35">
      <c r="A112" s="133" t="s">
        <v>176</v>
      </c>
      <c r="B112" s="134"/>
      <c r="C112" s="53">
        <v>0</v>
      </c>
      <c r="D112" s="56">
        <f ca="1">((100/H102)*C112)/100</f>
        <v>0</v>
      </c>
      <c r="E112" s="136"/>
      <c r="F112" s="136"/>
      <c r="G112" s="136"/>
      <c r="H112" s="138"/>
      <c r="I112" s="37" t="s">
        <v>183</v>
      </c>
      <c r="J112" s="44">
        <f>(IF(B102&gt;4,(H102/(B102+2)+J111),0))</f>
        <v>0</v>
      </c>
    </row>
    <row r="113" spans="1:10" ht="15.75" customHeight="1" x14ac:dyDescent="0.35">
      <c r="A113" s="133" t="s">
        <v>171</v>
      </c>
      <c r="B113" s="134" t="s">
        <v>171</v>
      </c>
      <c r="C113" s="53">
        <v>0</v>
      </c>
      <c r="D113" s="56">
        <f ca="1">((100/(H102))*C113)/100</f>
        <v>0</v>
      </c>
      <c r="E113" s="136"/>
      <c r="F113" s="136"/>
      <c r="G113" s="136"/>
      <c r="H113" s="138"/>
      <c r="I113" s="37" t="s">
        <v>185</v>
      </c>
      <c r="J113" s="44">
        <f ca="1">(IF(B102=1,(H102/(B102+3)+J108),IF(B102=0,(H102/4+J108),IF(B102&gt;1,0))))</f>
        <v>21</v>
      </c>
    </row>
    <row r="114" spans="1:10" ht="16" thickBot="1" x14ac:dyDescent="0.4">
      <c r="A114" s="142" t="s">
        <v>172</v>
      </c>
      <c r="B114" s="143"/>
      <c r="C114" s="55">
        <v>0</v>
      </c>
      <c r="D114" s="57">
        <f ca="1">((100/(H102))*C114)/100</f>
        <v>0</v>
      </c>
      <c r="E114" s="137"/>
      <c r="F114" s="137"/>
      <c r="G114" s="137"/>
      <c r="H114" s="139"/>
      <c r="I114" s="43" t="s">
        <v>139</v>
      </c>
      <c r="J114" s="46">
        <f ca="1">(IF(B102&gt;1.5,(H102/(B102+2)+J108+MAX(0,J109-J108)+MAX(0,J110-J109)+MAX(0,J111-J110)+MAX(0,J112-J111)+MAX(0,J113-J112)),IF(B102=1,(H102/(B102+3)+J113),IF(B102=0,H102/4+J113))))</f>
        <v>28</v>
      </c>
    </row>
    <row r="115" spans="1:10" ht="15.75" customHeight="1" x14ac:dyDescent="0.35">
      <c r="A115" s="122" t="s">
        <v>178</v>
      </c>
      <c r="B115" s="123"/>
      <c r="C115" s="124" t="str">
        <f>D63</f>
        <v>Tower E = St/Gr + 1st to 35th Floor</v>
      </c>
      <c r="D115" s="125"/>
      <c r="E115" s="125"/>
      <c r="F115" s="125"/>
      <c r="G115" s="125"/>
      <c r="H115" s="126"/>
      <c r="I115" s="42" t="str">
        <f ca="1">(IF(E119&gt;99%,"All work completed. Please provide OC.",IF(E119&gt;89.8%,"Plinth, RCC, Brick, Plaster, Flooring, Painting work Completed. Finishing work is in process.",IF(E119&lt;94%,(IF(C119=0,"Work not yet Started.",IF(D119=25%,"Piling work in process",IF(D119=50%,"Excavation work in process",IF(D119=100%,"Excavation work Completed. ","0")))&amp;(IF(C120=0%,"",IF(C120=J121,"Footing work is process",IF(C120=J122,"Footing work Completed",IF(C120=J123,"1st Basement Completed",IF(C120=J124,"1st &amp; 2nd Basement Completed",IF(C120=J125,"1st to 3rd Basement Completed",IF(C120=J126,"1st to 4th Basement Completed",IF(C120=J127,"Plinth work is process",IF(C120=J128,"Plinth work completed","0")))))))))))&amp;(IF(C121=(D116+F116+H116),", RCC Slab",IF(C121&gt;0,", RCC upto "&amp;C121&amp;" Slab",""))&amp;(IF(C122=H116,", Brickwork",IF(C122&gt;0,", Brickwork upto "&amp;C122&amp;" Floor",""))&amp;(IF(C123=H116,", Internal Plaster",IF(C123&gt;0,", Internal Plaster upto "&amp;C123&amp;" Floor",""))&amp;(IF(C124=H116,", External Plaster",IF(C124&gt;0,", External Plaster upto "&amp;C124&amp;" Floor",""))&amp;(IF(C125=H116,", Flooring",IF(C125&gt;0,", Flooring upto "&amp;C125&amp;" Floor",""))&amp;(IF(C126=H116,", Painting",IF(C126&gt;0,", Painting upto "&amp;C126&amp;" Floor",""))&amp;(IF(C127&gt;0,", Finishing upto "&amp;C127&amp;" Floor","")&amp;(IF(C121&gt;0.5," Completed",""))))))))))))))</f>
        <v>Excavation work Completed. Plinth work completed, RCC upto 17 Slab, Brickwork upto 16 Floor, Internal Plaster upto 12 Floor, External Plaster upto 10.4 Floor Completed</v>
      </c>
      <c r="J115" s="20"/>
    </row>
    <row r="116" spans="1:10" x14ac:dyDescent="0.35">
      <c r="A116" s="58" t="s">
        <v>180</v>
      </c>
      <c r="B116" s="59">
        <v>0</v>
      </c>
      <c r="C116" s="59" t="s">
        <v>100</v>
      </c>
      <c r="D116" s="59">
        <v>1</v>
      </c>
      <c r="E116" s="59" t="s">
        <v>99</v>
      </c>
      <c r="F116" s="59">
        <v>0</v>
      </c>
      <c r="G116" s="59" t="s">
        <v>113</v>
      </c>
      <c r="H116" s="47">
        <f ca="1">--TRIM(RIGHT(SUBSTITUTE(LEFT(C115,_xlfn.AGGREGATE(16,6,FIND({0,1,2,3,4,5,6,7,8,9},C115,ROW(INDIRECT("1:"&amp;LEN(C115)))),1))," ",REPT(" ",LEN(C115))),LEN(C115)))</f>
        <v>35</v>
      </c>
      <c r="I116" s="18"/>
      <c r="J116" s="21"/>
    </row>
    <row r="117" spans="1:10" ht="31" customHeight="1" x14ac:dyDescent="0.35">
      <c r="A117" s="128" t="s">
        <v>123</v>
      </c>
      <c r="B117" s="128"/>
      <c r="C117" s="131" t="str">
        <f ca="1">I115</f>
        <v>Excavation work Completed. Plinth work completed, RCC upto 17 Slab, Brickwork upto 16 Floor, Internal Plaster upto 12 Floor, External Plaster upto 10.4 Floor Completed</v>
      </c>
      <c r="D117" s="131"/>
      <c r="E117" s="131"/>
      <c r="F117" s="131"/>
      <c r="G117" s="131"/>
      <c r="H117" s="131"/>
      <c r="I117" s="18" t="s">
        <v>140</v>
      </c>
      <c r="J117" s="21"/>
    </row>
    <row r="118" spans="1:10" ht="15.75" customHeight="1" x14ac:dyDescent="0.35">
      <c r="A118" s="134" t="s">
        <v>52</v>
      </c>
      <c r="B118" s="134"/>
      <c r="C118" s="70" t="s">
        <v>177</v>
      </c>
      <c r="D118" s="70" t="s">
        <v>116</v>
      </c>
      <c r="E118" s="134" t="s">
        <v>118</v>
      </c>
      <c r="F118" s="134"/>
      <c r="G118" s="134" t="s">
        <v>117</v>
      </c>
      <c r="H118" s="134"/>
      <c r="I118" s="37" t="s">
        <v>179</v>
      </c>
      <c r="J118" s="22">
        <f ca="1">H116*25%</f>
        <v>8.75</v>
      </c>
    </row>
    <row r="119" spans="1:10" x14ac:dyDescent="0.35">
      <c r="A119" s="134" t="s">
        <v>166</v>
      </c>
      <c r="B119" s="134"/>
      <c r="C119" s="53">
        <v>35</v>
      </c>
      <c r="D119" s="71">
        <f ca="1">((100/H116)*C119)/100</f>
        <v>1</v>
      </c>
      <c r="E119" s="136">
        <f ca="1">(((C120/H116*10)+(40/(D116+F116+H116)*C121)+(7.5/(H116)*C122)+(7.5/(H116)*C123)+(10/H116*C124)+(10/H116*C125)+(5/H116*C126)+(5/H116*C127)+(5/H116*C128))/100)</f>
        <v>0.37860317460317461</v>
      </c>
      <c r="F119" s="136"/>
      <c r="G119" s="136">
        <f ca="1">((((C119/H116)*20)+((C120/H116)*25)+(30/(H116+F116+D116)*C121)+(5/H116*C122)+(5/H116*C123)+(5/H116*C124)+(5/H116*C125)+(0/H116*C126)+(0/H116*C127)+(5/H116*C128))/100)</f>
        <v>0.6465238095238095</v>
      </c>
      <c r="H119" s="136"/>
      <c r="I119" s="37" t="s">
        <v>135</v>
      </c>
      <c r="J119" s="41">
        <f ca="1">H116*50%</f>
        <v>17.5</v>
      </c>
    </row>
    <row r="120" spans="1:10" x14ac:dyDescent="0.35">
      <c r="A120" s="134" t="s">
        <v>53</v>
      </c>
      <c r="B120" s="134"/>
      <c r="C120" s="54">
        <f ca="1">J128</f>
        <v>35</v>
      </c>
      <c r="D120" s="71">
        <f ca="1">((100/H116)*C120)/100</f>
        <v>1</v>
      </c>
      <c r="E120" s="136"/>
      <c r="F120" s="136"/>
      <c r="G120" s="136"/>
      <c r="H120" s="136"/>
      <c r="I120" s="37" t="s">
        <v>136</v>
      </c>
      <c r="J120" s="41">
        <f ca="1">H116</f>
        <v>35</v>
      </c>
    </row>
    <row r="121" spans="1:10" ht="15.75" customHeight="1" x14ac:dyDescent="0.35">
      <c r="A121" s="141" t="s">
        <v>167</v>
      </c>
      <c r="B121" s="141"/>
      <c r="C121" s="54">
        <v>17</v>
      </c>
      <c r="D121" s="71">
        <f ca="1">((100/(D116+F116+H116))*C121)/100</f>
        <v>0.47222222222222221</v>
      </c>
      <c r="E121" s="136"/>
      <c r="F121" s="136"/>
      <c r="G121" s="136"/>
      <c r="H121" s="136"/>
      <c r="I121" s="37" t="s">
        <v>137</v>
      </c>
      <c r="J121" s="44">
        <f ca="1">(IF(B116&gt;1,(H116/(B116+2)),H116/4))</f>
        <v>8.75</v>
      </c>
    </row>
    <row r="122" spans="1:10" ht="15.75" customHeight="1" x14ac:dyDescent="0.35">
      <c r="A122" s="134" t="s">
        <v>174</v>
      </c>
      <c r="B122" s="134" t="s">
        <v>168</v>
      </c>
      <c r="C122" s="54">
        <f>C121-1</f>
        <v>16</v>
      </c>
      <c r="D122" s="71">
        <f ca="1">((100/H116)*C122)/100</f>
        <v>0.45714285714285713</v>
      </c>
      <c r="E122" s="136"/>
      <c r="F122" s="136"/>
      <c r="G122" s="136"/>
      <c r="H122" s="136"/>
      <c r="I122" s="37" t="s">
        <v>138</v>
      </c>
      <c r="J122" s="44">
        <f ca="1">(IF(B116&gt;1,(H116/(B116+2)+J121),H116/4+J121))</f>
        <v>17.5</v>
      </c>
    </row>
    <row r="123" spans="1:10" ht="15.75" customHeight="1" x14ac:dyDescent="0.35">
      <c r="A123" s="134" t="s">
        <v>175</v>
      </c>
      <c r="B123" s="134" t="s">
        <v>168</v>
      </c>
      <c r="C123" s="54">
        <f>C122*0.75</f>
        <v>12</v>
      </c>
      <c r="D123" s="71">
        <f ca="1">((100/H116)*C123)/100</f>
        <v>0.34285714285714286</v>
      </c>
      <c r="E123" s="136"/>
      <c r="F123" s="136"/>
      <c r="G123" s="136"/>
      <c r="H123" s="136"/>
      <c r="I123" s="37" t="s">
        <v>184</v>
      </c>
      <c r="J123" s="44">
        <f>(IF(B116&gt;1,(H116/(B116+2)+J122),0))</f>
        <v>0</v>
      </c>
    </row>
    <row r="124" spans="1:10" ht="15" customHeight="1" x14ac:dyDescent="0.35">
      <c r="A124" s="134" t="s">
        <v>173</v>
      </c>
      <c r="B124" s="134" t="s">
        <v>170</v>
      </c>
      <c r="C124" s="54">
        <f>C122*0.65</f>
        <v>10.4</v>
      </c>
      <c r="D124" s="71">
        <f ca="1">((100/(H116))*C124)/100</f>
        <v>0.29714285714285715</v>
      </c>
      <c r="E124" s="136"/>
      <c r="F124" s="136"/>
      <c r="G124" s="136"/>
      <c r="H124" s="136"/>
      <c r="I124" s="37" t="s">
        <v>181</v>
      </c>
      <c r="J124" s="44">
        <f>(IF(B116&gt;2,(H116/(B116+2)+J123),0))</f>
        <v>0</v>
      </c>
    </row>
    <row r="125" spans="1:10" ht="15.75" customHeight="1" x14ac:dyDescent="0.35">
      <c r="A125" s="134" t="s">
        <v>169</v>
      </c>
      <c r="B125" s="134" t="s">
        <v>169</v>
      </c>
      <c r="C125" s="53">
        <v>0</v>
      </c>
      <c r="D125" s="71">
        <f ca="1">((100/H116)*C125)/100</f>
        <v>0</v>
      </c>
      <c r="E125" s="136"/>
      <c r="F125" s="136"/>
      <c r="G125" s="136"/>
      <c r="H125" s="136"/>
      <c r="I125" s="37" t="s">
        <v>182</v>
      </c>
      <c r="J125" s="45">
        <f>(IF(B116&gt;3,(H116/(B116+2)+J124),0))</f>
        <v>0</v>
      </c>
    </row>
    <row r="126" spans="1:10" ht="15.75" customHeight="1" x14ac:dyDescent="0.35">
      <c r="A126" s="134" t="s">
        <v>176</v>
      </c>
      <c r="B126" s="134"/>
      <c r="C126" s="53">
        <v>0</v>
      </c>
      <c r="D126" s="71">
        <f ca="1">((100/H116)*C126)/100</f>
        <v>0</v>
      </c>
      <c r="E126" s="136"/>
      <c r="F126" s="136"/>
      <c r="G126" s="136"/>
      <c r="H126" s="136"/>
      <c r="I126" s="37" t="s">
        <v>183</v>
      </c>
      <c r="J126" s="44">
        <f>(IF(B116&gt;4,(H116/(B116+2)+J125),0))</f>
        <v>0</v>
      </c>
    </row>
    <row r="127" spans="1:10" ht="15.75" customHeight="1" x14ac:dyDescent="0.35">
      <c r="A127" s="134" t="s">
        <v>171</v>
      </c>
      <c r="B127" s="134" t="s">
        <v>171</v>
      </c>
      <c r="C127" s="53">
        <v>0</v>
      </c>
      <c r="D127" s="71">
        <f ca="1">((100/(H116))*C127)/100</f>
        <v>0</v>
      </c>
      <c r="E127" s="136"/>
      <c r="F127" s="136"/>
      <c r="G127" s="136"/>
      <c r="H127" s="136"/>
      <c r="I127" s="37" t="s">
        <v>185</v>
      </c>
      <c r="J127" s="44">
        <f ca="1">(IF(B116=1,(H116/(B116+3)+J122),IF(B116=0,(H116/4+J122),IF(B116&gt;1,0))))</f>
        <v>26.25</v>
      </c>
    </row>
    <row r="128" spans="1:10" ht="16" thickBot="1" x14ac:dyDescent="0.4">
      <c r="A128" s="134" t="s">
        <v>172</v>
      </c>
      <c r="B128" s="134"/>
      <c r="C128" s="53">
        <v>0</v>
      </c>
      <c r="D128" s="71">
        <f ca="1">((100/(H116))*C128)/100</f>
        <v>0</v>
      </c>
      <c r="E128" s="136"/>
      <c r="F128" s="136"/>
      <c r="G128" s="136"/>
      <c r="H128" s="136"/>
      <c r="I128" s="43" t="s">
        <v>139</v>
      </c>
      <c r="J128" s="46">
        <f ca="1">(IF(B116&gt;1.5,(H116/(B116+2)+J122+MAX(0,J123-J122)+MAX(0,J124-J123)+MAX(0,J125-J124)+MAX(0,J126-J125)+MAX(0,J127-J126)),IF(B116=1,(H116/(B116+3)+J127),IF(B116=0,H116/4+J127))))</f>
        <v>35</v>
      </c>
    </row>
    <row r="129" spans="1:10" ht="15.75" customHeight="1" x14ac:dyDescent="0.35">
      <c r="A129" s="211" t="s">
        <v>178</v>
      </c>
      <c r="B129" s="212"/>
      <c r="C129" s="213" t="str">
        <f>D64</f>
        <v>Tower F = St/Gr + 1st to 35th Floor</v>
      </c>
      <c r="D129" s="214"/>
      <c r="E129" s="214"/>
      <c r="F129" s="214"/>
      <c r="G129" s="214"/>
      <c r="H129" s="215"/>
      <c r="I129" s="42" t="str">
        <f ca="1">(IF(E133&gt;99%,"All work completed. Please provide OC.",IF(E133&gt;89.8%,"Plinth, RCC, Brick, Plaster, Flooring, Painting work Completed. Finishing work is in process.",IF(E133&lt;94%,(IF(C133=0,"Work not yet Started.",IF(D133=25%,"Piling work in process",IF(D133=50%,"Excavation work in process",IF(D133=100%,"Excavation work Completed. ","0")))&amp;(IF(C134=0%,"",IF(C134=J135,"Footing work is process",IF(C134=J136,"Footing work Completed",IF(C134=J137,"1st Basement Completed",IF(C134=J138,"1st &amp; 2nd Basement Completed",IF(C134=J139,"1st to 3rd Basement Completed",IF(C134=J140,"1st to 4th Basement Completed",IF(C134=J141,"Plinth work is process",IF(C134=J142,"Plinth work completed","0")))))))))))&amp;(IF(C135=(D130+F130+H130),", RCC Slab",IF(C135&gt;0,", RCC upto "&amp;C135&amp;" Slab",""))&amp;(IF(C136=H130,", Brickwork",IF(C136&gt;0,", Brickwork upto "&amp;C136&amp;" Floor",""))&amp;(IF(C137=H130,", Internal Plaster",IF(C137&gt;0,", Internal Plaster upto "&amp;C137&amp;" Floor",""))&amp;(IF(C138=H130,", External Plaster",IF(C138&gt;0,", External Plaster upto "&amp;C138&amp;" Floor",""))&amp;(IF(C139=H130,", Flooring",IF(C139&gt;0,", Flooring upto "&amp;C139&amp;" Floor",""))&amp;(IF(C140=H130,", Painting",IF(C140&gt;0,", Painting upto "&amp;C140&amp;" Floor",""))&amp;(IF(C141&gt;0,", Finishing upto "&amp;C141&amp;" Floor","")&amp;(IF(C135&gt;0.5," Completed",""))))))))))))))</f>
        <v>Excavation work Completed. Plinth work completed, RCC upto 12 Slab, Brickwork upto 11 Floor Completed</v>
      </c>
      <c r="J129" s="20"/>
    </row>
    <row r="130" spans="1:10" x14ac:dyDescent="0.35">
      <c r="A130" s="58" t="s">
        <v>180</v>
      </c>
      <c r="B130" s="59">
        <v>0</v>
      </c>
      <c r="C130" s="59" t="s">
        <v>100</v>
      </c>
      <c r="D130" s="59">
        <v>1</v>
      </c>
      <c r="E130" s="59" t="s">
        <v>99</v>
      </c>
      <c r="F130" s="59">
        <v>0</v>
      </c>
      <c r="G130" s="59" t="s">
        <v>113</v>
      </c>
      <c r="H130" s="47">
        <f ca="1">--TRIM(RIGHT(SUBSTITUTE(LEFT(C129,_xlfn.AGGREGATE(16,6,FIND({0,1,2,3,4,5,6,7,8,9},C129,ROW(INDIRECT("1:"&amp;LEN(C129)))),1))," ",REPT(" ",LEN(C129))),LEN(C129)))</f>
        <v>35</v>
      </c>
      <c r="I130" s="18"/>
      <c r="J130" s="21"/>
    </row>
    <row r="131" spans="1:10" ht="32.5" customHeight="1" x14ac:dyDescent="0.35">
      <c r="A131" s="127" t="s">
        <v>123</v>
      </c>
      <c r="B131" s="128"/>
      <c r="C131" s="131" t="str">
        <f ca="1">I129</f>
        <v>Excavation work Completed. Plinth work completed, RCC upto 12 Slab, Brickwork upto 11 Floor Completed</v>
      </c>
      <c r="D131" s="131"/>
      <c r="E131" s="131"/>
      <c r="F131" s="131"/>
      <c r="G131" s="131"/>
      <c r="H131" s="132"/>
      <c r="I131" s="18" t="s">
        <v>140</v>
      </c>
      <c r="J131" s="21"/>
    </row>
    <row r="132" spans="1:10" ht="15.75" customHeight="1" x14ac:dyDescent="0.35">
      <c r="A132" s="133" t="s">
        <v>52</v>
      </c>
      <c r="B132" s="134"/>
      <c r="C132" s="52" t="s">
        <v>177</v>
      </c>
      <c r="D132" s="52" t="s">
        <v>116</v>
      </c>
      <c r="E132" s="134" t="s">
        <v>118</v>
      </c>
      <c r="F132" s="134"/>
      <c r="G132" s="134" t="s">
        <v>117</v>
      </c>
      <c r="H132" s="135"/>
      <c r="I132" s="37" t="s">
        <v>179</v>
      </c>
      <c r="J132" s="22">
        <f ca="1">H130*25%</f>
        <v>8.75</v>
      </c>
    </row>
    <row r="133" spans="1:10" x14ac:dyDescent="0.35">
      <c r="A133" s="133" t="s">
        <v>166</v>
      </c>
      <c r="B133" s="134"/>
      <c r="C133" s="53">
        <f ca="1">J134</f>
        <v>35</v>
      </c>
      <c r="D133" s="56">
        <f ca="1">((100/H130)*C133)/100</f>
        <v>1</v>
      </c>
      <c r="E133" s="136">
        <f ca="1">(((C134/H130*10)+(40/(D130+F130+H130)*C135)+(7.5/(H130)*C136)+(7.5/(H130)*C137)+(10/H130*C138)+(10/H130*C139)+(5/H130*C140)+(5/H130*C141)+(5/H130*C142))/100)</f>
        <v>0.25690476190476191</v>
      </c>
      <c r="F133" s="136"/>
      <c r="G133" s="136">
        <f ca="1">((((C133/H130)*20)+((C134/H130)*25)+(30/(H130+F130+D130)*C135)+(5/H130*C136)+(5/H130*C137)+(5/H130*C138)+(5/H130*C139)+(0/H130*C140)+(0/H130*C141)+(5/H130*C142))/100)</f>
        <v>0.56571428571428573</v>
      </c>
      <c r="H133" s="138"/>
      <c r="I133" s="37" t="s">
        <v>135</v>
      </c>
      <c r="J133" s="41">
        <f ca="1">H130*50%</f>
        <v>17.5</v>
      </c>
    </row>
    <row r="134" spans="1:10" x14ac:dyDescent="0.35">
      <c r="A134" s="133" t="s">
        <v>53</v>
      </c>
      <c r="B134" s="134"/>
      <c r="C134" s="54">
        <f ca="1">J142</f>
        <v>35</v>
      </c>
      <c r="D134" s="56">
        <f ca="1">((100/H130)*C134)/100</f>
        <v>1</v>
      </c>
      <c r="E134" s="136"/>
      <c r="F134" s="136"/>
      <c r="G134" s="136"/>
      <c r="H134" s="138"/>
      <c r="I134" s="37" t="s">
        <v>136</v>
      </c>
      <c r="J134" s="41">
        <f ca="1">H130</f>
        <v>35</v>
      </c>
    </row>
    <row r="135" spans="1:10" ht="15.75" customHeight="1" x14ac:dyDescent="0.35">
      <c r="A135" s="140" t="s">
        <v>167</v>
      </c>
      <c r="B135" s="141"/>
      <c r="C135" s="54">
        <v>12</v>
      </c>
      <c r="D135" s="56">
        <f ca="1">((100/(D130+F130+H130))*C135)/100</f>
        <v>0.33333333333333326</v>
      </c>
      <c r="E135" s="136"/>
      <c r="F135" s="136"/>
      <c r="G135" s="136"/>
      <c r="H135" s="138"/>
      <c r="I135" s="37" t="s">
        <v>137</v>
      </c>
      <c r="J135" s="44">
        <f ca="1">(IF(B130&gt;1,(H130/(B130+2)),H130/4))</f>
        <v>8.75</v>
      </c>
    </row>
    <row r="136" spans="1:10" ht="15.75" customHeight="1" x14ac:dyDescent="0.35">
      <c r="A136" s="133" t="s">
        <v>174</v>
      </c>
      <c r="B136" s="134" t="s">
        <v>168</v>
      </c>
      <c r="C136" s="54">
        <f>C135-1</f>
        <v>11</v>
      </c>
      <c r="D136" s="56">
        <f ca="1">((100/H130)*C136)/100</f>
        <v>0.31428571428571428</v>
      </c>
      <c r="E136" s="136"/>
      <c r="F136" s="136"/>
      <c r="G136" s="136"/>
      <c r="H136" s="138"/>
      <c r="I136" s="37" t="s">
        <v>138</v>
      </c>
      <c r="J136" s="44">
        <f ca="1">(IF(B130&gt;1,(H130/(B130+2)+J135),H130/4+J135))</f>
        <v>17.5</v>
      </c>
    </row>
    <row r="137" spans="1:10" ht="15.75" customHeight="1" x14ac:dyDescent="0.35">
      <c r="A137" s="133" t="s">
        <v>175</v>
      </c>
      <c r="B137" s="134" t="s">
        <v>168</v>
      </c>
      <c r="C137" s="53">
        <v>0</v>
      </c>
      <c r="D137" s="56">
        <f ca="1">((100/H130)*C137)/100</f>
        <v>0</v>
      </c>
      <c r="E137" s="136"/>
      <c r="F137" s="136"/>
      <c r="G137" s="136"/>
      <c r="H137" s="138"/>
      <c r="I137" s="37" t="s">
        <v>184</v>
      </c>
      <c r="J137" s="44">
        <f>(IF(B130&gt;1,(H130/(B130+2)+J136),0))</f>
        <v>0</v>
      </c>
    </row>
    <row r="138" spans="1:10" ht="15" customHeight="1" x14ac:dyDescent="0.35">
      <c r="A138" s="133" t="s">
        <v>173</v>
      </c>
      <c r="B138" s="134" t="s">
        <v>170</v>
      </c>
      <c r="C138" s="53">
        <v>0</v>
      </c>
      <c r="D138" s="56">
        <f ca="1">((100/(H130))*C138)/100</f>
        <v>0</v>
      </c>
      <c r="E138" s="136"/>
      <c r="F138" s="136"/>
      <c r="G138" s="136"/>
      <c r="H138" s="138"/>
      <c r="I138" s="37" t="s">
        <v>181</v>
      </c>
      <c r="J138" s="44">
        <f>(IF(B130&gt;2,(H130/(B130+2)+J137),0))</f>
        <v>0</v>
      </c>
    </row>
    <row r="139" spans="1:10" ht="15.75" customHeight="1" x14ac:dyDescent="0.35">
      <c r="A139" s="133" t="s">
        <v>169</v>
      </c>
      <c r="B139" s="134" t="s">
        <v>169</v>
      </c>
      <c r="C139" s="53">
        <v>0</v>
      </c>
      <c r="D139" s="56">
        <f ca="1">((100/H130)*C139)/100</f>
        <v>0</v>
      </c>
      <c r="E139" s="136"/>
      <c r="F139" s="136"/>
      <c r="G139" s="136"/>
      <c r="H139" s="138"/>
      <c r="I139" s="37" t="s">
        <v>182</v>
      </c>
      <c r="J139" s="45">
        <f>(IF(B130&gt;3,(H130/(B130+2)+J138),0))</f>
        <v>0</v>
      </c>
    </row>
    <row r="140" spans="1:10" ht="15.75" customHeight="1" x14ac:dyDescent="0.35">
      <c r="A140" s="133" t="s">
        <v>176</v>
      </c>
      <c r="B140" s="134"/>
      <c r="C140" s="53">
        <v>0</v>
      </c>
      <c r="D140" s="56">
        <f ca="1">((100/H130)*C140)/100</f>
        <v>0</v>
      </c>
      <c r="E140" s="136"/>
      <c r="F140" s="136"/>
      <c r="G140" s="136"/>
      <c r="H140" s="138"/>
      <c r="I140" s="37" t="s">
        <v>183</v>
      </c>
      <c r="J140" s="44">
        <f>(IF(B130&gt;4,(H130/(B130+2)+J139),0))</f>
        <v>0</v>
      </c>
    </row>
    <row r="141" spans="1:10" ht="15.75" customHeight="1" x14ac:dyDescent="0.35">
      <c r="A141" s="133" t="s">
        <v>171</v>
      </c>
      <c r="B141" s="134" t="s">
        <v>171</v>
      </c>
      <c r="C141" s="53">
        <v>0</v>
      </c>
      <c r="D141" s="56">
        <f ca="1">((100/(H130))*C141)/100</f>
        <v>0</v>
      </c>
      <c r="E141" s="136"/>
      <c r="F141" s="136"/>
      <c r="G141" s="136"/>
      <c r="H141" s="138"/>
      <c r="I141" s="37" t="s">
        <v>185</v>
      </c>
      <c r="J141" s="44">
        <f ca="1">(IF(B130=1,(H130/(B130+3)+J136),IF(B130=0,(H130/4+J136),IF(B130&gt;1,0))))</f>
        <v>26.25</v>
      </c>
    </row>
    <row r="142" spans="1:10" ht="16" thickBot="1" x14ac:dyDescent="0.4">
      <c r="A142" s="142" t="s">
        <v>172</v>
      </c>
      <c r="B142" s="143"/>
      <c r="C142" s="55">
        <v>0</v>
      </c>
      <c r="D142" s="57">
        <f ca="1">((100/(H130))*C142)/100</f>
        <v>0</v>
      </c>
      <c r="E142" s="137"/>
      <c r="F142" s="137"/>
      <c r="G142" s="137"/>
      <c r="H142" s="139"/>
      <c r="I142" s="43" t="s">
        <v>139</v>
      </c>
      <c r="J142" s="46">
        <f ca="1">(IF(B130&gt;1.5,(H130/(B130+2)+J136+MAX(0,J137-J136)+MAX(0,J138-J137)+MAX(0,J139-J138)+MAX(0,J140-J139)+MAX(0,J141-J140)),IF(B130=1,(H130/(B130+3)+J141),IF(B130=0,H130/4+J141))))</f>
        <v>35</v>
      </c>
    </row>
    <row r="143" spans="1:10" ht="15.75" customHeight="1" x14ac:dyDescent="0.35">
      <c r="A143" s="122" t="s">
        <v>178</v>
      </c>
      <c r="B143" s="123"/>
      <c r="C143" s="124" t="str">
        <f>D65</f>
        <v>Tower G = St/Gr + 1st to 33rd Floor</v>
      </c>
      <c r="D143" s="125"/>
      <c r="E143" s="125"/>
      <c r="F143" s="125"/>
      <c r="G143" s="125"/>
      <c r="H143" s="126"/>
      <c r="I143" s="42" t="str">
        <f ca="1">(IF(E147&gt;99%,"All work completed. Please provide OC.",IF(E147&gt;89.8%,"Plinth, RCC, Brick, Plaster, Flooring, Painting work Completed. Finishing work is in process.",IF(E147&lt;94%,(IF(C147=0,"Work not yet Started.",IF(D147=25%,"Piling work in process",IF(D147=50%,"Excavation work in process",IF(D147=100%,"Excavation work Completed. ","0")))&amp;(IF(C148=0%,"",IF(C148=J149,"Footing work is process",IF(C148=J150,"Footing work Completed",IF(C148=J151,"1st Basement Completed",IF(C148=J152,"1st &amp; 2nd Basement Completed",IF(C148=J153,"1st to 3rd Basement Completed",IF(C148=J154,"1st to 4th Basement Completed",IF(C148=J155,"Plinth work is process",IF(C148=J156,"Plinth work completed","0")))))))))))&amp;(IF(C149=(D144+F144+H144),", RCC Slab",IF(C149&gt;0,", RCC upto "&amp;C149&amp;" Slab",""))&amp;(IF(C150=H144,", Brickwork",IF(C150&gt;0,", Brickwork upto "&amp;C150&amp;" Floor",""))&amp;(IF(C151=H144,", Internal Plaster",IF(C151&gt;0,", Internal Plaster upto "&amp;C151&amp;" Floor",""))&amp;(IF(C152=H144,", External Plaster",IF(C152&gt;0,", External Plaster upto "&amp;C152&amp;" Floor",""))&amp;(IF(C153=H144,", Flooring",IF(C153&gt;0,", Flooring upto "&amp;C153&amp;" Floor",""))&amp;(IF(C154=H144,", Painting",IF(C154&gt;0,", Painting upto "&amp;C154&amp;" Floor",""))&amp;(IF(C155&gt;0,", Finishing upto "&amp;C155&amp;" Floor","")&amp;(IF(C149&gt;0.5," Completed",""))))))))))))))</f>
        <v>Excavation work Completed. Plinth work completed, RCC upto 17 Slab, Brickwork upto 16 Floor, Internal Plaster upto 12 Floor, External Plaster upto 11.2 Floor Completed</v>
      </c>
      <c r="J143" s="20"/>
    </row>
    <row r="144" spans="1:10" x14ac:dyDescent="0.35">
      <c r="A144" s="58" t="s">
        <v>180</v>
      </c>
      <c r="B144" s="59">
        <v>0</v>
      </c>
      <c r="C144" s="59" t="s">
        <v>100</v>
      </c>
      <c r="D144" s="59">
        <v>1</v>
      </c>
      <c r="E144" s="59" t="s">
        <v>99</v>
      </c>
      <c r="F144" s="59">
        <v>0</v>
      </c>
      <c r="G144" s="59" t="s">
        <v>113</v>
      </c>
      <c r="H144" s="47">
        <f ca="1">--TRIM(RIGHT(SUBSTITUTE(LEFT(C143,_xlfn.AGGREGATE(16,6,FIND({0,1,2,3,4,5,6,7,8,9},C143,ROW(INDIRECT("1:"&amp;LEN(C143)))),1))," ",REPT(" ",LEN(C143))),LEN(C143)))</f>
        <v>33</v>
      </c>
      <c r="I144" s="18"/>
      <c r="J144" s="21"/>
    </row>
    <row r="145" spans="1:10" ht="32.5" customHeight="1" x14ac:dyDescent="0.35">
      <c r="A145" s="127" t="s">
        <v>123</v>
      </c>
      <c r="B145" s="128"/>
      <c r="C145" s="131" t="str">
        <f ca="1">I143</f>
        <v>Excavation work Completed. Plinth work completed, RCC upto 17 Slab, Brickwork upto 16 Floor, Internal Plaster upto 12 Floor, External Plaster upto 11.2 Floor Completed</v>
      </c>
      <c r="D145" s="131"/>
      <c r="E145" s="131"/>
      <c r="F145" s="131"/>
      <c r="G145" s="131"/>
      <c r="H145" s="132"/>
      <c r="I145" s="18" t="s">
        <v>140</v>
      </c>
      <c r="J145" s="21"/>
    </row>
    <row r="146" spans="1:10" ht="15.75" customHeight="1" x14ac:dyDescent="0.35">
      <c r="A146" s="133" t="s">
        <v>52</v>
      </c>
      <c r="B146" s="134"/>
      <c r="C146" s="52" t="s">
        <v>177</v>
      </c>
      <c r="D146" s="52" t="s">
        <v>116</v>
      </c>
      <c r="E146" s="134" t="s">
        <v>118</v>
      </c>
      <c r="F146" s="134"/>
      <c r="G146" s="134" t="s">
        <v>117</v>
      </c>
      <c r="H146" s="135"/>
      <c r="I146" s="37" t="s">
        <v>179</v>
      </c>
      <c r="J146" s="22">
        <f ca="1">H144*25%</f>
        <v>8.25</v>
      </c>
    </row>
    <row r="147" spans="1:10" x14ac:dyDescent="0.35">
      <c r="A147" s="133" t="s">
        <v>166</v>
      </c>
      <c r="B147" s="134"/>
      <c r="C147" s="53">
        <v>33</v>
      </c>
      <c r="D147" s="56">
        <f ca="1">((100/H144)*C147)/100</f>
        <v>1</v>
      </c>
      <c r="E147" s="136">
        <f ca="1">(((C148/H144*10)+(40/(D144+F144+H144)*C149)+(7.5/(H144)*C150)+(7.5/(H144)*C151)+(10/H144*C152)+(10/H144*C153)+(5/H144*C154)+(5/H144*C155)+(5/H144*C156))/100)</f>
        <v>0.39757575757575753</v>
      </c>
      <c r="F147" s="136"/>
      <c r="G147" s="136">
        <f ca="1">((((C147/H144)*20)+((C148/H144)*25)+(30/(H144+F144+D144)*C149)+(5/H144*C150)+(5/H144*C151)+(5/H144*C152)+(5/H144*C153)+(0/H144*C154)+(0/H144*C155)+(5/H144*C156))/100)</f>
        <v>0.65939393939393942</v>
      </c>
      <c r="H147" s="138"/>
      <c r="I147" s="37" t="s">
        <v>135</v>
      </c>
      <c r="J147" s="41">
        <f ca="1">H144*50%</f>
        <v>16.5</v>
      </c>
    </row>
    <row r="148" spans="1:10" x14ac:dyDescent="0.35">
      <c r="A148" s="133" t="s">
        <v>53</v>
      </c>
      <c r="B148" s="134"/>
      <c r="C148" s="54">
        <f ca="1">J156</f>
        <v>33</v>
      </c>
      <c r="D148" s="56">
        <f ca="1">((100/H144)*C148)/100</f>
        <v>1</v>
      </c>
      <c r="E148" s="136"/>
      <c r="F148" s="136"/>
      <c r="G148" s="136"/>
      <c r="H148" s="138"/>
      <c r="I148" s="37" t="s">
        <v>136</v>
      </c>
      <c r="J148" s="41">
        <f ca="1">H144</f>
        <v>33</v>
      </c>
    </row>
    <row r="149" spans="1:10" ht="15.75" customHeight="1" x14ac:dyDescent="0.35">
      <c r="A149" s="140" t="s">
        <v>167</v>
      </c>
      <c r="B149" s="141"/>
      <c r="C149" s="54">
        <v>17</v>
      </c>
      <c r="D149" s="56">
        <f ca="1">((100/(D144+F144+H144))*C149)/100</f>
        <v>0.5</v>
      </c>
      <c r="E149" s="136"/>
      <c r="F149" s="136"/>
      <c r="G149" s="136"/>
      <c r="H149" s="138"/>
      <c r="I149" s="37" t="s">
        <v>137</v>
      </c>
      <c r="J149" s="44">
        <f ca="1">(IF(B144&gt;1,(H144/(B144+2)),H144/4))</f>
        <v>8.25</v>
      </c>
    </row>
    <row r="150" spans="1:10" ht="15.75" customHeight="1" x14ac:dyDescent="0.35">
      <c r="A150" s="133" t="s">
        <v>174</v>
      </c>
      <c r="B150" s="134" t="s">
        <v>168</v>
      </c>
      <c r="C150" s="54">
        <f>C149-1</f>
        <v>16</v>
      </c>
      <c r="D150" s="56">
        <f ca="1">((100/H144)*C150)/100</f>
        <v>0.48484848484848486</v>
      </c>
      <c r="E150" s="136"/>
      <c r="F150" s="136"/>
      <c r="G150" s="136"/>
      <c r="H150" s="138"/>
      <c r="I150" s="37" t="s">
        <v>138</v>
      </c>
      <c r="J150" s="44">
        <f ca="1">(IF(B144&gt;1,(H144/(B144+2)+J149),H144/4+J149))</f>
        <v>16.5</v>
      </c>
    </row>
    <row r="151" spans="1:10" ht="15.75" customHeight="1" x14ac:dyDescent="0.35">
      <c r="A151" s="133" t="s">
        <v>175</v>
      </c>
      <c r="B151" s="134" t="s">
        <v>168</v>
      </c>
      <c r="C151" s="54">
        <f>C150*0.75</f>
        <v>12</v>
      </c>
      <c r="D151" s="56">
        <f ca="1">((100/H144)*C151)/100</f>
        <v>0.36363636363636359</v>
      </c>
      <c r="E151" s="136"/>
      <c r="F151" s="136"/>
      <c r="G151" s="136"/>
      <c r="H151" s="138"/>
      <c r="I151" s="37" t="s">
        <v>184</v>
      </c>
      <c r="J151" s="44">
        <f>(IF(B144&gt;1,(H144/(B144+2)+J150),0))</f>
        <v>0</v>
      </c>
    </row>
    <row r="152" spans="1:10" ht="15" customHeight="1" x14ac:dyDescent="0.35">
      <c r="A152" s="133" t="s">
        <v>173</v>
      </c>
      <c r="B152" s="134" t="s">
        <v>170</v>
      </c>
      <c r="C152" s="54">
        <f>C150*0.7</f>
        <v>11.2</v>
      </c>
      <c r="D152" s="56">
        <f ca="1">((100/(H144))*C152)/100</f>
        <v>0.33939393939393936</v>
      </c>
      <c r="E152" s="136"/>
      <c r="F152" s="136"/>
      <c r="G152" s="136"/>
      <c r="H152" s="138"/>
      <c r="I152" s="37" t="s">
        <v>181</v>
      </c>
      <c r="J152" s="44">
        <f>(IF(B144&gt;2,(H144/(B144+2)+J151),0))</f>
        <v>0</v>
      </c>
    </row>
    <row r="153" spans="1:10" ht="15.75" customHeight="1" x14ac:dyDescent="0.35">
      <c r="A153" s="133" t="s">
        <v>169</v>
      </c>
      <c r="B153" s="134" t="s">
        <v>169</v>
      </c>
      <c r="C153" s="53">
        <v>0</v>
      </c>
      <c r="D153" s="56">
        <f ca="1">((100/H144)*C153)/100</f>
        <v>0</v>
      </c>
      <c r="E153" s="136"/>
      <c r="F153" s="136"/>
      <c r="G153" s="136"/>
      <c r="H153" s="138"/>
      <c r="I153" s="37" t="s">
        <v>182</v>
      </c>
      <c r="J153" s="45">
        <f>(IF(B144&gt;3,(H144/(B144+2)+J152),0))</f>
        <v>0</v>
      </c>
    </row>
    <row r="154" spans="1:10" ht="15.75" customHeight="1" x14ac:dyDescent="0.35">
      <c r="A154" s="133" t="s">
        <v>176</v>
      </c>
      <c r="B154" s="134"/>
      <c r="C154" s="53">
        <v>0</v>
      </c>
      <c r="D154" s="56">
        <f ca="1">((100/H144)*C154)/100</f>
        <v>0</v>
      </c>
      <c r="E154" s="136"/>
      <c r="F154" s="136"/>
      <c r="G154" s="136"/>
      <c r="H154" s="138"/>
      <c r="I154" s="37" t="s">
        <v>183</v>
      </c>
      <c r="J154" s="44">
        <f>(IF(B144&gt;4,(H144/(B144+2)+J153),0))</f>
        <v>0</v>
      </c>
    </row>
    <row r="155" spans="1:10" ht="15.75" customHeight="1" x14ac:dyDescent="0.35">
      <c r="A155" s="133" t="s">
        <v>171</v>
      </c>
      <c r="B155" s="134" t="s">
        <v>171</v>
      </c>
      <c r="C155" s="53">
        <v>0</v>
      </c>
      <c r="D155" s="56">
        <f ca="1">((100/(H144))*C155)/100</f>
        <v>0</v>
      </c>
      <c r="E155" s="136"/>
      <c r="F155" s="136"/>
      <c r="G155" s="136"/>
      <c r="H155" s="138"/>
      <c r="I155" s="37" t="s">
        <v>185</v>
      </c>
      <c r="J155" s="44">
        <f ca="1">(IF(B144=1,(H144/(B144+3)+J150),IF(B144=0,(H144/4+J150),IF(B144&gt;1,0))))</f>
        <v>24.75</v>
      </c>
    </row>
    <row r="156" spans="1:10" ht="16" thickBot="1" x14ac:dyDescent="0.4">
      <c r="A156" s="142" t="s">
        <v>172</v>
      </c>
      <c r="B156" s="143"/>
      <c r="C156" s="55">
        <v>0</v>
      </c>
      <c r="D156" s="57">
        <f ca="1">((100/(H144))*C156)/100</f>
        <v>0</v>
      </c>
      <c r="E156" s="137"/>
      <c r="F156" s="137"/>
      <c r="G156" s="137"/>
      <c r="H156" s="139"/>
      <c r="I156" s="43" t="s">
        <v>139</v>
      </c>
      <c r="J156" s="46">
        <f ca="1">(IF(B144&gt;1.5,(H144/(B144+2)+J150+MAX(0,J151-J150)+MAX(0,J152-J151)+MAX(0,J153-J152)+MAX(0,J154-J153)+MAX(0,J155-J154)),IF(B144=1,(H144/(B144+3)+J155),IF(B144=0,H144/4+J155))))</f>
        <v>33</v>
      </c>
    </row>
    <row r="157" spans="1:10" ht="15.75" customHeight="1" x14ac:dyDescent="0.35">
      <c r="A157" s="122" t="s">
        <v>178</v>
      </c>
      <c r="B157" s="123"/>
      <c r="C157" s="124" t="str">
        <f>D66</f>
        <v>Tower H = St/Gr + 1st to 24th Floor</v>
      </c>
      <c r="D157" s="125"/>
      <c r="E157" s="125"/>
      <c r="F157" s="125"/>
      <c r="G157" s="125"/>
      <c r="H157" s="126"/>
      <c r="I157" s="42" t="str">
        <f ca="1">(IF(E161&gt;99%,"All work completed. Please provide OC.",IF(E161&gt;89.8%,"Plinth, RCC, Brick, Plaster, Flooring, Painting work Completed. Finishing work is in process.",IF(E161&lt;94%,(IF(C161=0,"Work not yet Started.",IF(D161=25%,"Piling work in process",IF(D161=50%,"Excavation work in process",IF(D161=100%,"Excavation work Completed. ","0")))&amp;(IF(C162=0%,"",IF(C162=J163,"Footing work is process",IF(C162=J164,"Footing work Completed",IF(C162=J165,"1st Basement Completed",IF(C162=J166,"1st &amp; 2nd Basement Completed",IF(C162=J167,"1st to 3rd Basement Completed",IF(C162=J168,"1st to 4th Basement Completed",IF(C162=J169,"Plinth work is process",IF(C162=J170,"Plinth work completed","0")))))))))))&amp;(IF(C163=(D158+F158+H158),", RCC Slab",IF(C163&gt;0,", RCC upto "&amp;C163&amp;" Slab",""))&amp;(IF(C164=H158,", Brickwork",IF(C164&gt;0,", Brickwork upto "&amp;C164&amp;" Floor",""))&amp;(IF(C165=H158,", Internal Plaster",IF(C165&gt;0,", Internal Plaster upto "&amp;C165&amp;" Floor",""))&amp;(IF(C166=H158,", External Plaster",IF(C166&gt;0,", External Plaster upto "&amp;C166&amp;" Floor",""))&amp;(IF(C167=H158,", Flooring",IF(C167&gt;0,", Flooring upto "&amp;C167&amp;" Floor",""))&amp;(IF(C168=H158,", Painting",IF(C168&gt;0,", Painting upto "&amp;C168&amp;" Floor",""))&amp;(IF(C169&gt;0,", Finishing upto "&amp;C169&amp;" Floor","")&amp;(IF(C163&gt;0.5," Completed",""))))))))))))))</f>
        <v>Excavation work Completed. Plinth work completed, RCC Slab, Brickwork, Internal Plaster, External Plaster, Flooring upto 22 Floor, Painting upto 22 Floor, Finishing upto 5 Floor Completed</v>
      </c>
      <c r="J157" s="20"/>
    </row>
    <row r="158" spans="1:10" x14ac:dyDescent="0.35">
      <c r="A158" s="58" t="s">
        <v>180</v>
      </c>
      <c r="B158" s="59">
        <v>0</v>
      </c>
      <c r="C158" s="59" t="s">
        <v>100</v>
      </c>
      <c r="D158" s="59">
        <v>1</v>
      </c>
      <c r="E158" s="59" t="s">
        <v>99</v>
      </c>
      <c r="F158" s="59">
        <v>0</v>
      </c>
      <c r="G158" s="59" t="s">
        <v>113</v>
      </c>
      <c r="H158" s="47">
        <f ca="1">--TRIM(RIGHT(SUBSTITUTE(LEFT(C157,_xlfn.AGGREGATE(16,6,FIND({0,1,2,3,4,5,6,7,8,9},C157,ROW(INDIRECT("1:"&amp;LEN(C157)))),1))," ",REPT(" ",LEN(C157))),LEN(C157)))</f>
        <v>24</v>
      </c>
      <c r="I158" s="18"/>
      <c r="J158" s="21"/>
    </row>
    <row r="159" spans="1:10" ht="49" customHeight="1" x14ac:dyDescent="0.35">
      <c r="A159" s="128" t="s">
        <v>123</v>
      </c>
      <c r="B159" s="128"/>
      <c r="C159" s="131" t="str">
        <f ca="1">I157</f>
        <v>Excavation work Completed. Plinth work completed, RCC Slab, Brickwork, Internal Plaster, External Plaster, Flooring upto 22 Floor, Painting upto 22 Floor, Finishing upto 5 Floor Completed</v>
      </c>
      <c r="D159" s="131"/>
      <c r="E159" s="131"/>
      <c r="F159" s="131"/>
      <c r="G159" s="131"/>
      <c r="H159" s="131"/>
      <c r="I159" s="18" t="s">
        <v>140</v>
      </c>
      <c r="J159" s="21"/>
    </row>
    <row r="160" spans="1:10" ht="15.75" customHeight="1" x14ac:dyDescent="0.35">
      <c r="A160" s="134" t="s">
        <v>52</v>
      </c>
      <c r="B160" s="134"/>
      <c r="C160" s="70" t="s">
        <v>177</v>
      </c>
      <c r="D160" s="70" t="s">
        <v>116</v>
      </c>
      <c r="E160" s="134" t="s">
        <v>118</v>
      </c>
      <c r="F160" s="134"/>
      <c r="G160" s="134" t="s">
        <v>117</v>
      </c>
      <c r="H160" s="134"/>
      <c r="I160" s="37" t="s">
        <v>179</v>
      </c>
      <c r="J160" s="22">
        <f ca="1">H158*25%</f>
        <v>6</v>
      </c>
    </row>
    <row r="161" spans="1:10" x14ac:dyDescent="0.35">
      <c r="A161" s="134" t="s">
        <v>166</v>
      </c>
      <c r="B161" s="134"/>
      <c r="C161" s="53">
        <f ca="1">J162</f>
        <v>24</v>
      </c>
      <c r="D161" s="71">
        <f ca="1">((100/H158)*C161)/100</f>
        <v>1</v>
      </c>
      <c r="E161" s="136">
        <f ca="1">(((C162/H158*10)+(40/(D158+F158+H158)*C163)+(7.5/(H158)*C164)+(7.5/(H158)*C165)+(10/H158*C166)+(10/H158*C167)+(5/H158*C168)+(5/H158*C169)+(5/H158*C170))/100)</f>
        <v>0.8979166666666667</v>
      </c>
      <c r="F161" s="136"/>
      <c r="G161" s="136">
        <f ca="1">((((C161/H158)*20)+((C162/H158)*25)+(30/(H158+F158+D158)*C163)+(5/H158*C164)+(5/H158*C165)+(5/H158*C166)+(5/H158*C167)+(0/H158*C168)+(0/H158*C169)+(5/H158*C170))/100)</f>
        <v>0.9458333333333333</v>
      </c>
      <c r="H161" s="136"/>
      <c r="I161" s="37" t="s">
        <v>135</v>
      </c>
      <c r="J161" s="41">
        <f ca="1">H158*50%</f>
        <v>12</v>
      </c>
    </row>
    <row r="162" spans="1:10" x14ac:dyDescent="0.35">
      <c r="A162" s="134" t="s">
        <v>53</v>
      </c>
      <c r="B162" s="134"/>
      <c r="C162" s="54">
        <f ca="1">J170</f>
        <v>24</v>
      </c>
      <c r="D162" s="71">
        <f ca="1">((100/H158)*C162)/100</f>
        <v>1</v>
      </c>
      <c r="E162" s="136"/>
      <c r="F162" s="136"/>
      <c r="G162" s="136"/>
      <c r="H162" s="136"/>
      <c r="I162" s="37" t="s">
        <v>136</v>
      </c>
      <c r="J162" s="41">
        <f ca="1">H158</f>
        <v>24</v>
      </c>
    </row>
    <row r="163" spans="1:10" ht="15.75" customHeight="1" x14ac:dyDescent="0.35">
      <c r="A163" s="141" t="s">
        <v>167</v>
      </c>
      <c r="B163" s="141"/>
      <c r="C163" s="54">
        <v>25</v>
      </c>
      <c r="D163" s="71">
        <f ca="1">((100/(D158+F158+H158))*C163)/100</f>
        <v>1</v>
      </c>
      <c r="E163" s="136"/>
      <c r="F163" s="136"/>
      <c r="G163" s="136"/>
      <c r="H163" s="136"/>
      <c r="I163" s="37" t="s">
        <v>137</v>
      </c>
      <c r="J163" s="44">
        <f ca="1">(IF(B158&gt;1,(H158/(B158+2)),H158/4))</f>
        <v>6</v>
      </c>
    </row>
    <row r="164" spans="1:10" ht="15.75" customHeight="1" x14ac:dyDescent="0.35">
      <c r="A164" s="134" t="s">
        <v>174</v>
      </c>
      <c r="B164" s="134" t="s">
        <v>168</v>
      </c>
      <c r="C164" s="54">
        <v>24</v>
      </c>
      <c r="D164" s="71">
        <f ca="1">((100/H158)*C164)/100</f>
        <v>1</v>
      </c>
      <c r="E164" s="136"/>
      <c r="F164" s="136"/>
      <c r="G164" s="136"/>
      <c r="H164" s="136"/>
      <c r="I164" s="37" t="s">
        <v>138</v>
      </c>
      <c r="J164" s="44">
        <f ca="1">(IF(B158&gt;1,(H158/(B158+2)+J163),H158/4+J163))</f>
        <v>12</v>
      </c>
    </row>
    <row r="165" spans="1:10" ht="15.75" customHeight="1" x14ac:dyDescent="0.35">
      <c r="A165" s="134" t="s">
        <v>175</v>
      </c>
      <c r="B165" s="134" t="s">
        <v>168</v>
      </c>
      <c r="C165" s="54">
        <v>24</v>
      </c>
      <c r="D165" s="71">
        <f ca="1">((100/H158)*C165)/100</f>
        <v>1</v>
      </c>
      <c r="E165" s="136"/>
      <c r="F165" s="136"/>
      <c r="G165" s="136"/>
      <c r="H165" s="136"/>
      <c r="I165" s="37" t="s">
        <v>184</v>
      </c>
      <c r="J165" s="44">
        <f>(IF(B158&gt;1,(H158/(B158+2)+J164),0))</f>
        <v>0</v>
      </c>
    </row>
    <row r="166" spans="1:10" ht="15" customHeight="1" x14ac:dyDescent="0.35">
      <c r="A166" s="134" t="s">
        <v>173</v>
      </c>
      <c r="B166" s="134" t="s">
        <v>170</v>
      </c>
      <c r="C166" s="54">
        <v>24</v>
      </c>
      <c r="D166" s="71">
        <f ca="1">((100/(H158))*C166)/100</f>
        <v>1</v>
      </c>
      <c r="E166" s="136"/>
      <c r="F166" s="136"/>
      <c r="G166" s="136"/>
      <c r="H166" s="136"/>
      <c r="I166" s="37" t="s">
        <v>181</v>
      </c>
      <c r="J166" s="44">
        <f>(IF(B158&gt;2,(H158/(B158+2)+J165),0))</f>
        <v>0</v>
      </c>
    </row>
    <row r="167" spans="1:10" ht="15.75" customHeight="1" x14ac:dyDescent="0.35">
      <c r="A167" s="134" t="s">
        <v>169</v>
      </c>
      <c r="B167" s="134" t="s">
        <v>169</v>
      </c>
      <c r="C167" s="54">
        <v>22</v>
      </c>
      <c r="D167" s="71">
        <f ca="1">((100/H158)*C167)/100</f>
        <v>0.91666666666666674</v>
      </c>
      <c r="E167" s="136"/>
      <c r="F167" s="136"/>
      <c r="G167" s="136"/>
      <c r="H167" s="136"/>
      <c r="I167" s="37" t="s">
        <v>182</v>
      </c>
      <c r="J167" s="45">
        <f>(IF(B158&gt;3,(H158/(B158+2)+J166),0))</f>
        <v>0</v>
      </c>
    </row>
    <row r="168" spans="1:10" ht="15.75" customHeight="1" x14ac:dyDescent="0.35">
      <c r="A168" s="134" t="s">
        <v>176</v>
      </c>
      <c r="B168" s="134"/>
      <c r="C168" s="54">
        <v>22</v>
      </c>
      <c r="D168" s="71">
        <f ca="1">((100/H158)*C168)/100</f>
        <v>0.91666666666666674</v>
      </c>
      <c r="E168" s="136"/>
      <c r="F168" s="136"/>
      <c r="G168" s="136"/>
      <c r="H168" s="136"/>
      <c r="I168" s="37" t="s">
        <v>183</v>
      </c>
      <c r="J168" s="44">
        <f>(IF(B158&gt;4,(H158/(B158+2)+J167),0))</f>
        <v>0</v>
      </c>
    </row>
    <row r="169" spans="1:10" ht="15.75" customHeight="1" x14ac:dyDescent="0.35">
      <c r="A169" s="134" t="s">
        <v>171</v>
      </c>
      <c r="B169" s="134" t="s">
        <v>171</v>
      </c>
      <c r="C169" s="53">
        <v>5</v>
      </c>
      <c r="D169" s="71">
        <f ca="1">((100/(H158))*C169)/100</f>
        <v>0.20833333333333337</v>
      </c>
      <c r="E169" s="136"/>
      <c r="F169" s="136"/>
      <c r="G169" s="136"/>
      <c r="H169" s="136"/>
      <c r="I169" s="37" t="s">
        <v>185</v>
      </c>
      <c r="J169" s="44">
        <f ca="1">(IF(B158=1,(H158/(B158+3)+J164),IF(B158=0,(H158/4+J164),IF(B158&gt;1,0))))</f>
        <v>18</v>
      </c>
    </row>
    <row r="170" spans="1:10" ht="16" thickBot="1" x14ac:dyDescent="0.4">
      <c r="A170" s="134" t="s">
        <v>172</v>
      </c>
      <c r="B170" s="134"/>
      <c r="C170" s="53">
        <v>0</v>
      </c>
      <c r="D170" s="71">
        <f ca="1">((100/(H158))*C170)/100</f>
        <v>0</v>
      </c>
      <c r="E170" s="136"/>
      <c r="F170" s="136"/>
      <c r="G170" s="136"/>
      <c r="H170" s="136"/>
      <c r="I170" s="43" t="s">
        <v>139</v>
      </c>
      <c r="J170" s="46">
        <f ca="1">(IF(B158&gt;1.5,(H158/(B158+2)+J164+MAX(0,J165-J164)+MAX(0,J166-J165)+MAX(0,J167-J166)+MAX(0,J168-J167)+MAX(0,J169-J168)),IF(B158=1,(H158/(B158+3)+J169),IF(B158=0,H158/4+J169))))</f>
        <v>24</v>
      </c>
    </row>
    <row r="171" spans="1:10" x14ac:dyDescent="0.35">
      <c r="A171" s="118" t="s">
        <v>153</v>
      </c>
      <c r="B171" s="118"/>
      <c r="C171" s="118"/>
      <c r="D171" s="118"/>
      <c r="E171" s="118"/>
      <c r="F171" s="118" t="str">
        <f ca="1">(IF(D70="Nothing","Yes",IF(D70="Cement, Aggregate, Steel, etc","Under Construction",IF(D70="Work not yet Started","Work not yet Started"))))</f>
        <v>Yes</v>
      </c>
      <c r="G171" s="118"/>
      <c r="H171" s="118"/>
    </row>
    <row r="172" spans="1:10" x14ac:dyDescent="0.35">
      <c r="A172" s="145" t="s">
        <v>54</v>
      </c>
      <c r="B172" s="145"/>
      <c r="C172" s="145"/>
      <c r="D172" s="145"/>
      <c r="E172" s="145"/>
      <c r="F172" s="145"/>
      <c r="G172" s="145"/>
      <c r="H172" s="145"/>
    </row>
    <row r="173" spans="1:10" ht="15" customHeight="1" x14ac:dyDescent="0.35">
      <c r="A173" s="128" t="s">
        <v>102</v>
      </c>
      <c r="B173" s="128"/>
      <c r="C173" s="131" t="s">
        <v>103</v>
      </c>
      <c r="D173" s="131"/>
      <c r="E173" s="131"/>
      <c r="F173" s="131"/>
      <c r="G173" s="131"/>
      <c r="H173" s="131"/>
    </row>
    <row r="174" spans="1:10" x14ac:dyDescent="0.35">
      <c r="A174" s="158" t="s">
        <v>55</v>
      </c>
      <c r="B174" s="158"/>
      <c r="C174" s="158"/>
      <c r="D174" s="158"/>
      <c r="E174" s="158"/>
      <c r="F174" s="158"/>
      <c r="G174" s="158"/>
      <c r="H174" s="158"/>
    </row>
    <row r="175" spans="1:10" x14ac:dyDescent="0.35">
      <c r="A175" s="145" t="s">
        <v>104</v>
      </c>
      <c r="B175" s="145"/>
      <c r="C175" s="145"/>
      <c r="D175" s="145"/>
      <c r="E175" s="145"/>
      <c r="F175" s="216">
        <v>8250</v>
      </c>
      <c r="G175" s="216"/>
      <c r="H175" s="216"/>
    </row>
    <row r="176" spans="1:10" x14ac:dyDescent="0.35">
      <c r="A176" s="145" t="s">
        <v>111</v>
      </c>
      <c r="B176" s="145"/>
      <c r="C176" s="145"/>
      <c r="D176" s="145"/>
      <c r="E176" s="145"/>
      <c r="F176" s="157">
        <v>18000</v>
      </c>
      <c r="G176" s="157"/>
      <c r="H176" s="157"/>
    </row>
    <row r="177" spans="1:8" x14ac:dyDescent="0.35">
      <c r="A177" s="145" t="s">
        <v>112</v>
      </c>
      <c r="B177" s="145"/>
      <c r="C177" s="145"/>
      <c r="D177" s="145"/>
      <c r="E177" s="145"/>
      <c r="F177" s="157">
        <v>13000</v>
      </c>
      <c r="G177" s="157"/>
      <c r="H177" s="157"/>
    </row>
    <row r="178" spans="1:8" s="12" customFormat="1" x14ac:dyDescent="0.3">
      <c r="A178" s="145" t="s">
        <v>222</v>
      </c>
      <c r="B178" s="145"/>
      <c r="C178" s="145"/>
      <c r="D178" s="145"/>
      <c r="E178" s="145"/>
      <c r="F178" s="157">
        <v>21</v>
      </c>
      <c r="G178" s="157"/>
      <c r="H178" s="157"/>
    </row>
    <row r="179" spans="1:8" s="12" customFormat="1" x14ac:dyDescent="0.3">
      <c r="A179" s="145" t="s">
        <v>128</v>
      </c>
      <c r="B179" s="145"/>
      <c r="C179" s="145"/>
      <c r="D179" s="145"/>
      <c r="E179" s="145"/>
      <c r="F179" s="157">
        <v>350000</v>
      </c>
      <c r="G179" s="157"/>
      <c r="H179" s="157"/>
    </row>
    <row r="180" spans="1:8" s="12" customFormat="1" x14ac:dyDescent="0.3">
      <c r="A180" s="145" t="s">
        <v>129</v>
      </c>
      <c r="B180" s="145"/>
      <c r="C180" s="145"/>
      <c r="D180" s="145"/>
      <c r="E180" s="145"/>
      <c r="F180" s="157">
        <v>250000</v>
      </c>
      <c r="G180" s="157"/>
      <c r="H180" s="157"/>
    </row>
    <row r="181" spans="1:8" s="12" customFormat="1" hidden="1" x14ac:dyDescent="0.3">
      <c r="A181" s="145" t="s">
        <v>130</v>
      </c>
      <c r="B181" s="145"/>
      <c r="C181" s="145"/>
      <c r="D181" s="145"/>
      <c r="E181" s="145"/>
      <c r="F181" s="157" t="s">
        <v>30</v>
      </c>
      <c r="G181" s="157"/>
      <c r="H181" s="157"/>
    </row>
    <row r="182" spans="1:8" s="12" customFormat="1" hidden="1" x14ac:dyDescent="0.3">
      <c r="A182" s="145" t="s">
        <v>131</v>
      </c>
      <c r="B182" s="145"/>
      <c r="C182" s="145"/>
      <c r="D182" s="145"/>
      <c r="E182" s="145"/>
      <c r="F182" s="157" t="s">
        <v>30</v>
      </c>
      <c r="G182" s="157"/>
      <c r="H182" s="157"/>
    </row>
    <row r="183" spans="1:8" s="12" customFormat="1" hidden="1" x14ac:dyDescent="0.3">
      <c r="A183" s="145" t="s">
        <v>132</v>
      </c>
      <c r="B183" s="145"/>
      <c r="C183" s="145"/>
      <c r="D183" s="145"/>
      <c r="E183" s="145"/>
      <c r="F183" s="157" t="s">
        <v>30</v>
      </c>
      <c r="G183" s="157"/>
      <c r="H183" s="157"/>
    </row>
    <row r="184" spans="1:8" s="12" customFormat="1" hidden="1" x14ac:dyDescent="0.3">
      <c r="A184" s="145" t="s">
        <v>133</v>
      </c>
      <c r="B184" s="145"/>
      <c r="C184" s="145"/>
      <c r="D184" s="145"/>
      <c r="E184" s="145"/>
      <c r="F184" s="157" t="s">
        <v>30</v>
      </c>
      <c r="G184" s="157"/>
      <c r="H184" s="157"/>
    </row>
    <row r="185" spans="1:8" s="12" customFormat="1" hidden="1" x14ac:dyDescent="0.3">
      <c r="A185" s="145" t="s">
        <v>134</v>
      </c>
      <c r="B185" s="145"/>
      <c r="C185" s="145"/>
      <c r="D185" s="145"/>
      <c r="E185" s="145"/>
      <c r="F185" s="157" t="s">
        <v>30</v>
      </c>
      <c r="G185" s="157"/>
      <c r="H185" s="157"/>
    </row>
    <row r="186" spans="1:8" x14ac:dyDescent="0.35">
      <c r="A186" s="145" t="s">
        <v>56</v>
      </c>
      <c r="B186" s="145"/>
      <c r="C186" s="145"/>
      <c r="D186" s="145"/>
      <c r="E186" s="145"/>
      <c r="F186" s="157">
        <v>600000</v>
      </c>
      <c r="G186" s="157"/>
      <c r="H186" s="157"/>
    </row>
    <row r="187" spans="1:8" s="9" customFormat="1" x14ac:dyDescent="0.35">
      <c r="A187" s="158" t="s">
        <v>57</v>
      </c>
      <c r="B187" s="158"/>
      <c r="C187" s="158"/>
      <c r="D187" s="158"/>
      <c r="E187" s="158"/>
      <c r="F187" s="157">
        <f>F175*0.8</f>
        <v>6600</v>
      </c>
      <c r="G187" s="157"/>
      <c r="H187" s="157"/>
    </row>
    <row r="188" spans="1:8" s="1" customFormat="1" ht="15.75" customHeight="1" x14ac:dyDescent="0.35">
      <c r="A188" s="172" t="s">
        <v>105</v>
      </c>
      <c r="B188" s="172"/>
      <c r="C188" s="172"/>
      <c r="D188" s="172"/>
      <c r="E188" s="172"/>
      <c r="F188" s="172"/>
      <c r="G188" s="172"/>
      <c r="H188" s="172"/>
    </row>
    <row r="189" spans="1:8" s="1" customFormat="1" ht="15.75" customHeight="1" x14ac:dyDescent="0.35">
      <c r="A189" s="156" t="s">
        <v>274</v>
      </c>
      <c r="B189" s="156"/>
      <c r="C189" s="162" t="s">
        <v>108</v>
      </c>
      <c r="D189" s="162"/>
      <c r="E189" s="159" t="s">
        <v>58</v>
      </c>
      <c r="F189" s="159"/>
      <c r="G189" s="156" t="s">
        <v>59</v>
      </c>
      <c r="H189" s="156"/>
    </row>
    <row r="190" spans="1:8" s="1" customFormat="1" x14ac:dyDescent="0.35">
      <c r="A190" s="97" t="s">
        <v>210</v>
      </c>
      <c r="B190" s="97"/>
      <c r="C190" s="98">
        <f>COUNT(D213:D235)</f>
        <v>23</v>
      </c>
      <c r="D190" s="99"/>
      <c r="E190" s="100">
        <f>SUM(D213:D235)</f>
        <v>12698.398439999997</v>
      </c>
      <c r="F190" s="101"/>
      <c r="G190" s="100">
        <f>SUM(F213:F235)</f>
        <v>20317.437504000001</v>
      </c>
      <c r="H190" s="101"/>
    </row>
    <row r="191" spans="1:8" s="1" customFormat="1" x14ac:dyDescent="0.35">
      <c r="A191" s="97" t="s">
        <v>275</v>
      </c>
      <c r="B191" s="97"/>
      <c r="C191" s="98">
        <f>COUNT(D263:D288,D290,D292:D330)</f>
        <v>66</v>
      </c>
      <c r="D191" s="99"/>
      <c r="E191" s="100">
        <f>SUM(D263:D288,D290,D292:D330)</f>
        <v>40217.898099599966</v>
      </c>
      <c r="F191" s="101"/>
      <c r="G191" s="100">
        <f>SUM(F263:F288,F290,F292:F330)</f>
        <v>64348.636959359981</v>
      </c>
      <c r="H191" s="101"/>
    </row>
    <row r="192" spans="1:8" s="1" customFormat="1" x14ac:dyDescent="0.35">
      <c r="A192" s="97" t="s">
        <v>276</v>
      </c>
      <c r="B192" s="97"/>
      <c r="C192" s="98">
        <f>COUNT(D334:D339,D341:D348,D350:D365)</f>
        <v>30</v>
      </c>
      <c r="D192" s="99"/>
      <c r="E192" s="100">
        <f>SUM(D334:D339,D341:D348,D350:D365)</f>
        <v>35015.595544799995</v>
      </c>
      <c r="F192" s="101"/>
      <c r="G192" s="100">
        <f>SUM(F334:F339,F341:F348,F350:F365)</f>
        <v>56024.952871680005</v>
      </c>
      <c r="H192" s="101"/>
    </row>
    <row r="193" spans="1:10" s="1" customFormat="1" x14ac:dyDescent="0.35">
      <c r="A193" s="110" t="s">
        <v>61</v>
      </c>
      <c r="B193" s="111"/>
      <c r="C193" s="112">
        <f>SUM(C190:D192)</f>
        <v>119</v>
      </c>
      <c r="D193" s="113"/>
      <c r="E193" s="114">
        <f>SUM(E190:F192)</f>
        <v>87931.892084399966</v>
      </c>
      <c r="F193" s="115"/>
      <c r="G193" s="116">
        <f>SUM(G190:H192)</f>
        <v>140691.02733503998</v>
      </c>
      <c r="H193" s="117"/>
    </row>
    <row r="194" spans="1:10" s="1" customFormat="1" x14ac:dyDescent="0.35">
      <c r="A194" s="97" t="s">
        <v>219</v>
      </c>
      <c r="B194" s="97"/>
      <c r="C194" s="98">
        <f>COUNT(D237:D259)</f>
        <v>23</v>
      </c>
      <c r="D194" s="99"/>
      <c r="E194" s="100">
        <f>SUM(D237:D259)</f>
        <v>9745.0797600000005</v>
      </c>
      <c r="F194" s="101"/>
      <c r="G194" s="100">
        <f>SUM(F237:F259)</f>
        <v>15592.127616000005</v>
      </c>
      <c r="H194" s="101"/>
      <c r="J194" s="61"/>
    </row>
    <row r="195" spans="1:10" s="1" customFormat="1" x14ac:dyDescent="0.35">
      <c r="A195" s="172" t="s">
        <v>98</v>
      </c>
      <c r="B195" s="172"/>
      <c r="C195" s="172"/>
      <c r="D195" s="172"/>
      <c r="E195" s="172"/>
      <c r="F195" s="172"/>
      <c r="G195" s="172"/>
      <c r="H195" s="172"/>
    </row>
    <row r="196" spans="1:10" s="1" customFormat="1" ht="15.75" customHeight="1" x14ac:dyDescent="0.35">
      <c r="A196" s="156" t="s">
        <v>274</v>
      </c>
      <c r="B196" s="156"/>
      <c r="C196" s="162" t="s">
        <v>108</v>
      </c>
      <c r="D196" s="162"/>
      <c r="E196" s="159" t="s">
        <v>58</v>
      </c>
      <c r="F196" s="159"/>
      <c r="G196" s="156" t="s">
        <v>59</v>
      </c>
      <c r="H196" s="156"/>
    </row>
    <row r="197" spans="1:10" s="1" customFormat="1" x14ac:dyDescent="0.35">
      <c r="A197" s="97" t="s">
        <v>277</v>
      </c>
      <c r="B197" s="97"/>
      <c r="C197" s="98">
        <f>COUNT(D373:D377)+COUNT(D379:D380)+COUNT(D382:D389)*18+COUNT(D391)*4+COUNT(D393:D398)*4</f>
        <v>179</v>
      </c>
      <c r="D197" s="98"/>
      <c r="E197" s="100">
        <f>SUM(D373:D377)+SUM(D379:D380)+SUM(D382:D389)*18+SUM(D391)*4+SUM(D393:D398)*4</f>
        <v>98207.286137999996</v>
      </c>
      <c r="F197" s="100"/>
      <c r="G197" s="100">
        <f>SUM(F373:F377)+SUM(F379:F380)+SUM(F382:F389)*18+SUM(F391)*4+SUM(F393:F398)*4</f>
        <v>147682.67560799996</v>
      </c>
      <c r="H197" s="100"/>
    </row>
    <row r="198" spans="1:10" s="1" customFormat="1" x14ac:dyDescent="0.35">
      <c r="A198" s="97" t="s">
        <v>278</v>
      </c>
      <c r="B198" s="97"/>
      <c r="C198" s="98">
        <f>COUNT(D401:D405)+COUNT(D407:D408)+COUNT(D410:D417)*18+COUNT(D419)*4+COUNT(D421:D426)*4</f>
        <v>179</v>
      </c>
      <c r="D198" s="98"/>
      <c r="E198" s="100">
        <f>SUM(D401:D405)+SUM(D407:D408)+SUM(D410:D417)*18+SUM(D419)*4+SUM(D421:D426)*4</f>
        <v>98207.286137999996</v>
      </c>
      <c r="F198" s="100"/>
      <c r="G198" s="100">
        <f>SUM(F401:F405)+SUM(F407:F408)+SUM(F410:F417)*18+SUM(F419)*4+SUM(F421:F426)*4</f>
        <v>147682.67560799996</v>
      </c>
      <c r="H198" s="100"/>
    </row>
    <row r="199" spans="1:10" s="1" customFormat="1" x14ac:dyDescent="0.35">
      <c r="A199" s="97" t="s">
        <v>279</v>
      </c>
      <c r="B199" s="97"/>
      <c r="C199" s="98">
        <f>COUNT(D429:D433)+COUNT(D435:D436)+COUNT(D438:D445)*18+COUNT(D447:D448)*4+COUNT(D450:D454)*4</f>
        <v>179</v>
      </c>
      <c r="D199" s="98"/>
      <c r="E199" s="100">
        <f>SUM(D429:D433)+SUM(D435:D436)+SUM(D438:D445)*18+SUM(D447:D448)*4+SUM(D450:D454)*4</f>
        <v>98207.286137999981</v>
      </c>
      <c r="F199" s="100"/>
      <c r="G199" s="100">
        <f>SUM(F429:F433)+SUM(F435:F436)+SUM(F438:F445)*18+SUM(F447:F448)*4+SUM(F450:F454)*4</f>
        <v>147699.37326299999</v>
      </c>
      <c r="H199" s="100"/>
    </row>
    <row r="200" spans="1:10" s="1" customFormat="1" x14ac:dyDescent="0.35">
      <c r="A200" s="97" t="s">
        <v>280</v>
      </c>
      <c r="B200" s="97"/>
      <c r="C200" s="98">
        <f>COUNT(D457:D461)+COUNT(D463:D467)*21+COUNT(D469:D471,D473)*4</f>
        <v>126</v>
      </c>
      <c r="D200" s="98"/>
      <c r="E200" s="100">
        <f>SUM(D457:D461)+SUM(D463:D467)*21+SUM(D469:D471,D473)*4</f>
        <v>132478.511256</v>
      </c>
      <c r="F200" s="100"/>
      <c r="G200" s="100">
        <f>SUM(F457:F461)+SUM(F463:F467)*21+SUM(F469:F471,F473)*4</f>
        <v>199516.993884</v>
      </c>
      <c r="H200" s="100"/>
    </row>
    <row r="201" spans="1:10" s="1" customFormat="1" x14ac:dyDescent="0.35">
      <c r="A201" s="97" t="s">
        <v>281</v>
      </c>
      <c r="B201" s="97"/>
      <c r="C201" s="98">
        <f>COUNT(D476:D481,D483:D485)+COUNT(D487:D496)*25+COUNT(D499:D507)*6</f>
        <v>313</v>
      </c>
      <c r="D201" s="98"/>
      <c r="E201" s="100">
        <f>SUM(D476:D481,D483:D485)+SUM(D487:D496)*25+SUM(D499:D507)*6</f>
        <v>147435.74585999997</v>
      </c>
      <c r="F201" s="100"/>
      <c r="G201" s="100">
        <f>SUM(F476:F481,F483:F485)+SUM(F487:F496)*25+SUM(F499:F507)*6</f>
        <v>222083.97821999996</v>
      </c>
      <c r="H201" s="100"/>
    </row>
    <row r="202" spans="1:10" s="1" customFormat="1" x14ac:dyDescent="0.35">
      <c r="A202" s="97" t="s">
        <v>282</v>
      </c>
      <c r="B202" s="97"/>
      <c r="C202" s="98">
        <f>COUNT(D510:D512,D514:D517)+COUNT(D519:D526)*25+COUNT(D528:D534)*6</f>
        <v>249</v>
      </c>
      <c r="D202" s="98"/>
      <c r="E202" s="100">
        <f>SUM(D510:D512,D514:D517)+SUM(D519:D526)*25+SUM(D528:D534)*6</f>
        <v>142425.18458999999</v>
      </c>
      <c r="F202" s="100"/>
      <c r="G202" s="100">
        <f>SUM(F510:F512,F514:F517)+SUM(F519:F526)*25+SUM(F528:F534)*6</f>
        <v>214288.15121999997</v>
      </c>
      <c r="H202" s="100"/>
      <c r="J202" s="1">
        <f>18+4+1+1</f>
        <v>24</v>
      </c>
    </row>
    <row r="203" spans="1:10" s="1" customFormat="1" x14ac:dyDescent="0.35">
      <c r="A203" s="97" t="s">
        <v>283</v>
      </c>
      <c r="B203" s="97"/>
      <c r="C203" s="98">
        <f>COUNT(D538:D544)+COUNT(D546:D552)*31</f>
        <v>224</v>
      </c>
      <c r="D203" s="98"/>
      <c r="E203" s="100">
        <f>SUM(D538:D544)+SUM(D546:D552)*31</f>
        <v>83081.71871999999</v>
      </c>
      <c r="F203" s="100"/>
      <c r="G203" s="100">
        <f>SUM(F538:F544)+SUM(F546:F552)*31</f>
        <v>125181.09513000005</v>
      </c>
      <c r="H203" s="100"/>
    </row>
    <row r="204" spans="1:10" s="1" customFormat="1" x14ac:dyDescent="0.35">
      <c r="A204" s="97" t="s">
        <v>284</v>
      </c>
      <c r="B204" s="97"/>
      <c r="C204" s="98">
        <f>COUNT(D559:D562)+COUNT(D564:D571)*18+COUNT(D573:D577,D579:D580)*4</f>
        <v>176</v>
      </c>
      <c r="D204" s="98"/>
      <c r="E204" s="100">
        <f>SUM(D559:D562)+SUM(D564:D571)*18+SUM(D573:D577,D579:D580)*4</f>
        <v>96037.635095999998</v>
      </c>
      <c r="F204" s="100"/>
      <c r="G204" s="100">
        <f>SUM(F559:F562)+SUM(F564:F571)*18+SUM(F573:F577,F579:F580)*4</f>
        <v>144268.452644</v>
      </c>
      <c r="H204" s="100"/>
      <c r="J204" s="1">
        <f>18+4+1+1</f>
        <v>24</v>
      </c>
    </row>
    <row r="205" spans="1:10" s="1" customFormat="1" x14ac:dyDescent="0.35">
      <c r="A205" s="110" t="s">
        <v>61</v>
      </c>
      <c r="B205" s="111"/>
      <c r="C205" s="112">
        <f>SUM(C197:D204)</f>
        <v>1625</v>
      </c>
      <c r="D205" s="113"/>
      <c r="E205" s="114">
        <f>SUM(E197:F204)</f>
        <v>896080.65393599984</v>
      </c>
      <c r="F205" s="115"/>
      <c r="G205" s="116">
        <f>SUM(G197:H204)</f>
        <v>1348403.3955769998</v>
      </c>
      <c r="H205" s="117"/>
    </row>
    <row r="206" spans="1:10" s="9" customFormat="1" x14ac:dyDescent="0.35">
      <c r="A206" s="155" t="s">
        <v>62</v>
      </c>
      <c r="B206" s="155"/>
      <c r="C206" s="155"/>
      <c r="D206" s="155"/>
      <c r="E206" s="155"/>
      <c r="F206" s="155"/>
      <c r="G206" s="155"/>
      <c r="H206" s="155"/>
    </row>
    <row r="207" spans="1:10" x14ac:dyDescent="0.35">
      <c r="A207" s="155" t="s">
        <v>63</v>
      </c>
      <c r="B207" s="155"/>
      <c r="C207" s="155"/>
      <c r="D207" s="155"/>
      <c r="E207" s="155"/>
      <c r="F207" s="155"/>
      <c r="G207" s="155"/>
      <c r="H207" s="155"/>
    </row>
    <row r="208" spans="1:10" ht="47.25" customHeight="1" x14ac:dyDescent="0.35">
      <c r="A208" s="160" t="s">
        <v>156</v>
      </c>
      <c r="B208" s="160" t="s">
        <v>155</v>
      </c>
      <c r="C208" s="160" t="s">
        <v>64</v>
      </c>
      <c r="D208" s="160" t="s">
        <v>65</v>
      </c>
      <c r="E208" s="164" t="s">
        <v>66</v>
      </c>
      <c r="F208" s="34" t="s">
        <v>154</v>
      </c>
      <c r="G208" s="166" t="s">
        <v>67</v>
      </c>
      <c r="H208" s="167"/>
    </row>
    <row r="209" spans="1:14" s="2" customFormat="1" x14ac:dyDescent="0.35">
      <c r="A209" s="161"/>
      <c r="B209" s="161"/>
      <c r="C209" s="161"/>
      <c r="D209" s="161"/>
      <c r="E209" s="165"/>
      <c r="F209" s="35">
        <v>0.6</v>
      </c>
      <c r="G209" s="168"/>
      <c r="H209" s="169"/>
    </row>
    <row r="210" spans="1:14" s="2" customFormat="1" x14ac:dyDescent="0.35">
      <c r="A210" s="102" t="s">
        <v>266</v>
      </c>
      <c r="B210" s="102"/>
      <c r="C210" s="102"/>
      <c r="D210" s="102"/>
      <c r="E210" s="102"/>
      <c r="F210" s="102"/>
      <c r="G210" s="102"/>
      <c r="H210" s="102"/>
    </row>
    <row r="211" spans="1:14" s="2" customFormat="1" x14ac:dyDescent="0.35">
      <c r="A211" s="102" t="s">
        <v>285</v>
      </c>
      <c r="B211" s="102"/>
      <c r="C211" s="102"/>
      <c r="D211" s="102"/>
      <c r="E211" s="102"/>
      <c r="F211" s="102"/>
      <c r="G211" s="102"/>
      <c r="H211" s="102"/>
    </row>
    <row r="212" spans="1:14" s="2" customFormat="1" x14ac:dyDescent="0.35">
      <c r="A212" s="102" t="s">
        <v>211</v>
      </c>
      <c r="B212" s="102"/>
      <c r="C212" s="102"/>
      <c r="D212" s="102"/>
      <c r="E212" s="102"/>
      <c r="F212" s="102"/>
      <c r="G212" s="102"/>
      <c r="H212" s="102"/>
    </row>
    <row r="213" spans="1:14" s="2" customFormat="1" ht="15.75" customHeight="1" x14ac:dyDescent="0.35">
      <c r="A213" s="90">
        <v>1</v>
      </c>
      <c r="B213" s="90"/>
      <c r="C213" s="68" t="s">
        <v>210</v>
      </c>
      <c r="D213" s="68">
        <f>(37.07+5.85)*10.764</f>
        <v>461.99088</v>
      </c>
      <c r="E213" s="68">
        <v>0</v>
      </c>
      <c r="F213" s="68">
        <f t="shared" ref="F213:F235" si="0">D213*(($F$209)+1)+E213</f>
        <v>739.18540800000005</v>
      </c>
      <c r="G213" s="90" t="str">
        <f>A212</f>
        <v>Ground Floor For Commercial &amp; Parking</v>
      </c>
      <c r="H213" s="90"/>
      <c r="I213" s="36"/>
      <c r="L213" s="109"/>
      <c r="M213" s="109"/>
      <c r="N213" s="36"/>
    </row>
    <row r="214" spans="1:14" s="2" customFormat="1" ht="15.75" customHeight="1" x14ac:dyDescent="0.35">
      <c r="A214" s="90">
        <f>A213+1</f>
        <v>2</v>
      </c>
      <c r="B214" s="90"/>
      <c r="C214" s="68" t="s">
        <v>210</v>
      </c>
      <c r="D214" s="68">
        <f>(53.51+6.5)*10.764</f>
        <v>645.94763999999998</v>
      </c>
      <c r="E214" s="68">
        <v>0</v>
      </c>
      <c r="F214" s="68">
        <f t="shared" si="0"/>
        <v>1033.516224</v>
      </c>
      <c r="G214" s="90"/>
      <c r="H214" s="90"/>
      <c r="I214" s="36"/>
      <c r="L214" s="109"/>
      <c r="M214" s="109"/>
      <c r="N214" s="36"/>
    </row>
    <row r="215" spans="1:14" s="2" customFormat="1" ht="15.75" customHeight="1" x14ac:dyDescent="0.35">
      <c r="A215" s="90">
        <f t="shared" ref="A215:A217" si="1">A214+1</f>
        <v>3</v>
      </c>
      <c r="B215" s="90"/>
      <c r="C215" s="68" t="s">
        <v>210</v>
      </c>
      <c r="D215" s="68">
        <f>(50.17+6.32)*10.764</f>
        <v>608.05835999999999</v>
      </c>
      <c r="E215" s="68">
        <v>0</v>
      </c>
      <c r="F215" s="68">
        <f t="shared" si="0"/>
        <v>972.89337599999999</v>
      </c>
      <c r="G215" s="90"/>
      <c r="H215" s="90"/>
      <c r="I215" s="36">
        <f>5.28*7.5</f>
        <v>39.6</v>
      </c>
      <c r="J215" s="2">
        <f>1.5*5.28</f>
        <v>7.92</v>
      </c>
      <c r="L215" s="109"/>
      <c r="M215" s="109"/>
      <c r="N215" s="36"/>
    </row>
    <row r="216" spans="1:14" s="2" customFormat="1" ht="15.75" customHeight="1" x14ac:dyDescent="0.35">
      <c r="A216" s="90">
        <f t="shared" si="1"/>
        <v>4</v>
      </c>
      <c r="B216" s="90"/>
      <c r="C216" s="68" t="s">
        <v>210</v>
      </c>
      <c r="D216" s="68">
        <f>(26.76+3.44)*10.764</f>
        <v>325.07280000000003</v>
      </c>
      <c r="E216" s="68">
        <v>0</v>
      </c>
      <c r="F216" s="68">
        <f t="shared" si="0"/>
        <v>520.11648000000002</v>
      </c>
      <c r="G216" s="90"/>
      <c r="H216" s="90"/>
      <c r="I216" s="36"/>
      <c r="L216" s="109"/>
      <c r="M216" s="109"/>
      <c r="N216" s="36"/>
    </row>
    <row r="217" spans="1:14" s="2" customFormat="1" ht="15.75" customHeight="1" x14ac:dyDescent="0.35">
      <c r="A217" s="90">
        <f t="shared" si="1"/>
        <v>5</v>
      </c>
      <c r="B217" s="90"/>
      <c r="C217" s="68" t="s">
        <v>210</v>
      </c>
      <c r="D217" s="68">
        <f>(26.76+3.44)*10.764</f>
        <v>325.07280000000003</v>
      </c>
      <c r="E217" s="68">
        <v>0</v>
      </c>
      <c r="F217" s="68">
        <f t="shared" si="0"/>
        <v>520.11648000000002</v>
      </c>
      <c r="G217" s="90"/>
      <c r="H217" s="90"/>
      <c r="I217" s="36"/>
      <c r="L217" s="109"/>
      <c r="M217" s="109"/>
      <c r="N217" s="36"/>
    </row>
    <row r="218" spans="1:14" s="2" customFormat="1" ht="15.75" customHeight="1" x14ac:dyDescent="0.35">
      <c r="A218" s="90">
        <f t="shared" ref="A218:A219" si="2">A217+1</f>
        <v>6</v>
      </c>
      <c r="B218" s="90"/>
      <c r="C218" s="68" t="s">
        <v>210</v>
      </c>
      <c r="D218" s="68">
        <f>(6.32+50.17)*10.764</f>
        <v>608.05835999999999</v>
      </c>
      <c r="E218" s="68">
        <v>0</v>
      </c>
      <c r="F218" s="68">
        <f t="shared" si="0"/>
        <v>972.89337599999999</v>
      </c>
      <c r="G218" s="90"/>
      <c r="H218" s="90"/>
      <c r="I218" s="36"/>
      <c r="L218" s="109"/>
      <c r="M218" s="109"/>
      <c r="N218" s="36"/>
    </row>
    <row r="219" spans="1:14" s="2" customFormat="1" ht="15.75" customHeight="1" x14ac:dyDescent="0.35">
      <c r="A219" s="90">
        <f t="shared" si="2"/>
        <v>7</v>
      </c>
      <c r="B219" s="90"/>
      <c r="C219" s="68" t="s">
        <v>210</v>
      </c>
      <c r="D219" s="68">
        <f>(56.11+6.32)*10.764</f>
        <v>671.99651999999992</v>
      </c>
      <c r="E219" s="68">
        <v>0</v>
      </c>
      <c r="F219" s="68">
        <f t="shared" si="0"/>
        <v>1075.194432</v>
      </c>
      <c r="G219" s="90"/>
      <c r="H219" s="90"/>
      <c r="I219" s="36"/>
      <c r="L219" s="109"/>
      <c r="M219" s="109"/>
      <c r="N219" s="36"/>
    </row>
    <row r="220" spans="1:14" s="2" customFormat="1" x14ac:dyDescent="0.35">
      <c r="A220" s="90">
        <v>8</v>
      </c>
      <c r="B220" s="90"/>
      <c r="C220" s="68" t="s">
        <v>210</v>
      </c>
      <c r="D220" s="68">
        <f>(5.85+51.56)*10.764</f>
        <v>617.96123999999998</v>
      </c>
      <c r="E220" s="68">
        <v>0</v>
      </c>
      <c r="F220" s="68">
        <f t="shared" si="0"/>
        <v>988.73798399999998</v>
      </c>
      <c r="G220" s="90"/>
      <c r="H220" s="90"/>
      <c r="I220" s="36"/>
      <c r="L220" s="109"/>
      <c r="M220" s="109"/>
      <c r="N220" s="36"/>
    </row>
    <row r="221" spans="1:14" s="2" customFormat="1" x14ac:dyDescent="0.35">
      <c r="A221" s="90">
        <f>A220+1</f>
        <v>9</v>
      </c>
      <c r="B221" s="90"/>
      <c r="C221" s="68" t="s">
        <v>210</v>
      </c>
      <c r="D221" s="68">
        <f>(56.11+5.85)*10.764</f>
        <v>666.93743999999992</v>
      </c>
      <c r="E221" s="68">
        <v>0</v>
      </c>
      <c r="F221" s="68">
        <f t="shared" si="0"/>
        <v>1067.0999039999999</v>
      </c>
      <c r="G221" s="90"/>
      <c r="H221" s="90"/>
      <c r="I221" s="36"/>
      <c r="L221" s="109"/>
      <c r="M221" s="109"/>
      <c r="N221" s="36"/>
    </row>
    <row r="222" spans="1:14" s="2" customFormat="1" x14ac:dyDescent="0.35">
      <c r="A222" s="90">
        <f t="shared" ref="A222:A235" si="3">A221+1</f>
        <v>10</v>
      </c>
      <c r="B222" s="90"/>
      <c r="C222" s="68" t="s">
        <v>210</v>
      </c>
      <c r="D222" s="68">
        <f>(56.11+6.32)*10.764</f>
        <v>671.99651999999992</v>
      </c>
      <c r="E222" s="68">
        <v>0</v>
      </c>
      <c r="F222" s="68">
        <f t="shared" si="0"/>
        <v>1075.194432</v>
      </c>
      <c r="G222" s="90"/>
      <c r="H222" s="90"/>
      <c r="I222" s="36"/>
      <c r="L222" s="109"/>
      <c r="M222" s="109"/>
      <c r="N222" s="36"/>
    </row>
    <row r="223" spans="1:14" s="2" customFormat="1" x14ac:dyDescent="0.35">
      <c r="A223" s="90">
        <f t="shared" si="3"/>
        <v>11</v>
      </c>
      <c r="B223" s="90"/>
      <c r="C223" s="68" t="s">
        <v>210</v>
      </c>
      <c r="D223" s="68">
        <f>(50.17+6.32)*10.764</f>
        <v>608.05835999999999</v>
      </c>
      <c r="E223" s="68">
        <v>0</v>
      </c>
      <c r="F223" s="68">
        <f t="shared" si="0"/>
        <v>972.89337599999999</v>
      </c>
      <c r="G223" s="90"/>
      <c r="H223" s="90"/>
      <c r="I223" s="36"/>
      <c r="L223" s="109"/>
      <c r="M223" s="109"/>
      <c r="N223" s="36"/>
    </row>
    <row r="224" spans="1:14" s="2" customFormat="1" x14ac:dyDescent="0.35">
      <c r="A224" s="90">
        <f t="shared" si="3"/>
        <v>12</v>
      </c>
      <c r="B224" s="90"/>
      <c r="C224" s="68" t="s">
        <v>210</v>
      </c>
      <c r="D224" s="68">
        <f>(26.76+3.44)*10.764</f>
        <v>325.07280000000003</v>
      </c>
      <c r="E224" s="68">
        <v>0</v>
      </c>
      <c r="F224" s="68">
        <f t="shared" si="0"/>
        <v>520.11648000000002</v>
      </c>
      <c r="G224" s="90"/>
      <c r="H224" s="90"/>
      <c r="I224" s="36"/>
      <c r="L224" s="109"/>
      <c r="M224" s="109"/>
      <c r="N224" s="36"/>
    </row>
    <row r="225" spans="1:14" s="2" customFormat="1" x14ac:dyDescent="0.35">
      <c r="A225" s="90">
        <f t="shared" si="3"/>
        <v>13</v>
      </c>
      <c r="B225" s="90"/>
      <c r="C225" s="68" t="s">
        <v>210</v>
      </c>
      <c r="D225" s="68">
        <f>(6.32+50.17)*10.764</f>
        <v>608.05835999999999</v>
      </c>
      <c r="E225" s="68">
        <v>0</v>
      </c>
      <c r="F225" s="68">
        <f t="shared" si="0"/>
        <v>972.89337599999999</v>
      </c>
      <c r="G225" s="90"/>
      <c r="H225" s="90"/>
      <c r="I225" s="36"/>
      <c r="L225" s="109"/>
      <c r="M225" s="109"/>
      <c r="N225" s="36"/>
    </row>
    <row r="226" spans="1:14" s="2" customFormat="1" x14ac:dyDescent="0.35">
      <c r="A226" s="90">
        <f t="shared" si="3"/>
        <v>14</v>
      </c>
      <c r="B226" s="90"/>
      <c r="C226" s="68" t="s">
        <v>210</v>
      </c>
      <c r="D226" s="68">
        <f>(56.11+6.32)*10.764</f>
        <v>671.99651999999992</v>
      </c>
      <c r="E226" s="68">
        <v>0</v>
      </c>
      <c r="F226" s="68">
        <f t="shared" si="0"/>
        <v>1075.194432</v>
      </c>
      <c r="G226" s="90"/>
      <c r="H226" s="90"/>
      <c r="I226" s="36"/>
      <c r="L226" s="109"/>
      <c r="M226" s="109"/>
      <c r="N226" s="36"/>
    </row>
    <row r="227" spans="1:14" s="2" customFormat="1" x14ac:dyDescent="0.35">
      <c r="A227" s="90">
        <f t="shared" si="3"/>
        <v>15</v>
      </c>
      <c r="B227" s="90"/>
      <c r="C227" s="68" t="s">
        <v>210</v>
      </c>
      <c r="D227" s="68">
        <f>(51.56+5.85)*10.764</f>
        <v>617.96123999999998</v>
      </c>
      <c r="E227" s="68">
        <v>0</v>
      </c>
      <c r="F227" s="68">
        <f t="shared" si="0"/>
        <v>988.73798399999998</v>
      </c>
      <c r="G227" s="90"/>
      <c r="H227" s="90"/>
      <c r="I227" s="36"/>
      <c r="L227" s="109"/>
      <c r="M227" s="109"/>
      <c r="N227" s="36"/>
    </row>
    <row r="228" spans="1:14" s="2" customFormat="1" x14ac:dyDescent="0.35">
      <c r="A228" s="90">
        <f t="shared" si="3"/>
        <v>16</v>
      </c>
      <c r="B228" s="90"/>
      <c r="C228" s="68" t="s">
        <v>210</v>
      </c>
      <c r="D228" s="68">
        <f>(51.56+5.85)*10.764</f>
        <v>617.96123999999998</v>
      </c>
      <c r="E228" s="68">
        <v>0</v>
      </c>
      <c r="F228" s="68">
        <f t="shared" si="0"/>
        <v>988.73798399999998</v>
      </c>
      <c r="G228" s="90"/>
      <c r="H228" s="90"/>
      <c r="I228" s="36"/>
      <c r="L228" s="109"/>
      <c r="M228" s="109"/>
      <c r="N228" s="36"/>
    </row>
    <row r="229" spans="1:14" s="2" customFormat="1" x14ac:dyDescent="0.35">
      <c r="A229" s="90">
        <f t="shared" si="3"/>
        <v>17</v>
      </c>
      <c r="B229" s="90"/>
      <c r="C229" s="68" t="s">
        <v>210</v>
      </c>
      <c r="D229" s="68">
        <f>(56.11+6.32)*10.764</f>
        <v>671.99651999999992</v>
      </c>
      <c r="E229" s="68">
        <v>0</v>
      </c>
      <c r="F229" s="68">
        <f t="shared" si="0"/>
        <v>1075.194432</v>
      </c>
      <c r="G229" s="90"/>
      <c r="H229" s="90"/>
      <c r="I229" s="36"/>
      <c r="L229" s="109"/>
      <c r="M229" s="109"/>
      <c r="N229" s="36"/>
    </row>
    <row r="230" spans="1:14" s="2" customFormat="1" x14ac:dyDescent="0.35">
      <c r="A230" s="90">
        <f t="shared" si="3"/>
        <v>18</v>
      </c>
      <c r="B230" s="90"/>
      <c r="C230" s="68" t="s">
        <v>210</v>
      </c>
      <c r="D230" s="68">
        <f>(6.32+50.17)*10.764</f>
        <v>608.05835999999999</v>
      </c>
      <c r="E230" s="68">
        <v>0</v>
      </c>
      <c r="F230" s="68">
        <f t="shared" si="0"/>
        <v>972.89337599999999</v>
      </c>
      <c r="G230" s="90"/>
      <c r="H230" s="90"/>
      <c r="I230" s="36"/>
      <c r="L230" s="109"/>
      <c r="M230" s="109"/>
      <c r="N230" s="36"/>
    </row>
    <row r="231" spans="1:14" s="2" customFormat="1" x14ac:dyDescent="0.35">
      <c r="A231" s="90">
        <f t="shared" si="3"/>
        <v>19</v>
      </c>
      <c r="B231" s="90"/>
      <c r="C231" s="68" t="s">
        <v>210</v>
      </c>
      <c r="D231" s="68">
        <f>(26.76+3.44)*10.764</f>
        <v>325.07280000000003</v>
      </c>
      <c r="E231" s="68">
        <v>0</v>
      </c>
      <c r="F231" s="68">
        <f t="shared" si="0"/>
        <v>520.11648000000002</v>
      </c>
      <c r="G231" s="90"/>
      <c r="H231" s="90"/>
      <c r="I231" s="36"/>
      <c r="L231" s="109"/>
      <c r="M231" s="109"/>
      <c r="N231" s="36"/>
    </row>
    <row r="232" spans="1:14" s="2" customFormat="1" x14ac:dyDescent="0.35">
      <c r="A232" s="90">
        <f t="shared" si="3"/>
        <v>20</v>
      </c>
      <c r="B232" s="90"/>
      <c r="C232" s="68" t="s">
        <v>210</v>
      </c>
      <c r="D232" s="68">
        <f>(26.76+3.44)*10.764</f>
        <v>325.07280000000003</v>
      </c>
      <c r="E232" s="68">
        <v>0</v>
      </c>
      <c r="F232" s="68">
        <f t="shared" si="0"/>
        <v>520.11648000000002</v>
      </c>
      <c r="G232" s="90"/>
      <c r="H232" s="90"/>
      <c r="I232" s="36"/>
      <c r="L232" s="109"/>
      <c r="M232" s="109"/>
      <c r="N232" s="36"/>
    </row>
    <row r="233" spans="1:14" s="2" customFormat="1" x14ac:dyDescent="0.35">
      <c r="A233" s="90">
        <f t="shared" si="3"/>
        <v>21</v>
      </c>
      <c r="B233" s="90"/>
      <c r="C233" s="68" t="s">
        <v>210</v>
      </c>
      <c r="D233" s="68">
        <f>(50.17+6.32)*10.764</f>
        <v>608.05835999999999</v>
      </c>
      <c r="E233" s="68">
        <v>0</v>
      </c>
      <c r="F233" s="68">
        <f t="shared" si="0"/>
        <v>972.89337599999999</v>
      </c>
      <c r="G233" s="90"/>
      <c r="H233" s="90"/>
      <c r="I233" s="36"/>
      <c r="L233" s="109"/>
      <c r="M233" s="109"/>
      <c r="N233" s="36"/>
    </row>
    <row r="234" spans="1:14" s="2" customFormat="1" x14ac:dyDescent="0.35">
      <c r="A234" s="90">
        <f t="shared" si="3"/>
        <v>22</v>
      </c>
      <c r="B234" s="90"/>
      <c r="C234" s="68" t="s">
        <v>210</v>
      </c>
      <c r="D234" s="68">
        <f>(53.51+6.5)*10.764</f>
        <v>645.94763999999998</v>
      </c>
      <c r="E234" s="68">
        <v>0</v>
      </c>
      <c r="F234" s="68">
        <f t="shared" si="0"/>
        <v>1033.516224</v>
      </c>
      <c r="G234" s="90"/>
      <c r="H234" s="90"/>
      <c r="I234" s="36"/>
      <c r="L234" s="109"/>
      <c r="M234" s="109"/>
      <c r="N234" s="36"/>
    </row>
    <row r="235" spans="1:14" s="2" customFormat="1" x14ac:dyDescent="0.35">
      <c r="A235" s="90">
        <f t="shared" si="3"/>
        <v>23</v>
      </c>
      <c r="B235" s="90"/>
      <c r="C235" s="68" t="s">
        <v>210</v>
      </c>
      <c r="D235" s="68">
        <f>(37.07+5.85)*10.764</f>
        <v>461.99088</v>
      </c>
      <c r="E235" s="68">
        <v>0</v>
      </c>
      <c r="F235" s="68">
        <f t="shared" si="0"/>
        <v>739.18540800000005</v>
      </c>
      <c r="G235" s="90"/>
      <c r="H235" s="90"/>
      <c r="I235" s="36"/>
      <c r="L235" s="109"/>
      <c r="M235" s="109"/>
      <c r="N235" s="36"/>
    </row>
    <row r="236" spans="1:14" s="2" customFormat="1" x14ac:dyDescent="0.35">
      <c r="A236" s="103" t="s">
        <v>218</v>
      </c>
      <c r="B236" s="104"/>
      <c r="C236" s="104"/>
      <c r="D236" s="104"/>
      <c r="E236" s="104"/>
      <c r="F236" s="104"/>
      <c r="G236" s="104"/>
      <c r="H236" s="105"/>
    </row>
    <row r="237" spans="1:14" s="2" customFormat="1" ht="15.75" customHeight="1" x14ac:dyDescent="0.35">
      <c r="A237" s="106">
        <v>101</v>
      </c>
      <c r="B237" s="108"/>
      <c r="C237" s="19" t="s">
        <v>219</v>
      </c>
      <c r="D237" s="19">
        <f>40.51*10.764</f>
        <v>436.04963999999995</v>
      </c>
      <c r="E237" s="19">
        <v>0</v>
      </c>
      <c r="F237" s="19">
        <f t="shared" ref="F237:F259" si="4">D237*(($F$209)+1)+E237</f>
        <v>697.67942399999993</v>
      </c>
      <c r="G237" s="91" t="str">
        <f>A236</f>
        <v>1st Floor For Commercial &amp; Parking</v>
      </c>
      <c r="H237" s="92"/>
      <c r="I237" s="36"/>
      <c r="L237" s="109"/>
      <c r="M237" s="109"/>
      <c r="N237" s="36"/>
    </row>
    <row r="238" spans="1:14" s="2" customFormat="1" ht="15.75" customHeight="1" x14ac:dyDescent="0.35">
      <c r="A238" s="106">
        <f>A237+1</f>
        <v>102</v>
      </c>
      <c r="B238" s="108"/>
      <c r="C238" s="19" t="s">
        <v>219</v>
      </c>
      <c r="D238" s="19">
        <f>45.34*10.764</f>
        <v>488.03976</v>
      </c>
      <c r="E238" s="19">
        <v>0</v>
      </c>
      <c r="F238" s="19">
        <f t="shared" si="4"/>
        <v>780.86361600000009</v>
      </c>
      <c r="G238" s="93"/>
      <c r="H238" s="94"/>
      <c r="I238" s="36"/>
      <c r="L238" s="109"/>
      <c r="M238" s="109"/>
      <c r="N238" s="36"/>
    </row>
    <row r="239" spans="1:14" s="2" customFormat="1" ht="15.75" customHeight="1" x14ac:dyDescent="0.35">
      <c r="A239" s="106">
        <f t="shared" ref="A239:A259" si="5">A238+1</f>
        <v>103</v>
      </c>
      <c r="B239" s="108"/>
      <c r="C239" s="19" t="s">
        <v>219</v>
      </c>
      <c r="D239" s="19">
        <f>44.59*10.764</f>
        <v>479.96676000000002</v>
      </c>
      <c r="E239" s="19">
        <v>0</v>
      </c>
      <c r="F239" s="19">
        <f t="shared" si="4"/>
        <v>767.94681600000013</v>
      </c>
      <c r="G239" s="93"/>
      <c r="H239" s="94"/>
      <c r="I239" s="36"/>
      <c r="L239" s="109"/>
      <c r="M239" s="109"/>
      <c r="N239" s="36"/>
    </row>
    <row r="240" spans="1:14" s="2" customFormat="1" ht="15.75" customHeight="1" x14ac:dyDescent="0.35">
      <c r="A240" s="106">
        <f t="shared" si="5"/>
        <v>104</v>
      </c>
      <c r="B240" s="108"/>
      <c r="C240" s="19" t="s">
        <v>219</v>
      </c>
      <c r="D240" s="19">
        <f>24.62*10.764</f>
        <v>265.00968</v>
      </c>
      <c r="E240" s="19">
        <v>0</v>
      </c>
      <c r="F240" s="19">
        <f t="shared" si="4"/>
        <v>424.015488</v>
      </c>
      <c r="G240" s="93"/>
      <c r="H240" s="94"/>
      <c r="I240" s="36"/>
      <c r="L240" s="109"/>
      <c r="M240" s="109"/>
      <c r="N240" s="36"/>
    </row>
    <row r="241" spans="1:14" s="2" customFormat="1" ht="15.75" customHeight="1" x14ac:dyDescent="0.35">
      <c r="A241" s="106">
        <f t="shared" si="5"/>
        <v>105</v>
      </c>
      <c r="B241" s="108"/>
      <c r="C241" s="19" t="s">
        <v>219</v>
      </c>
      <c r="D241" s="19">
        <f>24.62*10.764</f>
        <v>265.00968</v>
      </c>
      <c r="E241" s="19">
        <v>0</v>
      </c>
      <c r="F241" s="19">
        <f t="shared" si="4"/>
        <v>424.015488</v>
      </c>
      <c r="G241" s="93"/>
      <c r="H241" s="94"/>
      <c r="I241" s="36"/>
      <c r="L241" s="109"/>
      <c r="M241" s="109"/>
      <c r="N241" s="36"/>
    </row>
    <row r="242" spans="1:14" s="2" customFormat="1" ht="15.75" customHeight="1" x14ac:dyDescent="0.35">
      <c r="A242" s="106">
        <f t="shared" si="5"/>
        <v>106</v>
      </c>
      <c r="B242" s="108"/>
      <c r="C242" s="19" t="s">
        <v>219</v>
      </c>
      <c r="D242" s="19">
        <f>44.59*10.764</f>
        <v>479.96676000000002</v>
      </c>
      <c r="E242" s="19">
        <v>0</v>
      </c>
      <c r="F242" s="19">
        <f t="shared" si="4"/>
        <v>767.94681600000013</v>
      </c>
      <c r="G242" s="93"/>
      <c r="H242" s="94"/>
      <c r="I242" s="36"/>
      <c r="L242" s="109"/>
      <c r="M242" s="109"/>
      <c r="N242" s="36"/>
    </row>
    <row r="243" spans="1:14" s="2" customFormat="1" ht="15.75" customHeight="1" x14ac:dyDescent="0.35">
      <c r="A243" s="106">
        <f t="shared" si="5"/>
        <v>107</v>
      </c>
      <c r="B243" s="108"/>
      <c r="C243" s="19" t="s">
        <v>219</v>
      </c>
      <c r="D243" s="19">
        <f>45.15*10.764</f>
        <v>485.99459999999993</v>
      </c>
      <c r="E243" s="19">
        <v>0</v>
      </c>
      <c r="F243" s="19">
        <f t="shared" si="4"/>
        <v>777.5913599999999</v>
      </c>
      <c r="G243" s="93"/>
      <c r="H243" s="94"/>
      <c r="I243" s="36"/>
      <c r="L243" s="109"/>
      <c r="M243" s="109"/>
      <c r="N243" s="36"/>
    </row>
    <row r="244" spans="1:14" s="2" customFormat="1" x14ac:dyDescent="0.35">
      <c r="A244" s="106">
        <f t="shared" si="5"/>
        <v>108</v>
      </c>
      <c r="B244" s="108"/>
      <c r="C244" s="19" t="s">
        <v>219</v>
      </c>
      <c r="D244" s="19">
        <f>40.6*10.764</f>
        <v>437.01839999999999</v>
      </c>
      <c r="E244" s="19">
        <v>0</v>
      </c>
      <c r="F244" s="19">
        <f t="shared" si="4"/>
        <v>699.22944000000007</v>
      </c>
      <c r="G244" s="93"/>
      <c r="H244" s="94"/>
      <c r="I244" s="36"/>
      <c r="L244" s="109"/>
      <c r="M244" s="109"/>
      <c r="N244" s="36"/>
    </row>
    <row r="245" spans="1:14" s="2" customFormat="1" x14ac:dyDescent="0.35">
      <c r="A245" s="106">
        <f t="shared" si="5"/>
        <v>109</v>
      </c>
      <c r="B245" s="108"/>
      <c r="C245" s="19" t="s">
        <v>219</v>
      </c>
      <c r="D245" s="19">
        <f>40.6*10.764</f>
        <v>437.01839999999999</v>
      </c>
      <c r="E245" s="19">
        <v>0</v>
      </c>
      <c r="F245" s="19">
        <f t="shared" si="4"/>
        <v>699.22944000000007</v>
      </c>
      <c r="G245" s="93"/>
      <c r="H245" s="94"/>
      <c r="I245" s="36"/>
      <c r="L245" s="109"/>
      <c r="M245" s="109"/>
      <c r="N245" s="36"/>
    </row>
    <row r="246" spans="1:14" s="2" customFormat="1" x14ac:dyDescent="0.35">
      <c r="A246" s="106">
        <f t="shared" si="5"/>
        <v>110</v>
      </c>
      <c r="B246" s="108"/>
      <c r="C246" s="19" t="s">
        <v>219</v>
      </c>
      <c r="D246" s="19">
        <f>45.15*10.764</f>
        <v>485.99459999999993</v>
      </c>
      <c r="E246" s="19">
        <v>0</v>
      </c>
      <c r="F246" s="19">
        <f t="shared" si="4"/>
        <v>777.5913599999999</v>
      </c>
      <c r="G246" s="93"/>
      <c r="H246" s="94"/>
      <c r="I246" s="36"/>
      <c r="L246" s="109"/>
      <c r="M246" s="109"/>
      <c r="N246" s="36"/>
    </row>
    <row r="247" spans="1:14" s="2" customFormat="1" x14ac:dyDescent="0.35">
      <c r="A247" s="106">
        <f t="shared" si="5"/>
        <v>111</v>
      </c>
      <c r="B247" s="108"/>
      <c r="C247" s="19" t="s">
        <v>219</v>
      </c>
      <c r="D247" s="19">
        <f>44.59*10.764</f>
        <v>479.96676000000002</v>
      </c>
      <c r="E247" s="19">
        <v>0</v>
      </c>
      <c r="F247" s="19">
        <f t="shared" si="4"/>
        <v>767.94681600000013</v>
      </c>
      <c r="G247" s="93"/>
      <c r="H247" s="94"/>
      <c r="I247" s="36"/>
      <c r="L247" s="109"/>
      <c r="M247" s="109"/>
      <c r="N247" s="36"/>
    </row>
    <row r="248" spans="1:14" s="2" customFormat="1" x14ac:dyDescent="0.35">
      <c r="A248" s="106">
        <f t="shared" si="5"/>
        <v>112</v>
      </c>
      <c r="B248" s="108"/>
      <c r="C248" s="19" t="s">
        <v>219</v>
      </c>
      <c r="D248" s="19">
        <f>24.62*10.764</f>
        <v>265.00968</v>
      </c>
      <c r="E248" s="19">
        <v>0</v>
      </c>
      <c r="F248" s="19">
        <f t="shared" si="4"/>
        <v>424.015488</v>
      </c>
      <c r="G248" s="93"/>
      <c r="H248" s="94"/>
      <c r="I248" s="36"/>
      <c r="L248" s="109"/>
      <c r="M248" s="109"/>
      <c r="N248" s="36"/>
    </row>
    <row r="249" spans="1:14" s="2" customFormat="1" x14ac:dyDescent="0.35">
      <c r="A249" s="106">
        <f t="shared" si="5"/>
        <v>113</v>
      </c>
      <c r="B249" s="108"/>
      <c r="C249" s="19" t="s">
        <v>219</v>
      </c>
      <c r="D249" s="19">
        <f>44.59*10.764</f>
        <v>479.96676000000002</v>
      </c>
      <c r="E249" s="19">
        <v>0</v>
      </c>
      <c r="F249" s="19">
        <f t="shared" si="4"/>
        <v>767.94681600000013</v>
      </c>
      <c r="G249" s="93"/>
      <c r="H249" s="94"/>
      <c r="I249" s="36"/>
      <c r="L249" s="109"/>
      <c r="M249" s="109"/>
      <c r="N249" s="36"/>
    </row>
    <row r="250" spans="1:14" s="2" customFormat="1" x14ac:dyDescent="0.35">
      <c r="A250" s="106">
        <f t="shared" si="5"/>
        <v>114</v>
      </c>
      <c r="B250" s="108"/>
      <c r="C250" s="19" t="s">
        <v>219</v>
      </c>
      <c r="D250" s="19">
        <f>45.15*10.764</f>
        <v>485.99459999999993</v>
      </c>
      <c r="E250" s="19">
        <v>0</v>
      </c>
      <c r="F250" s="19">
        <f t="shared" si="4"/>
        <v>777.5913599999999</v>
      </c>
      <c r="G250" s="93"/>
      <c r="H250" s="94"/>
      <c r="I250" s="36"/>
      <c r="L250" s="109"/>
      <c r="M250" s="109"/>
      <c r="N250" s="36"/>
    </row>
    <row r="251" spans="1:14" s="2" customFormat="1" x14ac:dyDescent="0.35">
      <c r="A251" s="106">
        <f t="shared" si="5"/>
        <v>115</v>
      </c>
      <c r="B251" s="108"/>
      <c r="C251" s="19" t="s">
        <v>219</v>
      </c>
      <c r="D251" s="19">
        <f>40.6*10.764</f>
        <v>437.01839999999999</v>
      </c>
      <c r="E251" s="19">
        <v>0</v>
      </c>
      <c r="F251" s="19">
        <f t="shared" si="4"/>
        <v>699.22944000000007</v>
      </c>
      <c r="G251" s="93"/>
      <c r="H251" s="94"/>
      <c r="I251" s="36"/>
      <c r="L251" s="109"/>
      <c r="M251" s="109"/>
      <c r="N251" s="36"/>
    </row>
    <row r="252" spans="1:14" s="2" customFormat="1" x14ac:dyDescent="0.35">
      <c r="A252" s="106">
        <f t="shared" si="5"/>
        <v>116</v>
      </c>
      <c r="B252" s="108"/>
      <c r="C252" s="19" t="s">
        <v>219</v>
      </c>
      <c r="D252" s="19">
        <f>40.51*10.764</f>
        <v>436.04963999999995</v>
      </c>
      <c r="E252" s="19">
        <v>0</v>
      </c>
      <c r="F252" s="19">
        <f t="shared" si="4"/>
        <v>697.67942399999993</v>
      </c>
      <c r="G252" s="93"/>
      <c r="H252" s="94"/>
      <c r="I252" s="36"/>
      <c r="L252" s="109"/>
      <c r="M252" s="109"/>
      <c r="N252" s="36"/>
    </row>
    <row r="253" spans="1:14" s="2" customFormat="1" x14ac:dyDescent="0.35">
      <c r="A253" s="106">
        <f t="shared" si="5"/>
        <v>117</v>
      </c>
      <c r="B253" s="108"/>
      <c r="C253" s="19" t="s">
        <v>219</v>
      </c>
      <c r="D253" s="19">
        <f>45.34*10.764</f>
        <v>488.03976</v>
      </c>
      <c r="E253" s="19">
        <v>0</v>
      </c>
      <c r="F253" s="19">
        <f t="shared" si="4"/>
        <v>780.86361600000009</v>
      </c>
      <c r="G253" s="93"/>
      <c r="H253" s="94"/>
      <c r="I253" s="36"/>
      <c r="L253" s="109"/>
      <c r="M253" s="109"/>
      <c r="N253" s="36"/>
    </row>
    <row r="254" spans="1:14" s="2" customFormat="1" x14ac:dyDescent="0.35">
      <c r="A254" s="106">
        <f t="shared" si="5"/>
        <v>118</v>
      </c>
      <c r="B254" s="108"/>
      <c r="C254" s="19" t="s">
        <v>219</v>
      </c>
      <c r="D254" s="19">
        <f>44.59*10.764</f>
        <v>479.96676000000002</v>
      </c>
      <c r="E254" s="19">
        <v>0</v>
      </c>
      <c r="F254" s="19">
        <f t="shared" si="4"/>
        <v>767.94681600000013</v>
      </c>
      <c r="G254" s="93"/>
      <c r="H254" s="94"/>
      <c r="I254" s="36"/>
      <c r="L254" s="109"/>
      <c r="M254" s="109"/>
      <c r="N254" s="36"/>
    </row>
    <row r="255" spans="1:14" s="2" customFormat="1" x14ac:dyDescent="0.35">
      <c r="A255" s="106">
        <f t="shared" si="5"/>
        <v>119</v>
      </c>
      <c r="B255" s="108"/>
      <c r="C255" s="19" t="s">
        <v>219</v>
      </c>
      <c r="D255" s="19">
        <f>24.62*10.764</f>
        <v>265.00968</v>
      </c>
      <c r="E255" s="19">
        <v>0</v>
      </c>
      <c r="F255" s="19">
        <f t="shared" si="4"/>
        <v>424.015488</v>
      </c>
      <c r="G255" s="93"/>
      <c r="H255" s="94"/>
      <c r="I255" s="36"/>
      <c r="L255" s="109"/>
      <c r="M255" s="109"/>
      <c r="N255" s="36"/>
    </row>
    <row r="256" spans="1:14" s="2" customFormat="1" x14ac:dyDescent="0.35">
      <c r="A256" s="106">
        <f t="shared" si="5"/>
        <v>120</v>
      </c>
      <c r="B256" s="108"/>
      <c r="C256" s="19" t="s">
        <v>219</v>
      </c>
      <c r="D256" s="19">
        <f>24.62*10.764</f>
        <v>265.00968</v>
      </c>
      <c r="E256" s="19">
        <v>0</v>
      </c>
      <c r="F256" s="19">
        <f t="shared" si="4"/>
        <v>424.015488</v>
      </c>
      <c r="G256" s="93"/>
      <c r="H256" s="94"/>
      <c r="I256" s="36"/>
      <c r="L256" s="109"/>
      <c r="M256" s="109"/>
      <c r="N256" s="36"/>
    </row>
    <row r="257" spans="1:14" s="2" customFormat="1" x14ac:dyDescent="0.35">
      <c r="A257" s="106">
        <f t="shared" si="5"/>
        <v>121</v>
      </c>
      <c r="B257" s="108"/>
      <c r="C257" s="19" t="s">
        <v>219</v>
      </c>
      <c r="D257" s="19">
        <f>44.59*10.764</f>
        <v>479.96676000000002</v>
      </c>
      <c r="E257" s="19">
        <v>0</v>
      </c>
      <c r="F257" s="19">
        <f t="shared" si="4"/>
        <v>767.94681600000013</v>
      </c>
      <c r="G257" s="93"/>
      <c r="H257" s="94"/>
      <c r="I257" s="36"/>
      <c r="L257" s="109"/>
      <c r="M257" s="109"/>
      <c r="N257" s="36"/>
    </row>
    <row r="258" spans="1:14" s="2" customFormat="1" x14ac:dyDescent="0.35">
      <c r="A258" s="106">
        <f t="shared" si="5"/>
        <v>122</v>
      </c>
      <c r="B258" s="108"/>
      <c r="C258" s="19" t="s">
        <v>219</v>
      </c>
      <c r="D258" s="19">
        <f>45.15*10.764</f>
        <v>485.99459999999993</v>
      </c>
      <c r="E258" s="19">
        <v>0</v>
      </c>
      <c r="F258" s="19">
        <f t="shared" si="4"/>
        <v>777.5913599999999</v>
      </c>
      <c r="G258" s="93"/>
      <c r="H258" s="94"/>
      <c r="I258" s="36"/>
      <c r="L258" s="109"/>
      <c r="M258" s="109"/>
      <c r="N258" s="36"/>
    </row>
    <row r="259" spans="1:14" s="2" customFormat="1" x14ac:dyDescent="0.35">
      <c r="A259" s="106">
        <f t="shared" si="5"/>
        <v>123</v>
      </c>
      <c r="B259" s="108"/>
      <c r="C259" s="19" t="s">
        <v>219</v>
      </c>
      <c r="D259" s="19">
        <f>40.6*10.764</f>
        <v>437.01839999999999</v>
      </c>
      <c r="E259" s="19">
        <v>0</v>
      </c>
      <c r="F259" s="19">
        <f t="shared" si="4"/>
        <v>699.22944000000007</v>
      </c>
      <c r="G259" s="95"/>
      <c r="H259" s="96"/>
      <c r="I259" s="36"/>
      <c r="L259" s="109"/>
      <c r="M259" s="109"/>
      <c r="N259" s="36"/>
    </row>
    <row r="260" spans="1:14" s="2" customFormat="1" x14ac:dyDescent="0.35">
      <c r="A260" s="102" t="s">
        <v>267</v>
      </c>
      <c r="B260" s="102"/>
      <c r="C260" s="102"/>
      <c r="D260" s="102"/>
      <c r="E260" s="102"/>
      <c r="F260" s="102"/>
      <c r="G260" s="102"/>
      <c r="H260" s="102"/>
    </row>
    <row r="261" spans="1:14" s="2" customFormat="1" x14ac:dyDescent="0.35">
      <c r="A261" s="102" t="s">
        <v>280</v>
      </c>
      <c r="B261" s="102"/>
      <c r="C261" s="102"/>
      <c r="D261" s="102"/>
      <c r="E261" s="102"/>
      <c r="F261" s="102"/>
      <c r="G261" s="102"/>
      <c r="H261" s="102"/>
    </row>
    <row r="262" spans="1:14" s="2" customFormat="1" x14ac:dyDescent="0.35">
      <c r="A262" s="102" t="s">
        <v>211</v>
      </c>
      <c r="B262" s="102"/>
      <c r="C262" s="102"/>
      <c r="D262" s="102"/>
      <c r="E262" s="102"/>
      <c r="F262" s="102"/>
      <c r="G262" s="102"/>
      <c r="H262" s="102"/>
    </row>
    <row r="263" spans="1:14" s="2" customFormat="1" ht="15.75" customHeight="1" x14ac:dyDescent="0.35">
      <c r="A263" s="90">
        <v>13</v>
      </c>
      <c r="B263" s="90"/>
      <c r="C263" s="68" t="s">
        <v>210</v>
      </c>
      <c r="D263" s="68">
        <f>(3.15*7.46+1.5*3.15)*10.764</f>
        <v>303.80313599999994</v>
      </c>
      <c r="E263" s="68">
        <v>0</v>
      </c>
      <c r="F263" s="68">
        <f t="shared" ref="F263:F264" si="6">D263*(($F$209)+1)+E263</f>
        <v>486.0850175999999</v>
      </c>
      <c r="G263" s="90" t="str">
        <f>A262</f>
        <v>Ground Floor For Commercial &amp; Parking</v>
      </c>
      <c r="H263" s="90"/>
      <c r="I263" s="36"/>
      <c r="L263" s="109"/>
      <c r="M263" s="109"/>
      <c r="N263" s="36"/>
    </row>
    <row r="264" spans="1:14" s="2" customFormat="1" ht="15.75" customHeight="1" x14ac:dyDescent="0.35">
      <c r="A264" s="90">
        <f>A263+1</f>
        <v>14</v>
      </c>
      <c r="B264" s="90"/>
      <c r="C264" s="68" t="s">
        <v>210</v>
      </c>
      <c r="D264" s="68">
        <f>(3.15*6.12)*10.764</f>
        <v>207.50839199999999</v>
      </c>
      <c r="E264" s="68">
        <v>0</v>
      </c>
      <c r="F264" s="68">
        <f t="shared" si="6"/>
        <v>332.01342720000002</v>
      </c>
      <c r="G264" s="90"/>
      <c r="H264" s="90"/>
      <c r="I264" s="36"/>
      <c r="L264" s="109"/>
      <c r="M264" s="109"/>
      <c r="N264" s="36"/>
    </row>
    <row r="265" spans="1:14" s="2" customFormat="1" ht="15.75" customHeight="1" x14ac:dyDescent="0.35">
      <c r="A265" s="90">
        <v>15</v>
      </c>
      <c r="B265" s="90"/>
      <c r="C265" s="68" t="s">
        <v>210</v>
      </c>
      <c r="D265" s="68">
        <f>(158.76+13.78*1.5+9.11*1.5)*10.764</f>
        <v>2078.4745799999996</v>
      </c>
      <c r="E265" s="68">
        <v>0</v>
      </c>
      <c r="F265" s="68">
        <f t="shared" ref="F265:F287" si="7">D265*(($F$209)+1)+E265</f>
        <v>3325.5593279999994</v>
      </c>
      <c r="G265" s="90"/>
      <c r="H265" s="90"/>
      <c r="I265" s="36"/>
      <c r="L265" s="109"/>
      <c r="M265" s="109"/>
      <c r="N265" s="36"/>
    </row>
    <row r="266" spans="1:14" s="2" customFormat="1" ht="15.75" customHeight="1" x14ac:dyDescent="0.35">
      <c r="A266" s="90">
        <f>A265+1</f>
        <v>16</v>
      </c>
      <c r="B266" s="90"/>
      <c r="C266" s="68" t="s">
        <v>210</v>
      </c>
      <c r="D266" s="68">
        <f>(2.86*4.5+1.5*2.86)*10.764</f>
        <v>184.71024</v>
      </c>
      <c r="E266" s="68">
        <v>0</v>
      </c>
      <c r="F266" s="68">
        <f t="shared" si="7"/>
        <v>295.536384</v>
      </c>
      <c r="G266" s="90"/>
      <c r="H266" s="90"/>
      <c r="I266" s="36"/>
      <c r="L266" s="109"/>
      <c r="M266" s="109"/>
      <c r="N266" s="36"/>
    </row>
    <row r="267" spans="1:14" s="2" customFormat="1" ht="15.75" customHeight="1" x14ac:dyDescent="0.35">
      <c r="A267" s="90">
        <f t="shared" ref="A267:A275" si="8">A266+1</f>
        <v>17</v>
      </c>
      <c r="B267" s="90"/>
      <c r="C267" s="68" t="s">
        <v>210</v>
      </c>
      <c r="D267" s="68">
        <f>(2.86*5.03)*10.764</f>
        <v>154.84875119999998</v>
      </c>
      <c r="E267" s="68">
        <v>0</v>
      </c>
      <c r="F267" s="68">
        <f t="shared" si="7"/>
        <v>247.75800191999997</v>
      </c>
      <c r="G267" s="90"/>
      <c r="H267" s="90"/>
      <c r="I267" s="36">
        <f>5.28*7.5</f>
        <v>39.6</v>
      </c>
      <c r="J267" s="2">
        <f>1.5*5.28</f>
        <v>7.92</v>
      </c>
      <c r="L267" s="109"/>
      <c r="M267" s="109"/>
      <c r="N267" s="36"/>
    </row>
    <row r="268" spans="1:14" s="2" customFormat="1" ht="15.75" customHeight="1" x14ac:dyDescent="0.35">
      <c r="A268" s="90">
        <f t="shared" si="8"/>
        <v>18</v>
      </c>
      <c r="B268" s="90"/>
      <c r="C268" s="68" t="s">
        <v>210</v>
      </c>
      <c r="D268" s="68">
        <f>(2.86*4.5+1.5*2.86)*10.764</f>
        <v>184.71024</v>
      </c>
      <c r="E268" s="68">
        <v>0</v>
      </c>
      <c r="F268" s="68">
        <f t="shared" si="7"/>
        <v>295.536384</v>
      </c>
      <c r="G268" s="90"/>
      <c r="H268" s="90"/>
      <c r="I268" s="36"/>
      <c r="L268" s="109"/>
      <c r="M268" s="109"/>
      <c r="N268" s="36"/>
    </row>
    <row r="269" spans="1:14" s="2" customFormat="1" ht="15.75" customHeight="1" x14ac:dyDescent="0.35">
      <c r="A269" s="90">
        <f t="shared" si="8"/>
        <v>19</v>
      </c>
      <c r="B269" s="90"/>
      <c r="C269" s="68" t="s">
        <v>210</v>
      </c>
      <c r="D269" s="68">
        <f>(2.86*5.28)*10.764</f>
        <v>162.54501119999998</v>
      </c>
      <c r="E269" s="68">
        <v>0</v>
      </c>
      <c r="F269" s="68">
        <f t="shared" si="7"/>
        <v>260.07201791999995</v>
      </c>
      <c r="G269" s="90"/>
      <c r="H269" s="90"/>
      <c r="I269" s="36"/>
      <c r="L269" s="109"/>
      <c r="M269" s="109"/>
      <c r="N269" s="36"/>
    </row>
    <row r="270" spans="1:14" s="2" customFormat="1" ht="15.75" customHeight="1" x14ac:dyDescent="0.35">
      <c r="A270" s="90">
        <f t="shared" si="8"/>
        <v>20</v>
      </c>
      <c r="B270" s="90"/>
      <c r="C270" s="68" t="s">
        <v>210</v>
      </c>
      <c r="D270" s="68">
        <f>(2.86*4.5+1.5*2.86)*10.764</f>
        <v>184.71024</v>
      </c>
      <c r="E270" s="68">
        <v>0</v>
      </c>
      <c r="F270" s="68">
        <f t="shared" si="7"/>
        <v>295.536384</v>
      </c>
      <c r="G270" s="90"/>
      <c r="H270" s="90"/>
      <c r="I270" s="36"/>
      <c r="L270" s="109"/>
      <c r="M270" s="109"/>
      <c r="N270" s="36"/>
    </row>
    <row r="271" spans="1:14" s="2" customFormat="1" ht="15.75" customHeight="1" x14ac:dyDescent="0.35">
      <c r="A271" s="90">
        <f t="shared" si="8"/>
        <v>21</v>
      </c>
      <c r="B271" s="90"/>
      <c r="C271" s="68" t="s">
        <v>210</v>
      </c>
      <c r="D271" s="68">
        <f>(2.86*5.28)*10.764</f>
        <v>162.54501119999998</v>
      </c>
      <c r="E271" s="68">
        <v>0</v>
      </c>
      <c r="F271" s="68">
        <f t="shared" si="7"/>
        <v>260.07201791999995</v>
      </c>
      <c r="G271" s="90"/>
      <c r="H271" s="90"/>
      <c r="I271" s="36"/>
      <c r="L271" s="109"/>
      <c r="M271" s="109"/>
      <c r="N271" s="36"/>
    </row>
    <row r="272" spans="1:14" s="2" customFormat="1" x14ac:dyDescent="0.35">
      <c r="A272" s="90">
        <f t="shared" si="8"/>
        <v>22</v>
      </c>
      <c r="B272" s="90"/>
      <c r="C272" s="68" t="s">
        <v>210</v>
      </c>
      <c r="D272" s="68">
        <f>(2.86*4.5+1.5*2.86)*10.764</f>
        <v>184.71024</v>
      </c>
      <c r="E272" s="68">
        <v>0</v>
      </c>
      <c r="F272" s="68">
        <f t="shared" si="7"/>
        <v>295.536384</v>
      </c>
      <c r="G272" s="90"/>
      <c r="H272" s="90"/>
      <c r="I272" s="36"/>
      <c r="L272" s="109"/>
      <c r="M272" s="109"/>
      <c r="N272" s="36"/>
    </row>
    <row r="273" spans="1:14" s="2" customFormat="1" x14ac:dyDescent="0.35">
      <c r="A273" s="90">
        <f t="shared" si="8"/>
        <v>23</v>
      </c>
      <c r="B273" s="90"/>
      <c r="C273" s="68" t="s">
        <v>210</v>
      </c>
      <c r="D273" s="68">
        <f>(2.86*5.28)*10.764</f>
        <v>162.54501119999998</v>
      </c>
      <c r="E273" s="68">
        <v>0</v>
      </c>
      <c r="F273" s="68">
        <f t="shared" si="7"/>
        <v>260.07201791999995</v>
      </c>
      <c r="G273" s="90"/>
      <c r="H273" s="90"/>
      <c r="I273" s="36"/>
      <c r="L273" s="109"/>
      <c r="M273" s="109"/>
      <c r="N273" s="36"/>
    </row>
    <row r="274" spans="1:14" s="2" customFormat="1" x14ac:dyDescent="0.35">
      <c r="A274" s="90">
        <f t="shared" si="8"/>
        <v>24</v>
      </c>
      <c r="B274" s="90"/>
      <c r="C274" s="68" t="s">
        <v>210</v>
      </c>
      <c r="D274" s="68">
        <f>(2.86*4.5+1.5*2.86)*10.764</f>
        <v>184.71024</v>
      </c>
      <c r="E274" s="68">
        <v>0</v>
      </c>
      <c r="F274" s="68">
        <f t="shared" si="7"/>
        <v>295.536384</v>
      </c>
      <c r="G274" s="90"/>
      <c r="H274" s="90"/>
      <c r="I274" s="36"/>
      <c r="L274" s="109"/>
      <c r="M274" s="109"/>
      <c r="N274" s="36"/>
    </row>
    <row r="275" spans="1:14" s="2" customFormat="1" x14ac:dyDescent="0.35">
      <c r="A275" s="90">
        <f t="shared" si="8"/>
        <v>25</v>
      </c>
      <c r="B275" s="90"/>
      <c r="C275" s="68" t="s">
        <v>210</v>
      </c>
      <c r="D275" s="68">
        <f>(2.86*5.28)*10.764</f>
        <v>162.54501119999998</v>
      </c>
      <c r="E275" s="68">
        <v>0</v>
      </c>
      <c r="F275" s="68">
        <f t="shared" si="7"/>
        <v>260.07201791999995</v>
      </c>
      <c r="G275" s="90"/>
      <c r="H275" s="90"/>
      <c r="I275" s="36"/>
      <c r="L275" s="109"/>
      <c r="M275" s="109"/>
      <c r="N275" s="36"/>
    </row>
    <row r="276" spans="1:14" s="2" customFormat="1" x14ac:dyDescent="0.35">
      <c r="A276" s="90">
        <f t="shared" ref="A276:A288" si="9">A275+1</f>
        <v>26</v>
      </c>
      <c r="B276" s="90"/>
      <c r="C276" s="68" t="s">
        <v>210</v>
      </c>
      <c r="D276" s="68">
        <f>(3.67*4.5+1.5*3.67)*10.764</f>
        <v>237.02327999999997</v>
      </c>
      <c r="E276" s="68">
        <v>0</v>
      </c>
      <c r="F276" s="68">
        <f t="shared" si="7"/>
        <v>379.23724799999997</v>
      </c>
      <c r="G276" s="90"/>
      <c r="H276" s="90"/>
      <c r="I276" s="36"/>
      <c r="L276" s="109"/>
      <c r="M276" s="109"/>
      <c r="N276" s="36"/>
    </row>
    <row r="277" spans="1:14" s="2" customFormat="1" x14ac:dyDescent="0.35">
      <c r="A277" s="90">
        <f t="shared" si="9"/>
        <v>27</v>
      </c>
      <c r="B277" s="90"/>
      <c r="C277" s="68" t="s">
        <v>210</v>
      </c>
      <c r="D277" s="68">
        <f>(4.62*5.27)*10.764</f>
        <v>262.07541359999993</v>
      </c>
      <c r="E277" s="68">
        <v>0</v>
      </c>
      <c r="F277" s="68">
        <f t="shared" si="7"/>
        <v>419.32066175999989</v>
      </c>
      <c r="G277" s="90"/>
      <c r="H277" s="90"/>
      <c r="I277" s="36"/>
      <c r="L277" s="109"/>
      <c r="M277" s="109"/>
      <c r="N277" s="36"/>
    </row>
    <row r="278" spans="1:14" s="2" customFormat="1" x14ac:dyDescent="0.35">
      <c r="A278" s="90">
        <f t="shared" si="9"/>
        <v>28</v>
      </c>
      <c r="B278" s="90"/>
      <c r="C278" s="68" t="s">
        <v>210</v>
      </c>
      <c r="D278" s="68">
        <f>(3.06*4.5+3.06*1.5)*10.764</f>
        <v>197.62703999999999</v>
      </c>
      <c r="E278" s="68">
        <v>0</v>
      </c>
      <c r="F278" s="68">
        <f t="shared" si="7"/>
        <v>316.20326399999999</v>
      </c>
      <c r="G278" s="90"/>
      <c r="H278" s="90"/>
      <c r="I278" s="36"/>
      <c r="L278" s="109"/>
      <c r="M278" s="109"/>
      <c r="N278" s="36"/>
    </row>
    <row r="279" spans="1:14" s="2" customFormat="1" x14ac:dyDescent="0.35">
      <c r="A279" s="90">
        <f t="shared" si="9"/>
        <v>29</v>
      </c>
      <c r="B279" s="90"/>
      <c r="C279" s="68" t="s">
        <v>210</v>
      </c>
      <c r="D279" s="68">
        <f>(37.68)*10.764</f>
        <v>405.58751999999998</v>
      </c>
      <c r="E279" s="68">
        <v>0</v>
      </c>
      <c r="F279" s="68">
        <f t="shared" si="7"/>
        <v>648.94003199999997</v>
      </c>
      <c r="G279" s="90"/>
      <c r="H279" s="90"/>
      <c r="I279" s="36"/>
      <c r="L279" s="109"/>
      <c r="M279" s="109"/>
      <c r="N279" s="36"/>
    </row>
    <row r="280" spans="1:14" s="2" customFormat="1" x14ac:dyDescent="0.35">
      <c r="A280" s="90">
        <f t="shared" si="9"/>
        <v>30</v>
      </c>
      <c r="B280" s="90"/>
      <c r="C280" s="68" t="s">
        <v>210</v>
      </c>
      <c r="D280" s="68">
        <f>(11.99)*10.764</f>
        <v>129.06036</v>
      </c>
      <c r="E280" s="68">
        <v>0</v>
      </c>
      <c r="F280" s="68">
        <f t="shared" si="7"/>
        <v>206.496576</v>
      </c>
      <c r="G280" s="90"/>
      <c r="H280" s="90"/>
      <c r="I280" s="36"/>
      <c r="L280" s="109"/>
      <c r="M280" s="109"/>
      <c r="N280" s="36"/>
    </row>
    <row r="281" spans="1:14" s="2" customFormat="1" x14ac:dyDescent="0.35">
      <c r="A281" s="90">
        <f t="shared" si="9"/>
        <v>31</v>
      </c>
      <c r="B281" s="90"/>
      <c r="C281" s="68" t="s">
        <v>210</v>
      </c>
      <c r="D281" s="68">
        <f>(7.5)*10.764</f>
        <v>80.72999999999999</v>
      </c>
      <c r="E281" s="68">
        <v>0</v>
      </c>
      <c r="F281" s="68">
        <f t="shared" si="7"/>
        <v>129.16799999999998</v>
      </c>
      <c r="G281" s="90"/>
      <c r="H281" s="90"/>
      <c r="I281" s="36"/>
      <c r="L281" s="109"/>
      <c r="M281" s="109"/>
      <c r="N281" s="36"/>
    </row>
    <row r="282" spans="1:14" s="2" customFormat="1" x14ac:dyDescent="0.35">
      <c r="A282" s="90">
        <f t="shared" si="9"/>
        <v>32</v>
      </c>
      <c r="B282" s="90"/>
      <c r="C282" s="68" t="s">
        <v>210</v>
      </c>
      <c r="D282" s="68">
        <f>(2.12*5.41)*10.764</f>
        <v>123.4544688</v>
      </c>
      <c r="E282" s="68">
        <v>0</v>
      </c>
      <c r="F282" s="68">
        <f t="shared" si="7"/>
        <v>197.52715008000001</v>
      </c>
      <c r="G282" s="90"/>
      <c r="H282" s="90"/>
      <c r="I282" s="36"/>
      <c r="L282" s="109"/>
      <c r="M282" s="109"/>
      <c r="N282" s="36"/>
    </row>
    <row r="283" spans="1:14" s="2" customFormat="1" x14ac:dyDescent="0.35">
      <c r="A283" s="90">
        <f t="shared" si="9"/>
        <v>33</v>
      </c>
      <c r="B283" s="90"/>
      <c r="C283" s="68" t="s">
        <v>210</v>
      </c>
      <c r="D283" s="68">
        <f>(2.55*7.5)*10.764</f>
        <v>205.86149999999998</v>
      </c>
      <c r="E283" s="68">
        <v>0</v>
      </c>
      <c r="F283" s="68">
        <f t="shared" si="7"/>
        <v>329.3784</v>
      </c>
      <c r="G283" s="90"/>
      <c r="H283" s="90"/>
      <c r="I283" s="36"/>
      <c r="L283" s="109"/>
      <c r="M283" s="109"/>
      <c r="N283" s="36"/>
    </row>
    <row r="284" spans="1:14" s="2" customFormat="1" x14ac:dyDescent="0.35">
      <c r="A284" s="90">
        <f t="shared" si="9"/>
        <v>34</v>
      </c>
      <c r="B284" s="90"/>
      <c r="C284" s="68" t="s">
        <v>210</v>
      </c>
      <c r="D284" s="68">
        <f>(2.55*7.5)*10.764</f>
        <v>205.86149999999998</v>
      </c>
      <c r="E284" s="68">
        <v>0</v>
      </c>
      <c r="F284" s="68">
        <f t="shared" si="7"/>
        <v>329.3784</v>
      </c>
      <c r="G284" s="90"/>
      <c r="H284" s="90"/>
      <c r="I284" s="36"/>
      <c r="L284" s="109"/>
      <c r="M284" s="109"/>
      <c r="N284" s="36"/>
    </row>
    <row r="285" spans="1:14" s="2" customFormat="1" x14ac:dyDescent="0.35">
      <c r="A285" s="90">
        <f t="shared" si="9"/>
        <v>35</v>
      </c>
      <c r="B285" s="90"/>
      <c r="C285" s="68" t="s">
        <v>210</v>
      </c>
      <c r="D285" s="68">
        <f>(2.86*7.5)*10.764</f>
        <v>230.88779999999997</v>
      </c>
      <c r="E285" s="68">
        <v>0</v>
      </c>
      <c r="F285" s="68">
        <f t="shared" si="7"/>
        <v>369.42048</v>
      </c>
      <c r="G285" s="90"/>
      <c r="H285" s="90"/>
      <c r="I285" s="36"/>
      <c r="L285" s="109"/>
      <c r="M285" s="109"/>
      <c r="N285" s="36"/>
    </row>
    <row r="286" spans="1:14" s="2" customFormat="1" x14ac:dyDescent="0.35">
      <c r="A286" s="90">
        <f t="shared" si="9"/>
        <v>36</v>
      </c>
      <c r="B286" s="90"/>
      <c r="C286" s="68" t="s">
        <v>210</v>
      </c>
      <c r="D286" s="68">
        <f>(2.98*7.5)*10.764</f>
        <v>240.5754</v>
      </c>
      <c r="E286" s="68">
        <v>0</v>
      </c>
      <c r="F286" s="68">
        <f t="shared" si="7"/>
        <v>384.92064000000005</v>
      </c>
      <c r="G286" s="90"/>
      <c r="H286" s="90"/>
      <c r="I286" s="36"/>
      <c r="L286" s="109"/>
      <c r="M286" s="109"/>
      <c r="N286" s="36"/>
    </row>
    <row r="287" spans="1:14" s="2" customFormat="1" x14ac:dyDescent="0.35">
      <c r="A287" s="90">
        <f t="shared" si="9"/>
        <v>37</v>
      </c>
      <c r="B287" s="90"/>
      <c r="C287" s="68" t="s">
        <v>210</v>
      </c>
      <c r="D287" s="68">
        <f>(5.12*3.28)*10.764</f>
        <v>180.76631039999995</v>
      </c>
      <c r="E287" s="68">
        <v>0</v>
      </c>
      <c r="F287" s="68">
        <f t="shared" si="7"/>
        <v>289.22609663999992</v>
      </c>
      <c r="G287" s="90"/>
      <c r="H287" s="90"/>
      <c r="I287" s="36"/>
      <c r="L287" s="109"/>
      <c r="M287" s="109"/>
      <c r="N287" s="36"/>
    </row>
    <row r="288" spans="1:14" s="2" customFormat="1" x14ac:dyDescent="0.35">
      <c r="A288" s="90">
        <f t="shared" si="9"/>
        <v>38</v>
      </c>
      <c r="B288" s="90"/>
      <c r="C288" s="68" t="s">
        <v>210</v>
      </c>
      <c r="D288" s="68">
        <f>(647.48+12*1.5)*10.764</f>
        <v>7163.2267199999997</v>
      </c>
      <c r="E288" s="68">
        <v>0</v>
      </c>
      <c r="F288" s="68">
        <f t="shared" ref="F288" si="10">D288*(($F$209)+1)+E288</f>
        <v>11461.162752</v>
      </c>
      <c r="G288" s="90"/>
      <c r="H288" s="90"/>
      <c r="I288" s="36"/>
      <c r="L288" s="109"/>
      <c r="M288" s="109"/>
      <c r="N288" s="36"/>
    </row>
    <row r="289" spans="1:14" s="2" customFormat="1" x14ac:dyDescent="0.35">
      <c r="A289" s="103" t="s">
        <v>229</v>
      </c>
      <c r="B289" s="104"/>
      <c r="C289" s="104"/>
      <c r="D289" s="104"/>
      <c r="E289" s="104"/>
      <c r="F289" s="104"/>
      <c r="G289" s="104"/>
      <c r="H289" s="105"/>
    </row>
    <row r="290" spans="1:14" s="2" customFormat="1" ht="15.75" customHeight="1" x14ac:dyDescent="0.35">
      <c r="A290" s="106" t="s">
        <v>227</v>
      </c>
      <c r="B290" s="108"/>
      <c r="C290" s="19" t="s">
        <v>210</v>
      </c>
      <c r="D290" s="19">
        <f>1482*10.764</f>
        <v>15952.248</v>
      </c>
      <c r="E290" s="19">
        <v>0</v>
      </c>
      <c r="F290" s="19">
        <f t="shared" ref="F290" si="11">D290*(($F$209)+1)+E290</f>
        <v>25523.596799999999</v>
      </c>
      <c r="G290" s="91" t="str">
        <f>A289</f>
        <v>1st Floor For Commercial</v>
      </c>
      <c r="H290" s="92"/>
      <c r="I290" s="36"/>
      <c r="L290" s="109"/>
      <c r="M290" s="109"/>
      <c r="N290" s="36"/>
    </row>
    <row r="291" spans="1:14" s="2" customFormat="1" x14ac:dyDescent="0.35">
      <c r="A291" s="103" t="s">
        <v>228</v>
      </c>
      <c r="B291" s="104"/>
      <c r="C291" s="104"/>
      <c r="D291" s="104"/>
      <c r="E291" s="104"/>
      <c r="F291" s="104"/>
      <c r="G291" s="104"/>
      <c r="H291" s="105"/>
    </row>
    <row r="292" spans="1:14" s="2" customFormat="1" ht="15.75" customHeight="1" x14ac:dyDescent="0.35">
      <c r="A292" s="90">
        <v>201</v>
      </c>
      <c r="B292" s="90"/>
      <c r="C292" s="68" t="s">
        <v>210</v>
      </c>
      <c r="D292" s="68">
        <f>(4.8*7.46)*10.764</f>
        <v>385.43731199999996</v>
      </c>
      <c r="E292" s="68">
        <v>0</v>
      </c>
      <c r="F292" s="68">
        <f t="shared" ref="F292:F317" si="12">D292*(($F$209)+1)+E292</f>
        <v>616.69969919999994</v>
      </c>
      <c r="G292" s="90" t="str">
        <f>A291</f>
        <v>2nd Floor For Commercial</v>
      </c>
      <c r="H292" s="90"/>
      <c r="I292" s="36"/>
      <c r="L292" s="109"/>
      <c r="M292" s="109"/>
      <c r="N292" s="36"/>
    </row>
    <row r="293" spans="1:14" s="2" customFormat="1" ht="15.75" customHeight="1" x14ac:dyDescent="0.35">
      <c r="A293" s="90">
        <f>A292+1</f>
        <v>202</v>
      </c>
      <c r="B293" s="90"/>
      <c r="C293" s="68" t="s">
        <v>210</v>
      </c>
      <c r="D293" s="68">
        <f>(4.8*7.47)*10.764</f>
        <v>385.95398399999993</v>
      </c>
      <c r="E293" s="68">
        <v>0</v>
      </c>
      <c r="F293" s="68">
        <f t="shared" si="12"/>
        <v>617.5263743999999</v>
      </c>
      <c r="G293" s="90"/>
      <c r="H293" s="90"/>
      <c r="I293" s="36"/>
      <c r="L293" s="109"/>
      <c r="M293" s="109"/>
      <c r="N293" s="36"/>
    </row>
    <row r="294" spans="1:14" s="2" customFormat="1" ht="15.75" customHeight="1" x14ac:dyDescent="0.35">
      <c r="A294" s="90">
        <f t="shared" ref="A294:A301" si="13">A293+1</f>
        <v>203</v>
      </c>
      <c r="B294" s="90"/>
      <c r="C294" s="68" t="s">
        <v>210</v>
      </c>
      <c r="D294" s="68">
        <f>(3.15*7.48)*10.764</f>
        <v>253.62136799999999</v>
      </c>
      <c r="E294" s="68">
        <v>0</v>
      </c>
      <c r="F294" s="68">
        <f t="shared" si="12"/>
        <v>405.79418880000003</v>
      </c>
      <c r="G294" s="90"/>
      <c r="H294" s="90"/>
      <c r="I294" s="36"/>
      <c r="L294" s="109"/>
      <c r="M294" s="109"/>
      <c r="N294" s="36"/>
    </row>
    <row r="295" spans="1:14" s="2" customFormat="1" ht="15.75" customHeight="1" x14ac:dyDescent="0.35">
      <c r="A295" s="90">
        <f t="shared" si="13"/>
        <v>204</v>
      </c>
      <c r="B295" s="90"/>
      <c r="C295" s="68" t="s">
        <v>210</v>
      </c>
      <c r="D295" s="68">
        <f>(3.15*7.46)*10.764</f>
        <v>252.94323599999998</v>
      </c>
      <c r="E295" s="68">
        <v>0</v>
      </c>
      <c r="F295" s="68">
        <f t="shared" si="12"/>
        <v>404.70917759999998</v>
      </c>
      <c r="G295" s="90"/>
      <c r="H295" s="90"/>
      <c r="I295" s="36"/>
      <c r="L295" s="109"/>
      <c r="M295" s="109"/>
      <c r="N295" s="36"/>
    </row>
    <row r="296" spans="1:14" s="2" customFormat="1" ht="15.75" customHeight="1" x14ac:dyDescent="0.35">
      <c r="A296" s="90">
        <f t="shared" si="13"/>
        <v>205</v>
      </c>
      <c r="B296" s="90"/>
      <c r="C296" s="68" t="s">
        <v>210</v>
      </c>
      <c r="D296" s="68">
        <f>(3.15*7.47)*10.764</f>
        <v>253.28230199999999</v>
      </c>
      <c r="E296" s="68">
        <v>0</v>
      </c>
      <c r="F296" s="68">
        <f t="shared" si="12"/>
        <v>405.2516832</v>
      </c>
      <c r="G296" s="90"/>
      <c r="H296" s="90"/>
      <c r="I296" s="36">
        <f>5.28*7.5</f>
        <v>39.6</v>
      </c>
      <c r="J296" s="2">
        <f>1.5*5.28</f>
        <v>7.92</v>
      </c>
      <c r="L296" s="109"/>
      <c r="M296" s="109"/>
      <c r="N296" s="36"/>
    </row>
    <row r="297" spans="1:14" s="2" customFormat="1" ht="15.75" customHeight="1" x14ac:dyDescent="0.35">
      <c r="A297" s="90">
        <f t="shared" si="13"/>
        <v>206</v>
      </c>
      <c r="B297" s="90"/>
      <c r="C297" s="68" t="s">
        <v>210</v>
      </c>
      <c r="D297" s="68">
        <f>(3.15*7.47)*10.764</f>
        <v>253.28230199999999</v>
      </c>
      <c r="E297" s="68">
        <v>0</v>
      </c>
      <c r="F297" s="68">
        <f t="shared" si="12"/>
        <v>405.2516832</v>
      </c>
      <c r="G297" s="90"/>
      <c r="H297" s="90"/>
      <c r="I297" s="36"/>
      <c r="L297" s="109"/>
      <c r="M297" s="109"/>
      <c r="N297" s="36"/>
    </row>
    <row r="298" spans="1:14" s="2" customFormat="1" ht="15.75" customHeight="1" x14ac:dyDescent="0.35">
      <c r="A298" s="90">
        <f t="shared" si="13"/>
        <v>207</v>
      </c>
      <c r="B298" s="90"/>
      <c r="C298" s="68" t="s">
        <v>210</v>
      </c>
      <c r="D298" s="68">
        <f>(3.14*7.46)*10.764</f>
        <v>252.1402416</v>
      </c>
      <c r="E298" s="68">
        <v>0</v>
      </c>
      <c r="F298" s="68">
        <f t="shared" si="12"/>
        <v>403.42438656000002</v>
      </c>
      <c r="G298" s="90"/>
      <c r="H298" s="90"/>
      <c r="I298" s="36"/>
      <c r="L298" s="109"/>
      <c r="M298" s="109"/>
      <c r="N298" s="36"/>
    </row>
    <row r="299" spans="1:14" s="2" customFormat="1" ht="15.75" customHeight="1" x14ac:dyDescent="0.35">
      <c r="A299" s="90">
        <f t="shared" si="13"/>
        <v>208</v>
      </c>
      <c r="B299" s="90"/>
      <c r="C299" s="68" t="s">
        <v>210</v>
      </c>
      <c r="D299" s="68">
        <f>(3.14*7.47)*10.764</f>
        <v>252.47823119999998</v>
      </c>
      <c r="E299" s="68">
        <v>0</v>
      </c>
      <c r="F299" s="68">
        <f t="shared" si="12"/>
        <v>403.96516991999999</v>
      </c>
      <c r="G299" s="90"/>
      <c r="H299" s="90"/>
      <c r="I299" s="36"/>
      <c r="L299" s="109"/>
      <c r="M299" s="109"/>
      <c r="N299" s="36"/>
    </row>
    <row r="300" spans="1:14" s="2" customFormat="1" ht="15.75" customHeight="1" x14ac:dyDescent="0.35">
      <c r="A300" s="90">
        <f t="shared" si="13"/>
        <v>209</v>
      </c>
      <c r="B300" s="90"/>
      <c r="C300" s="68" t="s">
        <v>210</v>
      </c>
      <c r="D300" s="68">
        <f>(3.14*7.46)*10.764</f>
        <v>252.1402416</v>
      </c>
      <c r="E300" s="68">
        <v>0</v>
      </c>
      <c r="F300" s="68">
        <f t="shared" si="12"/>
        <v>403.42438656000002</v>
      </c>
      <c r="G300" s="90"/>
      <c r="H300" s="90"/>
      <c r="I300" s="36"/>
      <c r="L300" s="109"/>
      <c r="M300" s="109"/>
      <c r="N300" s="36"/>
    </row>
    <row r="301" spans="1:14" s="2" customFormat="1" x14ac:dyDescent="0.35">
      <c r="A301" s="90">
        <f t="shared" si="13"/>
        <v>210</v>
      </c>
      <c r="B301" s="90"/>
      <c r="C301" s="68" t="s">
        <v>210</v>
      </c>
      <c r="D301" s="68">
        <f>(3.14*6.12)*10.764</f>
        <v>206.84963520000002</v>
      </c>
      <c r="E301" s="68">
        <v>0</v>
      </c>
      <c r="F301" s="68">
        <f t="shared" si="12"/>
        <v>330.95941632000006</v>
      </c>
      <c r="G301" s="90"/>
      <c r="H301" s="90"/>
      <c r="I301" s="36"/>
      <c r="L301" s="109"/>
      <c r="M301" s="109"/>
      <c r="N301" s="36"/>
    </row>
    <row r="302" spans="1:14" s="2" customFormat="1" x14ac:dyDescent="0.35">
      <c r="A302" s="90">
        <f t="shared" ref="A302:A309" si="14">A301+1</f>
        <v>211</v>
      </c>
      <c r="B302" s="90"/>
      <c r="C302" s="68" t="s">
        <v>210</v>
      </c>
      <c r="D302" s="68">
        <f>(3.15*7.46)*10.764</f>
        <v>252.94323599999998</v>
      </c>
      <c r="E302" s="68">
        <v>0</v>
      </c>
      <c r="F302" s="68">
        <f t="shared" si="12"/>
        <v>404.70917759999998</v>
      </c>
      <c r="G302" s="90"/>
      <c r="H302" s="90"/>
      <c r="I302" s="36"/>
      <c r="L302" s="109"/>
      <c r="M302" s="109"/>
      <c r="N302" s="36"/>
    </row>
    <row r="303" spans="1:14" s="2" customFormat="1" x14ac:dyDescent="0.35">
      <c r="A303" s="90">
        <f t="shared" si="14"/>
        <v>212</v>
      </c>
      <c r="B303" s="90"/>
      <c r="C303" s="68" t="s">
        <v>210</v>
      </c>
      <c r="D303" s="68">
        <f>(3.15*6.13)*10.764</f>
        <v>207.84745799999999</v>
      </c>
      <c r="E303" s="68">
        <v>0</v>
      </c>
      <c r="F303" s="68">
        <f t="shared" si="12"/>
        <v>332.55593279999999</v>
      </c>
      <c r="G303" s="90"/>
      <c r="H303" s="90"/>
      <c r="I303" s="36"/>
      <c r="L303" s="109"/>
      <c r="M303" s="109"/>
      <c r="N303" s="36"/>
    </row>
    <row r="304" spans="1:14" s="2" customFormat="1" x14ac:dyDescent="0.35">
      <c r="A304" s="90">
        <f t="shared" si="14"/>
        <v>213</v>
      </c>
      <c r="B304" s="90"/>
      <c r="C304" s="68" t="s">
        <v>210</v>
      </c>
      <c r="D304" s="68">
        <f>(216.81)*10.764</f>
        <v>2333.7428399999999</v>
      </c>
      <c r="E304" s="68">
        <v>0</v>
      </c>
      <c r="F304" s="68">
        <f t="shared" si="12"/>
        <v>3733.9885439999998</v>
      </c>
      <c r="G304" s="90"/>
      <c r="H304" s="90"/>
      <c r="I304" s="36"/>
      <c r="L304" s="109"/>
      <c r="M304" s="109"/>
      <c r="N304" s="36"/>
    </row>
    <row r="305" spans="1:14" s="2" customFormat="1" x14ac:dyDescent="0.35">
      <c r="A305" s="90">
        <f t="shared" si="14"/>
        <v>214</v>
      </c>
      <c r="B305" s="90"/>
      <c r="C305" s="68" t="s">
        <v>210</v>
      </c>
      <c r="D305" s="68">
        <f>(2.86*4.5)*10.764</f>
        <v>138.53267999999997</v>
      </c>
      <c r="E305" s="68">
        <v>0</v>
      </c>
      <c r="F305" s="68">
        <f t="shared" si="12"/>
        <v>221.65228799999997</v>
      </c>
      <c r="G305" s="90"/>
      <c r="H305" s="90"/>
      <c r="I305" s="36"/>
      <c r="L305" s="109"/>
      <c r="M305" s="109"/>
      <c r="N305" s="36"/>
    </row>
    <row r="306" spans="1:14" s="2" customFormat="1" x14ac:dyDescent="0.35">
      <c r="A306" s="90">
        <f t="shared" si="14"/>
        <v>215</v>
      </c>
      <c r="B306" s="90"/>
      <c r="C306" s="68" t="s">
        <v>210</v>
      </c>
      <c r="D306" s="68">
        <f>(2.86*5.03)*10.764</f>
        <v>154.84875119999998</v>
      </c>
      <c r="E306" s="68">
        <v>0</v>
      </c>
      <c r="F306" s="68">
        <f t="shared" si="12"/>
        <v>247.75800191999997</v>
      </c>
      <c r="G306" s="90"/>
      <c r="H306" s="90"/>
      <c r="I306" s="36"/>
      <c r="L306" s="109"/>
      <c r="M306" s="109"/>
      <c r="N306" s="36"/>
    </row>
    <row r="307" spans="1:14" s="2" customFormat="1" x14ac:dyDescent="0.35">
      <c r="A307" s="90">
        <f t="shared" si="14"/>
        <v>216</v>
      </c>
      <c r="B307" s="90"/>
      <c r="C307" s="68" t="s">
        <v>210</v>
      </c>
      <c r="D307" s="68">
        <f>(2.86*4.5)*10.764</f>
        <v>138.53267999999997</v>
      </c>
      <c r="E307" s="68">
        <v>0</v>
      </c>
      <c r="F307" s="68">
        <f t="shared" si="12"/>
        <v>221.65228799999997</v>
      </c>
      <c r="G307" s="90"/>
      <c r="H307" s="90"/>
      <c r="I307" s="36"/>
      <c r="L307" s="109"/>
      <c r="M307" s="109"/>
      <c r="N307" s="36"/>
    </row>
    <row r="308" spans="1:14" s="2" customFormat="1" x14ac:dyDescent="0.35">
      <c r="A308" s="90">
        <f t="shared" si="14"/>
        <v>217</v>
      </c>
      <c r="B308" s="90"/>
      <c r="C308" s="68" t="s">
        <v>210</v>
      </c>
      <c r="D308" s="68">
        <f>(2.86*5.03)*10.764</f>
        <v>154.84875119999998</v>
      </c>
      <c r="E308" s="68">
        <v>0</v>
      </c>
      <c r="F308" s="68">
        <f t="shared" si="12"/>
        <v>247.75800191999997</v>
      </c>
      <c r="G308" s="90"/>
      <c r="H308" s="90"/>
      <c r="I308" s="36"/>
      <c r="L308" s="109"/>
      <c r="M308" s="109"/>
      <c r="N308" s="36"/>
    </row>
    <row r="309" spans="1:14" s="2" customFormat="1" x14ac:dyDescent="0.35">
      <c r="A309" s="90">
        <f t="shared" si="14"/>
        <v>218</v>
      </c>
      <c r="B309" s="90"/>
      <c r="C309" s="68" t="s">
        <v>210</v>
      </c>
      <c r="D309" s="68">
        <f>(2.86*4.5)*10.764</f>
        <v>138.53267999999997</v>
      </c>
      <c r="E309" s="68">
        <v>0</v>
      </c>
      <c r="F309" s="68">
        <f t="shared" si="12"/>
        <v>221.65228799999997</v>
      </c>
      <c r="G309" s="90"/>
      <c r="H309" s="90"/>
      <c r="I309" s="36"/>
      <c r="L309" s="109"/>
      <c r="M309" s="109"/>
      <c r="N309" s="36"/>
    </row>
    <row r="310" spans="1:14" s="2" customFormat="1" x14ac:dyDescent="0.35">
      <c r="A310" s="90">
        <f>A309+1</f>
        <v>219</v>
      </c>
      <c r="B310" s="90"/>
      <c r="C310" s="68" t="s">
        <v>210</v>
      </c>
      <c r="D310" s="68">
        <f>(2.86*5.03)*10.764</f>
        <v>154.84875119999998</v>
      </c>
      <c r="E310" s="68">
        <v>0</v>
      </c>
      <c r="F310" s="68">
        <f t="shared" si="12"/>
        <v>247.75800191999997</v>
      </c>
      <c r="G310" s="90"/>
      <c r="H310" s="90"/>
      <c r="I310" s="36"/>
      <c r="L310" s="109"/>
      <c r="M310" s="109"/>
      <c r="N310" s="36"/>
    </row>
    <row r="311" spans="1:14" s="2" customFormat="1" x14ac:dyDescent="0.35">
      <c r="A311" s="90">
        <f t="shared" ref="A311" si="15">A310+1</f>
        <v>220</v>
      </c>
      <c r="B311" s="90"/>
      <c r="C311" s="68" t="s">
        <v>210</v>
      </c>
      <c r="D311" s="68">
        <f>(2.86*4.5)*10.764</f>
        <v>138.53267999999997</v>
      </c>
      <c r="E311" s="68">
        <v>0</v>
      </c>
      <c r="F311" s="68">
        <f t="shared" si="12"/>
        <v>221.65228799999997</v>
      </c>
      <c r="G311" s="90"/>
      <c r="H311" s="90"/>
      <c r="I311" s="36"/>
      <c r="L311" s="109"/>
      <c r="M311" s="109"/>
      <c r="N311" s="36"/>
    </row>
    <row r="312" spans="1:14" s="2" customFormat="1" x14ac:dyDescent="0.35">
      <c r="A312" s="90">
        <f t="shared" ref="A312:A330" si="16">A311+1</f>
        <v>221</v>
      </c>
      <c r="B312" s="90"/>
      <c r="C312" s="68" t="s">
        <v>210</v>
      </c>
      <c r="D312" s="68">
        <f>(2.86*5.03)*10.764</f>
        <v>154.84875119999998</v>
      </c>
      <c r="E312" s="68">
        <v>0</v>
      </c>
      <c r="F312" s="68">
        <f t="shared" si="12"/>
        <v>247.75800191999997</v>
      </c>
      <c r="G312" s="90"/>
      <c r="H312" s="90"/>
      <c r="I312" s="36"/>
      <c r="L312" s="109"/>
      <c r="M312" s="109"/>
      <c r="N312" s="36"/>
    </row>
    <row r="313" spans="1:14" s="2" customFormat="1" x14ac:dyDescent="0.35">
      <c r="A313" s="90">
        <f t="shared" si="16"/>
        <v>222</v>
      </c>
      <c r="B313" s="90"/>
      <c r="C313" s="68" t="s">
        <v>210</v>
      </c>
      <c r="D313" s="68">
        <f>(2.86*4.5)*10.764</f>
        <v>138.53267999999997</v>
      </c>
      <c r="E313" s="68">
        <v>0</v>
      </c>
      <c r="F313" s="68">
        <f t="shared" si="12"/>
        <v>221.65228799999997</v>
      </c>
      <c r="G313" s="90"/>
      <c r="H313" s="90"/>
      <c r="I313" s="36"/>
      <c r="L313" s="109"/>
      <c r="M313" s="109"/>
      <c r="N313" s="36"/>
    </row>
    <row r="314" spans="1:14" s="2" customFormat="1" x14ac:dyDescent="0.35">
      <c r="A314" s="90">
        <f t="shared" si="16"/>
        <v>223</v>
      </c>
      <c r="B314" s="90"/>
      <c r="C314" s="68" t="s">
        <v>210</v>
      </c>
      <c r="D314" s="68">
        <f>(2.86*5.03)*10.764</f>
        <v>154.84875119999998</v>
      </c>
      <c r="E314" s="68">
        <v>0</v>
      </c>
      <c r="F314" s="68">
        <f t="shared" si="12"/>
        <v>247.75800191999997</v>
      </c>
      <c r="G314" s="90"/>
      <c r="H314" s="90"/>
      <c r="I314" s="36"/>
      <c r="L314" s="109"/>
      <c r="M314" s="109"/>
      <c r="N314" s="36"/>
    </row>
    <row r="315" spans="1:14" s="2" customFormat="1" x14ac:dyDescent="0.35">
      <c r="A315" s="90">
        <f t="shared" si="16"/>
        <v>224</v>
      </c>
      <c r="B315" s="90"/>
      <c r="C315" s="68" t="s">
        <v>210</v>
      </c>
      <c r="D315" s="68">
        <f>(2.86*4.5)*10.764</f>
        <v>138.53267999999997</v>
      </c>
      <c r="E315" s="68">
        <v>0</v>
      </c>
      <c r="F315" s="68">
        <f t="shared" si="12"/>
        <v>221.65228799999997</v>
      </c>
      <c r="G315" s="90"/>
      <c r="H315" s="90"/>
      <c r="I315" s="36"/>
      <c r="L315" s="109"/>
      <c r="M315" s="109"/>
      <c r="N315" s="36"/>
    </row>
    <row r="316" spans="1:14" s="2" customFormat="1" x14ac:dyDescent="0.35">
      <c r="A316" s="90">
        <f t="shared" si="16"/>
        <v>225</v>
      </c>
      <c r="B316" s="90"/>
      <c r="C316" s="68" t="s">
        <v>210</v>
      </c>
      <c r="D316" s="68">
        <f>(2.86*5.28)*10.764</f>
        <v>162.54501119999998</v>
      </c>
      <c r="E316" s="68">
        <v>0</v>
      </c>
      <c r="F316" s="68">
        <f t="shared" si="12"/>
        <v>260.07201791999995</v>
      </c>
      <c r="G316" s="90"/>
      <c r="H316" s="90"/>
      <c r="I316" s="36"/>
      <c r="L316" s="109"/>
      <c r="M316" s="109"/>
      <c r="N316" s="36"/>
    </row>
    <row r="317" spans="1:14" s="2" customFormat="1" x14ac:dyDescent="0.35">
      <c r="A317" s="90">
        <f t="shared" si="16"/>
        <v>226</v>
      </c>
      <c r="B317" s="90"/>
      <c r="C317" s="68" t="s">
        <v>210</v>
      </c>
      <c r="D317" s="68">
        <f>(5.12*1.98)*10.764</f>
        <v>109.12112640000001</v>
      </c>
      <c r="E317" s="68">
        <v>0</v>
      </c>
      <c r="F317" s="68">
        <f t="shared" si="12"/>
        <v>174.59380224000003</v>
      </c>
      <c r="G317" s="90"/>
      <c r="H317" s="90"/>
      <c r="I317" s="36"/>
      <c r="L317" s="109"/>
      <c r="M317" s="109"/>
      <c r="N317" s="36"/>
    </row>
    <row r="318" spans="1:14" s="2" customFormat="1" x14ac:dyDescent="0.35">
      <c r="A318" s="90">
        <f t="shared" si="16"/>
        <v>227</v>
      </c>
      <c r="B318" s="90"/>
      <c r="C318" s="68" t="s">
        <v>210</v>
      </c>
      <c r="D318" s="68">
        <f>(5.12*3.28)*10.764</f>
        <v>180.76631039999995</v>
      </c>
      <c r="E318" s="68">
        <v>0</v>
      </c>
      <c r="F318" s="68">
        <f t="shared" ref="F318:F322" si="17">D318*(($F$209)+1)+E318</f>
        <v>289.22609663999992</v>
      </c>
      <c r="G318" s="90"/>
      <c r="H318" s="90"/>
      <c r="I318" s="36"/>
      <c r="L318" s="109"/>
      <c r="M318" s="109"/>
      <c r="N318" s="36"/>
    </row>
    <row r="319" spans="1:14" s="2" customFormat="1" x14ac:dyDescent="0.35">
      <c r="A319" s="90">
        <f t="shared" si="16"/>
        <v>228</v>
      </c>
      <c r="B319" s="90"/>
      <c r="C319" s="68" t="s">
        <v>210</v>
      </c>
      <c r="D319" s="68">
        <f>(16.68)*10.764</f>
        <v>179.54351999999997</v>
      </c>
      <c r="E319" s="68">
        <v>0</v>
      </c>
      <c r="F319" s="68">
        <f t="shared" si="17"/>
        <v>287.26963199999994</v>
      </c>
      <c r="G319" s="90"/>
      <c r="H319" s="90"/>
      <c r="I319" s="36"/>
      <c r="L319" s="109"/>
      <c r="M319" s="109"/>
      <c r="N319" s="36"/>
    </row>
    <row r="320" spans="1:14" s="2" customFormat="1" x14ac:dyDescent="0.35">
      <c r="A320" s="90">
        <f t="shared" si="16"/>
        <v>229</v>
      </c>
      <c r="B320" s="90"/>
      <c r="C320" s="68" t="s">
        <v>210</v>
      </c>
      <c r="D320" s="68">
        <f>(7.5)*10.764</f>
        <v>80.72999999999999</v>
      </c>
      <c r="E320" s="68">
        <v>0</v>
      </c>
      <c r="F320" s="68">
        <f t="shared" si="17"/>
        <v>129.16799999999998</v>
      </c>
      <c r="G320" s="90"/>
      <c r="H320" s="90"/>
      <c r="I320" s="36"/>
      <c r="L320" s="109"/>
      <c r="M320" s="109"/>
      <c r="N320" s="36"/>
    </row>
    <row r="321" spans="1:14" s="2" customFormat="1" x14ac:dyDescent="0.35">
      <c r="A321" s="90">
        <f t="shared" si="16"/>
        <v>230</v>
      </c>
      <c r="B321" s="90"/>
      <c r="C321" s="68" t="s">
        <v>210</v>
      </c>
      <c r="D321" s="68">
        <f>(2.12*5.41)*10.764</f>
        <v>123.4544688</v>
      </c>
      <c r="E321" s="68">
        <v>0</v>
      </c>
      <c r="F321" s="68">
        <f t="shared" si="17"/>
        <v>197.52715008000001</v>
      </c>
      <c r="G321" s="90"/>
      <c r="H321" s="90"/>
      <c r="I321" s="36"/>
      <c r="L321" s="109"/>
      <c r="M321" s="109"/>
      <c r="N321" s="36"/>
    </row>
    <row r="322" spans="1:14" s="2" customFormat="1" x14ac:dyDescent="0.35">
      <c r="A322" s="90">
        <f t="shared" si="16"/>
        <v>231</v>
      </c>
      <c r="B322" s="90"/>
      <c r="C322" s="68" t="s">
        <v>210</v>
      </c>
      <c r="D322" s="68">
        <f>(2.55*7.5)*10.764</f>
        <v>205.86149999999998</v>
      </c>
      <c r="E322" s="68">
        <v>0</v>
      </c>
      <c r="F322" s="68">
        <f t="shared" si="17"/>
        <v>329.3784</v>
      </c>
      <c r="G322" s="90"/>
      <c r="H322" s="90"/>
      <c r="I322" s="36"/>
      <c r="L322" s="109"/>
      <c r="M322" s="109"/>
      <c r="N322" s="36"/>
    </row>
    <row r="323" spans="1:14" s="2" customFormat="1" x14ac:dyDescent="0.35">
      <c r="A323" s="90">
        <f t="shared" si="16"/>
        <v>232</v>
      </c>
      <c r="B323" s="90"/>
      <c r="C323" s="68" t="s">
        <v>210</v>
      </c>
      <c r="D323" s="68">
        <f>(2.55*7.5)*10.764</f>
        <v>205.86149999999998</v>
      </c>
      <c r="E323" s="68">
        <v>0</v>
      </c>
      <c r="F323" s="68">
        <f t="shared" ref="F323:F325" si="18">D323*(($F$209)+1)+E323</f>
        <v>329.3784</v>
      </c>
      <c r="G323" s="90"/>
      <c r="H323" s="90"/>
      <c r="I323" s="36"/>
      <c r="L323" s="109"/>
      <c r="M323" s="109"/>
      <c r="N323" s="36"/>
    </row>
    <row r="324" spans="1:14" s="2" customFormat="1" x14ac:dyDescent="0.35">
      <c r="A324" s="90">
        <f t="shared" si="16"/>
        <v>233</v>
      </c>
      <c r="B324" s="90"/>
      <c r="C324" s="68" t="s">
        <v>210</v>
      </c>
      <c r="D324" s="68">
        <f>(2.86*7.5)*10.764</f>
        <v>230.88779999999997</v>
      </c>
      <c r="E324" s="68">
        <v>0</v>
      </c>
      <c r="F324" s="68">
        <f t="shared" si="18"/>
        <v>369.42048</v>
      </c>
      <c r="G324" s="90"/>
      <c r="H324" s="90"/>
      <c r="I324" s="36"/>
      <c r="L324" s="109"/>
      <c r="M324" s="109"/>
      <c r="N324" s="36"/>
    </row>
    <row r="325" spans="1:14" s="2" customFormat="1" x14ac:dyDescent="0.35">
      <c r="A325" s="90">
        <f t="shared" si="16"/>
        <v>234</v>
      </c>
      <c r="B325" s="90"/>
      <c r="C325" s="68" t="s">
        <v>210</v>
      </c>
      <c r="D325" s="68">
        <f>(2.98*7.5)*10.764</f>
        <v>240.5754</v>
      </c>
      <c r="E325" s="68">
        <v>0</v>
      </c>
      <c r="F325" s="68">
        <f t="shared" si="18"/>
        <v>384.92064000000005</v>
      </c>
      <c r="G325" s="90"/>
      <c r="H325" s="90"/>
      <c r="I325" s="36"/>
      <c r="L325" s="109"/>
      <c r="M325" s="109"/>
      <c r="N325" s="36"/>
    </row>
    <row r="326" spans="1:14" s="2" customFormat="1" x14ac:dyDescent="0.35">
      <c r="A326" s="90">
        <f t="shared" si="16"/>
        <v>235</v>
      </c>
      <c r="B326" s="90"/>
      <c r="C326" s="68" t="s">
        <v>210</v>
      </c>
      <c r="D326" s="68">
        <f>(6.45*4.54)*10.764</f>
        <v>315.20221199999997</v>
      </c>
      <c r="E326" s="68">
        <v>0</v>
      </c>
      <c r="F326" s="68">
        <f t="shared" ref="F326:F328" si="19">D326*(($F$209)+1)+E326</f>
        <v>504.32353919999997</v>
      </c>
      <c r="G326" s="90"/>
      <c r="H326" s="90"/>
      <c r="I326" s="36"/>
      <c r="L326" s="109"/>
      <c r="M326" s="109"/>
      <c r="N326" s="36"/>
    </row>
    <row r="327" spans="1:14" s="2" customFormat="1" x14ac:dyDescent="0.35">
      <c r="A327" s="90">
        <f t="shared" si="16"/>
        <v>236</v>
      </c>
      <c r="B327" s="90"/>
      <c r="C327" s="68" t="s">
        <v>210</v>
      </c>
      <c r="D327" s="68">
        <f>(4.52*9.18)*10.764</f>
        <v>446.63711039999993</v>
      </c>
      <c r="E327" s="68">
        <v>0</v>
      </c>
      <c r="F327" s="68">
        <f t="shared" si="19"/>
        <v>714.61937663999993</v>
      </c>
      <c r="G327" s="90"/>
      <c r="H327" s="90"/>
      <c r="I327" s="36"/>
      <c r="L327" s="109"/>
      <c r="M327" s="109"/>
      <c r="N327" s="36"/>
    </row>
    <row r="328" spans="1:14" s="2" customFormat="1" x14ac:dyDescent="0.35">
      <c r="A328" s="90">
        <f t="shared" si="16"/>
        <v>237</v>
      </c>
      <c r="B328" s="90"/>
      <c r="C328" s="68" t="s">
        <v>210</v>
      </c>
      <c r="D328" s="68">
        <f>(4.87*3.52)*10.764</f>
        <v>184.52079360000002</v>
      </c>
      <c r="E328" s="68">
        <v>0</v>
      </c>
      <c r="F328" s="68">
        <f t="shared" si="19"/>
        <v>295.23326976000004</v>
      </c>
      <c r="G328" s="90"/>
      <c r="H328" s="90"/>
      <c r="I328" s="36"/>
      <c r="L328" s="109"/>
      <c r="M328" s="109"/>
      <c r="N328" s="36"/>
    </row>
    <row r="329" spans="1:14" s="2" customFormat="1" x14ac:dyDescent="0.35">
      <c r="A329" s="90">
        <f t="shared" si="16"/>
        <v>238</v>
      </c>
      <c r="B329" s="90"/>
      <c r="C329" s="68" t="s">
        <v>210</v>
      </c>
      <c r="D329" s="68">
        <f>(4.87*4.49)*10.764</f>
        <v>235.36885320000002</v>
      </c>
      <c r="E329" s="68">
        <v>0</v>
      </c>
      <c r="F329" s="68">
        <f t="shared" ref="F329:F330" si="20">D329*(($F$209)+1)+E329</f>
        <v>376.59016512000005</v>
      </c>
      <c r="G329" s="90"/>
      <c r="H329" s="90"/>
      <c r="I329" s="36"/>
      <c r="L329" s="109"/>
      <c r="M329" s="109"/>
      <c r="N329" s="36"/>
    </row>
    <row r="330" spans="1:14" s="2" customFormat="1" x14ac:dyDescent="0.35">
      <c r="A330" s="90">
        <f t="shared" si="16"/>
        <v>239</v>
      </c>
      <c r="B330" s="90"/>
      <c r="C330" s="68" t="s">
        <v>210</v>
      </c>
      <c r="D330" s="68">
        <f>(4.87*4.49)*10.764</f>
        <v>235.36885320000002</v>
      </c>
      <c r="E330" s="68">
        <v>0</v>
      </c>
      <c r="F330" s="68">
        <f t="shared" si="20"/>
        <v>376.59016512000005</v>
      </c>
      <c r="G330" s="90"/>
      <c r="H330" s="90"/>
      <c r="I330" s="36"/>
      <c r="L330" s="109"/>
      <c r="M330" s="109"/>
      <c r="N330" s="36"/>
    </row>
    <row r="331" spans="1:14" s="2" customFormat="1" x14ac:dyDescent="0.35">
      <c r="A331" s="103" t="s">
        <v>268</v>
      </c>
      <c r="B331" s="104"/>
      <c r="C331" s="104"/>
      <c r="D331" s="104"/>
      <c r="E331" s="104"/>
      <c r="F331" s="104"/>
      <c r="G331" s="104"/>
      <c r="H331" s="105"/>
    </row>
    <row r="332" spans="1:14" s="2" customFormat="1" x14ac:dyDescent="0.35">
      <c r="A332" s="103" t="s">
        <v>286</v>
      </c>
      <c r="B332" s="104"/>
      <c r="C332" s="104"/>
      <c r="D332" s="104"/>
      <c r="E332" s="104"/>
      <c r="F332" s="104"/>
      <c r="G332" s="104"/>
      <c r="H332" s="105"/>
    </row>
    <row r="333" spans="1:14" s="2" customFormat="1" x14ac:dyDescent="0.35">
      <c r="A333" s="103" t="s">
        <v>211</v>
      </c>
      <c r="B333" s="104"/>
      <c r="C333" s="104"/>
      <c r="D333" s="104"/>
      <c r="E333" s="104"/>
      <c r="F333" s="104"/>
      <c r="G333" s="104"/>
      <c r="H333" s="105"/>
    </row>
    <row r="334" spans="1:14" s="2" customFormat="1" ht="15.75" customHeight="1" x14ac:dyDescent="0.35">
      <c r="A334" s="106">
        <v>1</v>
      </c>
      <c r="B334" s="108"/>
      <c r="C334" s="19" t="s">
        <v>210</v>
      </c>
      <c r="D334" s="19">
        <f>(3.1*10.1+3.1*1.45)*10.764</f>
        <v>385.40501999999998</v>
      </c>
      <c r="E334" s="19">
        <v>0</v>
      </c>
      <c r="F334" s="19">
        <f t="shared" ref="F334:F339" si="21">D334*(($F$209)+1)+E334</f>
        <v>616.64803200000006</v>
      </c>
      <c r="G334" s="91" t="str">
        <f>A333</f>
        <v>Ground Floor For Commercial &amp; Parking</v>
      </c>
      <c r="H334" s="92"/>
      <c r="I334" s="36"/>
      <c r="L334" s="109"/>
      <c r="M334" s="109"/>
      <c r="N334" s="36"/>
    </row>
    <row r="335" spans="1:14" s="2" customFormat="1" ht="15.75" customHeight="1" x14ac:dyDescent="0.35">
      <c r="A335" s="106">
        <f>A334+1</f>
        <v>2</v>
      </c>
      <c r="B335" s="108"/>
      <c r="C335" s="19" t="s">
        <v>210</v>
      </c>
      <c r="D335" s="19">
        <f>(2.95*10.1+2.5*1.45)*10.764</f>
        <v>359.73288000000002</v>
      </c>
      <c r="E335" s="19">
        <v>0</v>
      </c>
      <c r="F335" s="19">
        <f t="shared" si="21"/>
        <v>575.57260800000006</v>
      </c>
      <c r="G335" s="93"/>
      <c r="H335" s="94"/>
      <c r="I335" s="36"/>
      <c r="L335" s="109"/>
      <c r="M335" s="109"/>
      <c r="N335" s="36"/>
    </row>
    <row r="336" spans="1:14" s="2" customFormat="1" ht="15.75" customHeight="1" x14ac:dyDescent="0.35">
      <c r="A336" s="106">
        <f t="shared" ref="A336:A339" si="22">A335+1</f>
        <v>3</v>
      </c>
      <c r="B336" s="108"/>
      <c r="C336" s="19" t="s">
        <v>210</v>
      </c>
      <c r="D336" s="19">
        <f>(5.3*11.65+3.95*9.35)*10.764</f>
        <v>1062.1646099999998</v>
      </c>
      <c r="E336" s="19">
        <v>0</v>
      </c>
      <c r="F336" s="19">
        <f t="shared" si="21"/>
        <v>1699.4633759999997</v>
      </c>
      <c r="G336" s="93"/>
      <c r="H336" s="94"/>
      <c r="I336" s="36"/>
      <c r="L336" s="109"/>
      <c r="M336" s="109"/>
      <c r="N336" s="36"/>
    </row>
    <row r="337" spans="1:14" s="2" customFormat="1" ht="15.75" customHeight="1" x14ac:dyDescent="0.35">
      <c r="A337" s="106">
        <f t="shared" si="22"/>
        <v>4</v>
      </c>
      <c r="B337" s="108"/>
      <c r="C337" s="19" t="s">
        <v>210</v>
      </c>
      <c r="D337" s="19">
        <f>(5.3*11.65+3.95*9.35)*10.764</f>
        <v>1062.1646099999998</v>
      </c>
      <c r="E337" s="19">
        <v>0</v>
      </c>
      <c r="F337" s="19">
        <f t="shared" si="21"/>
        <v>1699.4633759999997</v>
      </c>
      <c r="G337" s="93"/>
      <c r="H337" s="94"/>
      <c r="I337" s="36"/>
      <c r="L337" s="109"/>
      <c r="M337" s="109"/>
      <c r="N337" s="36"/>
    </row>
    <row r="338" spans="1:14" s="2" customFormat="1" ht="15.75" customHeight="1" x14ac:dyDescent="0.35">
      <c r="A338" s="106">
        <f t="shared" si="22"/>
        <v>5</v>
      </c>
      <c r="B338" s="108"/>
      <c r="C338" s="19" t="s">
        <v>210</v>
      </c>
      <c r="D338" s="19">
        <f>(2.95*10.1+2.5*1.45)*10.764</f>
        <v>359.73288000000002</v>
      </c>
      <c r="E338" s="19">
        <v>0</v>
      </c>
      <c r="F338" s="19">
        <f t="shared" si="21"/>
        <v>575.57260800000006</v>
      </c>
      <c r="G338" s="93"/>
      <c r="H338" s="94"/>
      <c r="I338" s="36">
        <f>5.28*7.5</f>
        <v>39.6</v>
      </c>
      <c r="J338" s="2">
        <f>1.5*5.28</f>
        <v>7.92</v>
      </c>
      <c r="L338" s="109"/>
      <c r="M338" s="109"/>
      <c r="N338" s="36"/>
    </row>
    <row r="339" spans="1:14" s="2" customFormat="1" ht="15.75" customHeight="1" x14ac:dyDescent="0.35">
      <c r="A339" s="106">
        <f t="shared" si="22"/>
        <v>6</v>
      </c>
      <c r="B339" s="108"/>
      <c r="C339" s="19" t="s">
        <v>210</v>
      </c>
      <c r="D339" s="19">
        <f>(16.2*13.55+30.4*22.2)*10.764</f>
        <v>9627.2139599999991</v>
      </c>
      <c r="E339" s="19">
        <v>0</v>
      </c>
      <c r="F339" s="19">
        <f t="shared" si="21"/>
        <v>15403.542335999999</v>
      </c>
      <c r="G339" s="93"/>
      <c r="H339" s="94"/>
      <c r="I339" s="36"/>
      <c r="L339" s="109"/>
      <c r="M339" s="109"/>
      <c r="N339" s="36"/>
    </row>
    <row r="340" spans="1:14" s="2" customFormat="1" x14ac:dyDescent="0.35">
      <c r="A340" s="103" t="s">
        <v>246</v>
      </c>
      <c r="B340" s="104"/>
      <c r="C340" s="104"/>
      <c r="D340" s="104"/>
      <c r="E340" s="104"/>
      <c r="F340" s="104"/>
      <c r="G340" s="104"/>
      <c r="H340" s="105"/>
    </row>
    <row r="341" spans="1:14" s="2" customFormat="1" ht="15.75" customHeight="1" x14ac:dyDescent="0.35">
      <c r="A341" s="106">
        <v>1</v>
      </c>
      <c r="B341" s="108"/>
      <c r="C341" s="19" t="s">
        <v>210</v>
      </c>
      <c r="D341" s="19">
        <f>(3.43*18.66+3.43*1.45)*10.764</f>
        <v>742.47165719999998</v>
      </c>
      <c r="E341" s="19">
        <v>0</v>
      </c>
      <c r="F341" s="19">
        <f t="shared" ref="F341:F346" si="23">D341*(($F$209)+1)+E341</f>
        <v>1187.95465152</v>
      </c>
      <c r="G341" s="91" t="str">
        <f>A340</f>
        <v xml:space="preserve">1st Floor For Commercial </v>
      </c>
      <c r="H341" s="92"/>
      <c r="I341" s="36"/>
      <c r="L341" s="109"/>
      <c r="M341" s="109"/>
      <c r="N341" s="36"/>
    </row>
    <row r="342" spans="1:14" s="2" customFormat="1" ht="15.75" customHeight="1" x14ac:dyDescent="0.35">
      <c r="A342" s="106">
        <f>A341+1</f>
        <v>2</v>
      </c>
      <c r="B342" s="108"/>
      <c r="C342" s="19" t="s">
        <v>210</v>
      </c>
      <c r="D342" s="19">
        <f>(3.33*18.66+3.1*1.45)*10.764</f>
        <v>717.23545920000004</v>
      </c>
      <c r="E342" s="19">
        <v>0</v>
      </c>
      <c r="F342" s="19">
        <f t="shared" si="23"/>
        <v>1147.5767347200001</v>
      </c>
      <c r="G342" s="93"/>
      <c r="H342" s="94"/>
      <c r="I342" s="36"/>
      <c r="L342" s="109"/>
      <c r="M342" s="109"/>
      <c r="N342" s="36"/>
    </row>
    <row r="343" spans="1:14" s="2" customFormat="1" ht="15.75" customHeight="1" x14ac:dyDescent="0.35">
      <c r="A343" s="106">
        <f t="shared" ref="A343:A346" si="24">A342+1</f>
        <v>3</v>
      </c>
      <c r="B343" s="108"/>
      <c r="C343" s="19" t="s">
        <v>210</v>
      </c>
      <c r="D343" s="19">
        <f>(3.1*8.1+3.1*1.45)*10.764</f>
        <v>318.66821999999996</v>
      </c>
      <c r="E343" s="19">
        <v>0</v>
      </c>
      <c r="F343" s="19">
        <f t="shared" si="23"/>
        <v>509.86915199999999</v>
      </c>
      <c r="G343" s="93"/>
      <c r="H343" s="94"/>
      <c r="I343" s="36"/>
      <c r="L343" s="109"/>
      <c r="M343" s="109"/>
      <c r="N343" s="36"/>
    </row>
    <row r="344" spans="1:14" s="2" customFormat="1" ht="15.75" customHeight="1" x14ac:dyDescent="0.35">
      <c r="A344" s="106">
        <f t="shared" si="24"/>
        <v>4</v>
      </c>
      <c r="B344" s="108"/>
      <c r="C344" s="19" t="s">
        <v>210</v>
      </c>
      <c r="D344" s="19">
        <f>(2.95*8.1+2.5*1.45)*10.764</f>
        <v>296.22528</v>
      </c>
      <c r="E344" s="19">
        <v>0</v>
      </c>
      <c r="F344" s="19">
        <f t="shared" si="23"/>
        <v>473.96044800000004</v>
      </c>
      <c r="G344" s="93"/>
      <c r="H344" s="94"/>
      <c r="I344" s="36"/>
      <c r="L344" s="109"/>
      <c r="M344" s="109"/>
      <c r="N344" s="36"/>
    </row>
    <row r="345" spans="1:14" s="2" customFormat="1" ht="15.75" customHeight="1" x14ac:dyDescent="0.35">
      <c r="A345" s="106">
        <f t="shared" si="24"/>
        <v>5</v>
      </c>
      <c r="B345" s="108"/>
      <c r="C345" s="19" t="s">
        <v>210</v>
      </c>
      <c r="D345" s="19">
        <f>(5.3*9.65+3.95*9.35)*10.764</f>
        <v>948.06620999999996</v>
      </c>
      <c r="E345" s="19">
        <v>0</v>
      </c>
      <c r="F345" s="19">
        <f t="shared" si="23"/>
        <v>1516.9059360000001</v>
      </c>
      <c r="G345" s="93"/>
      <c r="H345" s="94"/>
      <c r="I345" s="36">
        <f>5.28*7.5</f>
        <v>39.6</v>
      </c>
      <c r="J345" s="2">
        <f>1.5*5.28</f>
        <v>7.92</v>
      </c>
      <c r="L345" s="109"/>
      <c r="M345" s="109"/>
      <c r="N345" s="36"/>
    </row>
    <row r="346" spans="1:14" s="2" customFormat="1" ht="15.75" customHeight="1" x14ac:dyDescent="0.35">
      <c r="A346" s="106">
        <f t="shared" si="24"/>
        <v>6</v>
      </c>
      <c r="B346" s="108"/>
      <c r="C346" s="19" t="s">
        <v>210</v>
      </c>
      <c r="D346" s="19">
        <f>(5.3*9.65+3.95*9.35)*10.764</f>
        <v>948.06620999999996</v>
      </c>
      <c r="E346" s="19">
        <v>0</v>
      </c>
      <c r="F346" s="19">
        <f t="shared" si="23"/>
        <v>1516.9059360000001</v>
      </c>
      <c r="G346" s="93"/>
      <c r="H346" s="94"/>
      <c r="I346" s="36"/>
      <c r="L346" s="109"/>
      <c r="M346" s="109"/>
      <c r="N346" s="36"/>
    </row>
    <row r="347" spans="1:14" s="2" customFormat="1" ht="15.75" customHeight="1" x14ac:dyDescent="0.35">
      <c r="A347" s="106">
        <f t="shared" ref="A347:A348" si="25">A346+1</f>
        <v>7</v>
      </c>
      <c r="B347" s="108"/>
      <c r="C347" s="19" t="s">
        <v>210</v>
      </c>
      <c r="D347" s="19">
        <f>(2.95*8.1+2.5*1.45)*10.764</f>
        <v>296.22528</v>
      </c>
      <c r="E347" s="19">
        <v>0</v>
      </c>
      <c r="F347" s="19">
        <f t="shared" ref="F347:F348" si="26">D347*(($F$209)+1)+E347</f>
        <v>473.96044800000004</v>
      </c>
      <c r="G347" s="93"/>
      <c r="H347" s="94"/>
      <c r="I347" s="36">
        <f>5.28*7.5</f>
        <v>39.6</v>
      </c>
      <c r="J347" s="2">
        <f>1.5*5.28</f>
        <v>7.92</v>
      </c>
      <c r="L347" s="109"/>
      <c r="M347" s="109"/>
      <c r="N347" s="36"/>
    </row>
    <row r="348" spans="1:14" s="2" customFormat="1" ht="15.75" customHeight="1" x14ac:dyDescent="0.35">
      <c r="A348" s="106">
        <f t="shared" si="25"/>
        <v>8</v>
      </c>
      <c r="B348" s="108"/>
      <c r="C348" s="19" t="s">
        <v>210</v>
      </c>
      <c r="D348" s="19">
        <f>(16.2*13.55+30.4*22.2)*10.764</f>
        <v>9627.2139599999991</v>
      </c>
      <c r="E348" s="19">
        <v>0</v>
      </c>
      <c r="F348" s="19">
        <f t="shared" si="26"/>
        <v>15403.542335999999</v>
      </c>
      <c r="G348" s="95"/>
      <c r="H348" s="96"/>
      <c r="I348" s="36"/>
      <c r="L348" s="109"/>
      <c r="M348" s="109"/>
      <c r="N348" s="36"/>
    </row>
    <row r="349" spans="1:14" s="2" customFormat="1" x14ac:dyDescent="0.35">
      <c r="A349" s="102" t="s">
        <v>247</v>
      </c>
      <c r="B349" s="102"/>
      <c r="C349" s="102"/>
      <c r="D349" s="102"/>
      <c r="E349" s="102"/>
      <c r="F349" s="102"/>
      <c r="G349" s="102"/>
      <c r="H349" s="102"/>
    </row>
    <row r="350" spans="1:14" s="2" customFormat="1" ht="15.75" customHeight="1" x14ac:dyDescent="0.35">
      <c r="A350" s="90">
        <v>1</v>
      </c>
      <c r="B350" s="90"/>
      <c r="C350" s="68" t="s">
        <v>210</v>
      </c>
      <c r="D350" s="68">
        <f>(3.43*16.66+3.43*1.45)*10.764</f>
        <v>668.63061720000007</v>
      </c>
      <c r="E350" s="68">
        <v>0</v>
      </c>
      <c r="F350" s="68">
        <f t="shared" ref="F350:F357" si="27">D350*(($F$209)+1)+E350</f>
        <v>1069.8089875200001</v>
      </c>
      <c r="G350" s="90" t="str">
        <f>A349</f>
        <v xml:space="preserve">2nd Floor For Commercial </v>
      </c>
      <c r="H350" s="90"/>
      <c r="I350" s="36"/>
      <c r="L350" s="109"/>
      <c r="M350" s="109"/>
      <c r="N350" s="36"/>
    </row>
    <row r="351" spans="1:14" s="2" customFormat="1" ht="15.75" customHeight="1" x14ac:dyDescent="0.35">
      <c r="A351" s="90">
        <f>A350+1</f>
        <v>2</v>
      </c>
      <c r="B351" s="90"/>
      <c r="C351" s="68" t="s">
        <v>210</v>
      </c>
      <c r="D351" s="68">
        <f>(3.33*16.66+3.1*1.45)*10.764</f>
        <v>645.54721919999997</v>
      </c>
      <c r="E351" s="68">
        <v>0</v>
      </c>
      <c r="F351" s="68">
        <f t="shared" si="27"/>
        <v>1032.8755507200001</v>
      </c>
      <c r="G351" s="90"/>
      <c r="H351" s="90"/>
      <c r="I351" s="36"/>
      <c r="L351" s="109"/>
      <c r="M351" s="109"/>
      <c r="N351" s="36"/>
    </row>
    <row r="352" spans="1:14" s="2" customFormat="1" ht="15.75" customHeight="1" x14ac:dyDescent="0.35">
      <c r="A352" s="90">
        <f t="shared" ref="A352:A357" si="28">A351+1</f>
        <v>3</v>
      </c>
      <c r="B352" s="90"/>
      <c r="C352" s="68" t="s">
        <v>210</v>
      </c>
      <c r="D352" s="68">
        <f>(3.1*6.11+3.1*1.45)*10.764</f>
        <v>252.26510400000004</v>
      </c>
      <c r="E352" s="68">
        <v>0</v>
      </c>
      <c r="F352" s="68">
        <f t="shared" si="27"/>
        <v>403.62416640000009</v>
      </c>
      <c r="G352" s="90"/>
      <c r="H352" s="90"/>
      <c r="I352" s="36"/>
      <c r="L352" s="109"/>
      <c r="M352" s="109"/>
      <c r="N352" s="36"/>
    </row>
    <row r="353" spans="1:14" s="2" customFormat="1" ht="15.75" customHeight="1" x14ac:dyDescent="0.35">
      <c r="A353" s="90">
        <f t="shared" si="28"/>
        <v>4</v>
      </c>
      <c r="B353" s="90"/>
      <c r="C353" s="68" t="s">
        <v>210</v>
      </c>
      <c r="D353" s="68">
        <f>(2.95*6.11+2.5*1.45)*10.764</f>
        <v>233.03521800000001</v>
      </c>
      <c r="E353" s="68">
        <v>0</v>
      </c>
      <c r="F353" s="68">
        <f t="shared" si="27"/>
        <v>372.85634880000003</v>
      </c>
      <c r="G353" s="90"/>
      <c r="H353" s="90"/>
      <c r="I353" s="36"/>
      <c r="L353" s="109"/>
      <c r="M353" s="109"/>
      <c r="N353" s="36"/>
    </row>
    <row r="354" spans="1:14" s="2" customFormat="1" ht="15.75" customHeight="1" x14ac:dyDescent="0.35">
      <c r="A354" s="90">
        <f t="shared" si="28"/>
        <v>5</v>
      </c>
      <c r="B354" s="90"/>
      <c r="C354" s="68" t="s">
        <v>210</v>
      </c>
      <c r="D354" s="68">
        <f>(5.3*7.65+3.95*4.7)*10.764</f>
        <v>636.26004</v>
      </c>
      <c r="E354" s="68">
        <v>0</v>
      </c>
      <c r="F354" s="68">
        <f t="shared" si="27"/>
        <v>1018.016064</v>
      </c>
      <c r="G354" s="90"/>
      <c r="H354" s="90"/>
      <c r="I354" s="36">
        <f>5.28*7.5</f>
        <v>39.6</v>
      </c>
      <c r="J354" s="2">
        <f>1.5*5.28</f>
        <v>7.92</v>
      </c>
      <c r="L354" s="109"/>
      <c r="M354" s="109"/>
      <c r="N354" s="36"/>
    </row>
    <row r="355" spans="1:14" s="2" customFormat="1" ht="15.75" customHeight="1" x14ac:dyDescent="0.35">
      <c r="A355" s="90">
        <f t="shared" si="28"/>
        <v>6</v>
      </c>
      <c r="B355" s="90"/>
      <c r="C355" s="68" t="s">
        <v>210</v>
      </c>
      <c r="D355" s="68">
        <f>(5.3*7.65+3.95*4.7)*10.764</f>
        <v>636.26004</v>
      </c>
      <c r="E355" s="68">
        <v>0</v>
      </c>
      <c r="F355" s="68">
        <f t="shared" si="27"/>
        <v>1018.016064</v>
      </c>
      <c r="G355" s="90"/>
      <c r="H355" s="90"/>
      <c r="I355" s="36"/>
      <c r="L355" s="109"/>
      <c r="M355" s="109"/>
      <c r="N355" s="36"/>
    </row>
    <row r="356" spans="1:14" s="2" customFormat="1" ht="15.75" customHeight="1" x14ac:dyDescent="0.35">
      <c r="A356" s="90">
        <f t="shared" si="28"/>
        <v>7</v>
      </c>
      <c r="B356" s="90"/>
      <c r="C356" s="68" t="s">
        <v>210</v>
      </c>
      <c r="D356" s="68">
        <f>(2.95*6.11+2.5*1.45)*10.764</f>
        <v>233.03521800000001</v>
      </c>
      <c r="E356" s="68">
        <v>0</v>
      </c>
      <c r="F356" s="68">
        <f t="shared" si="27"/>
        <v>372.85634880000003</v>
      </c>
      <c r="G356" s="90"/>
      <c r="H356" s="90"/>
      <c r="I356" s="36">
        <f>5.28*7.5</f>
        <v>39.6</v>
      </c>
      <c r="J356" s="2">
        <f>1.5*5.28</f>
        <v>7.92</v>
      </c>
      <c r="L356" s="109"/>
      <c r="M356" s="109"/>
      <c r="N356" s="36"/>
    </row>
    <row r="357" spans="1:14" s="2" customFormat="1" ht="15.75" customHeight="1" x14ac:dyDescent="0.35">
      <c r="A357" s="90">
        <f t="shared" si="28"/>
        <v>8</v>
      </c>
      <c r="B357" s="90"/>
      <c r="C357" s="68" t="s">
        <v>210</v>
      </c>
      <c r="D357" s="68">
        <f>(3.05*11.05+1.2*2.1)*10.764</f>
        <v>389.89899000000003</v>
      </c>
      <c r="E357" s="68">
        <v>0</v>
      </c>
      <c r="F357" s="68">
        <f t="shared" si="27"/>
        <v>623.83838400000013</v>
      </c>
      <c r="G357" s="90"/>
      <c r="H357" s="90"/>
      <c r="I357" s="36"/>
      <c r="L357" s="109"/>
      <c r="M357" s="109"/>
      <c r="N357" s="36"/>
    </row>
    <row r="358" spans="1:14" s="2" customFormat="1" ht="15.75" customHeight="1" x14ac:dyDescent="0.35">
      <c r="A358" s="90">
        <f t="shared" ref="A358:A363" si="29">A357+1</f>
        <v>9</v>
      </c>
      <c r="B358" s="90"/>
      <c r="C358" s="68" t="s">
        <v>210</v>
      </c>
      <c r="D358" s="68">
        <f>(3.75*10.98+3.43*1.32)*10.764</f>
        <v>491.94278639999999</v>
      </c>
      <c r="E358" s="68">
        <v>0</v>
      </c>
      <c r="F358" s="68">
        <f t="shared" ref="F358:F365" si="30">D358*(($F$209)+1)+E358</f>
        <v>787.10845824</v>
      </c>
      <c r="G358" s="90"/>
      <c r="H358" s="90"/>
      <c r="I358" s="36"/>
      <c r="L358" s="109"/>
      <c r="M358" s="109"/>
      <c r="N358" s="36"/>
    </row>
    <row r="359" spans="1:14" s="2" customFormat="1" ht="15.75" customHeight="1" x14ac:dyDescent="0.35">
      <c r="A359" s="90">
        <f t="shared" si="29"/>
        <v>10</v>
      </c>
      <c r="B359" s="90"/>
      <c r="C359" s="68" t="s">
        <v>210</v>
      </c>
      <c r="D359" s="68">
        <f>(3*11.05+3*1.25)*10.764</f>
        <v>397.19160000000005</v>
      </c>
      <c r="E359" s="68">
        <v>0</v>
      </c>
      <c r="F359" s="68">
        <f t="shared" si="30"/>
        <v>635.50656000000015</v>
      </c>
      <c r="G359" s="90"/>
      <c r="H359" s="90"/>
      <c r="I359" s="36"/>
      <c r="L359" s="109"/>
      <c r="M359" s="109"/>
      <c r="N359" s="36"/>
    </row>
    <row r="360" spans="1:14" s="2" customFormat="1" ht="15.75" customHeight="1" x14ac:dyDescent="0.35">
      <c r="A360" s="90">
        <f t="shared" si="29"/>
        <v>11</v>
      </c>
      <c r="B360" s="90"/>
      <c r="C360" s="68" t="s">
        <v>210</v>
      </c>
      <c r="D360" s="68">
        <f>(3.45*11.05+3.45*1.25)*10.764</f>
        <v>456.77033999999998</v>
      </c>
      <c r="E360" s="68">
        <v>0</v>
      </c>
      <c r="F360" s="68">
        <f t="shared" si="30"/>
        <v>730.83254399999998</v>
      </c>
      <c r="G360" s="90"/>
      <c r="H360" s="90"/>
      <c r="I360" s="36"/>
      <c r="L360" s="109"/>
      <c r="M360" s="109"/>
      <c r="N360" s="36"/>
    </row>
    <row r="361" spans="1:14" s="2" customFormat="1" ht="15.75" customHeight="1" x14ac:dyDescent="0.35">
      <c r="A361" s="90">
        <f t="shared" si="29"/>
        <v>12</v>
      </c>
      <c r="B361" s="90"/>
      <c r="C361" s="68" t="s">
        <v>210</v>
      </c>
      <c r="D361" s="68">
        <f>(3.3*11.05)*10.764</f>
        <v>392.50926000000004</v>
      </c>
      <c r="E361" s="68">
        <v>0</v>
      </c>
      <c r="F361" s="68">
        <f t="shared" si="30"/>
        <v>628.01481600000011</v>
      </c>
      <c r="G361" s="90"/>
      <c r="H361" s="90"/>
      <c r="I361" s="36"/>
      <c r="L361" s="109"/>
      <c r="M361" s="109"/>
      <c r="N361" s="36"/>
    </row>
    <row r="362" spans="1:14" s="2" customFormat="1" ht="15.75" customHeight="1" x14ac:dyDescent="0.35">
      <c r="A362" s="90">
        <f t="shared" si="29"/>
        <v>13</v>
      </c>
      <c r="B362" s="90"/>
      <c r="C362" s="68" t="s">
        <v>210</v>
      </c>
      <c r="D362" s="68">
        <f>(2.95*9.55+1.7*2.7)*10.764</f>
        <v>352.65555000000001</v>
      </c>
      <c r="E362" s="68">
        <v>0</v>
      </c>
      <c r="F362" s="68">
        <f t="shared" si="30"/>
        <v>564.24887999999999</v>
      </c>
      <c r="G362" s="90"/>
      <c r="H362" s="90"/>
      <c r="I362" s="36">
        <f>5.28*7.5</f>
        <v>39.6</v>
      </c>
      <c r="J362" s="2">
        <f>1.5*5.28</f>
        <v>7.92</v>
      </c>
      <c r="L362" s="109"/>
      <c r="M362" s="109"/>
      <c r="N362" s="36"/>
    </row>
    <row r="363" spans="1:14" s="2" customFormat="1" ht="15.75" customHeight="1" x14ac:dyDescent="0.35">
      <c r="A363" s="90">
        <f t="shared" si="29"/>
        <v>14</v>
      </c>
      <c r="B363" s="90"/>
      <c r="C363" s="68" t="s">
        <v>210</v>
      </c>
      <c r="D363" s="68">
        <f>(2.95*9.55+2.7*1.3+1.05*2.7)*10.764</f>
        <v>371.54637000000002</v>
      </c>
      <c r="E363" s="68">
        <v>0</v>
      </c>
      <c r="F363" s="68">
        <f t="shared" si="30"/>
        <v>594.47419200000002</v>
      </c>
      <c r="G363" s="90"/>
      <c r="H363" s="90"/>
      <c r="I363" s="36"/>
      <c r="L363" s="109"/>
      <c r="M363" s="109"/>
      <c r="N363" s="36"/>
    </row>
    <row r="364" spans="1:14" s="2" customFormat="1" ht="15.75" customHeight="1" x14ac:dyDescent="0.35">
      <c r="A364" s="90">
        <f t="shared" ref="A364:A365" si="31">A363+1</f>
        <v>15</v>
      </c>
      <c r="B364" s="90"/>
      <c r="C364" s="68" t="s">
        <v>210</v>
      </c>
      <c r="D364" s="68">
        <f>(3.8*12.35+2.81*2.04+2.88*2.1)*10.764</f>
        <v>631.95874559999993</v>
      </c>
      <c r="E364" s="68">
        <v>0</v>
      </c>
      <c r="F364" s="68">
        <f t="shared" si="30"/>
        <v>1011.1339929599999</v>
      </c>
      <c r="G364" s="90"/>
      <c r="H364" s="90"/>
      <c r="I364" s="36">
        <f>5.28*7.5</f>
        <v>39.6</v>
      </c>
      <c r="J364" s="2">
        <f>1.5*5.28</f>
        <v>7.92</v>
      </c>
      <c r="L364" s="109"/>
      <c r="M364" s="109"/>
      <c r="N364" s="36"/>
    </row>
    <row r="365" spans="1:14" s="2" customFormat="1" ht="15.75" customHeight="1" x14ac:dyDescent="0.35">
      <c r="A365" s="90">
        <f t="shared" si="31"/>
        <v>16</v>
      </c>
      <c r="B365" s="90"/>
      <c r="C365" s="68" t="s">
        <v>210</v>
      </c>
      <c r="D365" s="68">
        <f>(12.95*9.5+3.85*2.4+3.85*1.25)*10.764</f>
        <v>1475.5022099999996</v>
      </c>
      <c r="E365" s="68">
        <v>0</v>
      </c>
      <c r="F365" s="68">
        <f t="shared" si="30"/>
        <v>2360.8035359999994</v>
      </c>
      <c r="G365" s="90"/>
      <c r="H365" s="90"/>
      <c r="I365" s="36"/>
      <c r="L365" s="109"/>
      <c r="M365" s="109"/>
      <c r="N365" s="36"/>
    </row>
    <row r="366" spans="1:14" s="2" customFormat="1" x14ac:dyDescent="0.35">
      <c r="A366" s="106"/>
      <c r="B366" s="107"/>
      <c r="C366" s="107"/>
      <c r="D366" s="107"/>
      <c r="E366" s="107"/>
      <c r="F366" s="107"/>
      <c r="G366" s="107"/>
      <c r="H366" s="108"/>
      <c r="I366" s="36"/>
      <c r="N366" s="36"/>
    </row>
    <row r="367" spans="1:14" ht="47.25" customHeight="1" x14ac:dyDescent="0.35">
      <c r="A367" s="166" t="s">
        <v>157</v>
      </c>
      <c r="B367" s="166" t="s">
        <v>158</v>
      </c>
      <c r="C367" s="160" t="s">
        <v>64</v>
      </c>
      <c r="D367" s="160" t="s">
        <v>65</v>
      </c>
      <c r="E367" s="164" t="s">
        <v>66</v>
      </c>
      <c r="F367" s="34" t="s">
        <v>154</v>
      </c>
      <c r="G367" s="166" t="s">
        <v>67</v>
      </c>
      <c r="H367" s="167"/>
      <c r="I367" s="36"/>
    </row>
    <row r="368" spans="1:14" s="2" customFormat="1" x14ac:dyDescent="0.35">
      <c r="A368" s="168"/>
      <c r="B368" s="168"/>
      <c r="C368" s="161"/>
      <c r="D368" s="161"/>
      <c r="E368" s="165"/>
      <c r="F368" s="35">
        <v>0.5</v>
      </c>
      <c r="G368" s="168"/>
      <c r="H368" s="169"/>
      <c r="I368" s="36"/>
    </row>
    <row r="369" spans="1:16" s="2" customFormat="1" x14ac:dyDescent="0.35">
      <c r="A369" s="102" t="s">
        <v>266</v>
      </c>
      <c r="B369" s="102"/>
      <c r="C369" s="102"/>
      <c r="D369" s="102"/>
      <c r="E369" s="102"/>
      <c r="F369" s="102"/>
      <c r="G369" s="102"/>
      <c r="H369" s="102"/>
      <c r="I369" s="36"/>
      <c r="L369" s="109"/>
      <c r="M369" s="109"/>
    </row>
    <row r="370" spans="1:16" s="2" customFormat="1" x14ac:dyDescent="0.35">
      <c r="A370" s="102" t="s">
        <v>201</v>
      </c>
      <c r="B370" s="102"/>
      <c r="C370" s="102"/>
      <c r="D370" s="102"/>
      <c r="E370" s="102"/>
      <c r="F370" s="102"/>
      <c r="G370" s="102"/>
      <c r="H370" s="102"/>
      <c r="I370" s="36"/>
      <c r="L370" s="109"/>
      <c r="M370" s="109"/>
    </row>
    <row r="371" spans="1:16" s="2" customFormat="1" x14ac:dyDescent="0.35">
      <c r="A371" s="102" t="s">
        <v>212</v>
      </c>
      <c r="B371" s="102"/>
      <c r="C371" s="102"/>
      <c r="D371" s="102"/>
      <c r="E371" s="102"/>
      <c r="F371" s="102"/>
      <c r="G371" s="102"/>
      <c r="H371" s="102"/>
      <c r="I371" s="36"/>
      <c r="L371" s="109"/>
      <c r="M371" s="109"/>
    </row>
    <row r="372" spans="1:16" s="2" customFormat="1" x14ac:dyDescent="0.35">
      <c r="A372" s="102" t="s">
        <v>202</v>
      </c>
      <c r="B372" s="102"/>
      <c r="C372" s="102"/>
      <c r="D372" s="102"/>
      <c r="E372" s="102"/>
      <c r="F372" s="102"/>
      <c r="G372" s="102"/>
      <c r="H372" s="102"/>
      <c r="I372" s="36"/>
      <c r="L372" s="109"/>
      <c r="M372" s="109"/>
    </row>
    <row r="373" spans="1:16" s="2" customFormat="1" ht="15.75" customHeight="1" x14ac:dyDescent="0.35">
      <c r="A373" s="90">
        <f>LEFT(A372,SUM(LEN(A372)-LEN(SUBSTITUTE(A372,{"0","1","2","3","4","5","6","7","8","9"},""))))*100+1</f>
        <v>201</v>
      </c>
      <c r="B373" s="90"/>
      <c r="C373" s="19" t="s">
        <v>203</v>
      </c>
      <c r="D373" s="19">
        <f>((51.47)+(2.9*1.52)+(2.13+2.75+1.5)*0.75)*10.764</f>
        <v>652.97653199999991</v>
      </c>
      <c r="E373" s="19">
        <f>(2.9*3.75+2.13*3+2.75*2.75+1.5*5+0.9*0.9)*10.764</f>
        <v>356.69204999999999</v>
      </c>
      <c r="F373" s="19">
        <f>D373*(($F$368)+1)++(IF(E373&lt;101,E373,IF(E373&lt;201,E373/2,IF(E373&lt;=301,E373/3,E373/4))))</f>
        <v>1068.6378104999999</v>
      </c>
      <c r="G373" s="91" t="str">
        <f>A372</f>
        <v>2nd Floor for Residential</v>
      </c>
      <c r="H373" s="92"/>
      <c r="I373" s="36"/>
      <c r="N373" s="36"/>
    </row>
    <row r="374" spans="1:16" s="2" customFormat="1" ht="15.75" customHeight="1" x14ac:dyDescent="0.35">
      <c r="A374" s="90">
        <f>A373+1</f>
        <v>202</v>
      </c>
      <c r="B374" s="90"/>
      <c r="C374" s="19" t="s">
        <v>204</v>
      </c>
      <c r="D374" s="19">
        <f>((32.54)+(2.9*1.52)+(2.13+2.9)*0.75)*10.764</f>
        <v>438.31546199999997</v>
      </c>
      <c r="E374" s="19">
        <f>(2.9*2.75+5.03*3.2+3.2*0.9)*10.764</f>
        <v>290.10056399999996</v>
      </c>
      <c r="F374" s="19">
        <f>D374*(($F$368)+1)++(IF(E374&lt;101,E374,IF(E374&lt;201,E374/2,IF(E374&lt;=301,E374/3,E374/4))))</f>
        <v>754.17338099999995</v>
      </c>
      <c r="G374" s="93"/>
      <c r="H374" s="94"/>
      <c r="I374" s="36"/>
      <c r="N374" s="36"/>
    </row>
    <row r="375" spans="1:16" s="2" customFormat="1" ht="15.75" customHeight="1" x14ac:dyDescent="0.35">
      <c r="A375" s="90">
        <f>A374+1</f>
        <v>203</v>
      </c>
      <c r="B375" s="90"/>
      <c r="C375" s="19" t="s">
        <v>204</v>
      </c>
      <c r="D375" s="19">
        <f>((32.54)+(2.9*1.52)+(2.13+2.9)*0.75)*10.764</f>
        <v>438.31546199999997</v>
      </c>
      <c r="E375" s="19">
        <f>(2.9*2.75+5.03*3.2+3.2*0.9)*10.764</f>
        <v>290.10056399999996</v>
      </c>
      <c r="F375" s="19">
        <f>D375*(($F$368)+1)++(IF(E375&lt;101,E375,IF(E375&lt;201,E375/2,IF(E375&lt;=301,E375/3,E375/4))))</f>
        <v>754.17338099999995</v>
      </c>
      <c r="G375" s="93"/>
      <c r="H375" s="94"/>
      <c r="I375" s="36"/>
      <c r="N375" s="36"/>
    </row>
    <row r="376" spans="1:16" s="2" customFormat="1" ht="15.75" customHeight="1" x14ac:dyDescent="0.35">
      <c r="A376" s="90">
        <f t="shared" ref="A376:A380" si="32">A375+1</f>
        <v>204</v>
      </c>
      <c r="B376" s="90"/>
      <c r="C376" s="19" t="s">
        <v>203</v>
      </c>
      <c r="D376" s="19">
        <f t="shared" ref="D376:D377" si="33">((51.47)+(2.9*1.52)+(2.13+2.75+1.5)*0.75)*10.764</f>
        <v>652.97653199999991</v>
      </c>
      <c r="E376" s="19">
        <f>(2.9*3.75+2.13*3+2.75*2.75+1.5*5+0.9*0.9)*10.764</f>
        <v>356.69204999999999</v>
      </c>
      <c r="F376" s="19">
        <f>D376*(($F$368)+1)++(IF(E376&lt;101,E376,IF(E376&lt;201,E376/2,IF(E376&lt;=301,E376/3,E376/4))))</f>
        <v>1068.6378104999999</v>
      </c>
      <c r="G376" s="93"/>
      <c r="H376" s="94"/>
      <c r="I376" s="36"/>
      <c r="N376" s="36"/>
    </row>
    <row r="377" spans="1:16" s="2" customFormat="1" ht="15.75" customHeight="1" x14ac:dyDescent="0.35">
      <c r="A377" s="90">
        <f t="shared" si="32"/>
        <v>205</v>
      </c>
      <c r="B377" s="90"/>
      <c r="C377" s="19" t="s">
        <v>203</v>
      </c>
      <c r="D377" s="19">
        <f t="shared" si="33"/>
        <v>652.97653199999991</v>
      </c>
      <c r="E377" s="19">
        <v>0</v>
      </c>
      <c r="F377" s="19">
        <f>D377*(($F$368)+1)++(IF(E377&lt;101,E377,IF(E377&lt;201,E377/2,IF(E377&lt;=301,E377/3,E377/4))))</f>
        <v>979.46479799999986</v>
      </c>
      <c r="G377" s="93"/>
      <c r="H377" s="94"/>
      <c r="I377" s="36"/>
      <c r="N377" s="36"/>
    </row>
    <row r="378" spans="1:16" s="2" customFormat="1" ht="15.75" customHeight="1" x14ac:dyDescent="0.35">
      <c r="A378" s="90">
        <f t="shared" si="32"/>
        <v>206</v>
      </c>
      <c r="B378" s="90"/>
      <c r="C378" s="106" t="s">
        <v>205</v>
      </c>
      <c r="D378" s="107"/>
      <c r="E378" s="107"/>
      <c r="F378" s="108"/>
      <c r="G378" s="93"/>
      <c r="H378" s="94"/>
      <c r="I378" s="36"/>
      <c r="N378" s="36"/>
    </row>
    <row r="379" spans="1:16" s="2" customFormat="1" ht="15.75" customHeight="1" x14ac:dyDescent="0.35">
      <c r="A379" s="90">
        <f t="shared" si="32"/>
        <v>207</v>
      </c>
      <c r="B379" s="90"/>
      <c r="C379" s="19" t="s">
        <v>204</v>
      </c>
      <c r="D379" s="19">
        <f>((32.54)+(2.9*1.52)+(2.13+2.9)*0.75)*10.764</f>
        <v>438.31546199999997</v>
      </c>
      <c r="E379" s="19">
        <v>0</v>
      </c>
      <c r="F379" s="19">
        <f>D379*(($F$368)+1)++(IF(E379&lt;101,E379,IF(E379&lt;201,E379/2,IF(E379&lt;=301,E379/3,E379/4))))</f>
        <v>657.47319299999992</v>
      </c>
      <c r="G379" s="93"/>
      <c r="H379" s="94"/>
      <c r="I379" s="36"/>
      <c r="N379" s="36"/>
    </row>
    <row r="380" spans="1:16" s="2" customFormat="1" ht="15.75" customHeight="1" x14ac:dyDescent="0.35">
      <c r="A380" s="90">
        <f t="shared" si="32"/>
        <v>208</v>
      </c>
      <c r="B380" s="90"/>
      <c r="C380" s="19" t="s">
        <v>203</v>
      </c>
      <c r="D380" s="19">
        <f>((51.47)+(2.9*1.52)+(2.13+2.75+1.5)*0.75)*10.764</f>
        <v>652.97653199999991</v>
      </c>
      <c r="E380" s="19">
        <v>0</v>
      </c>
      <c r="F380" s="19">
        <f>D380*(($F$368)+1)++(IF(E380&lt;101,E380,IF(E380&lt;201,E380/2,IF(E380&lt;=301,E380/3,E380/4))))</f>
        <v>979.46479799999986</v>
      </c>
      <c r="G380" s="95"/>
      <c r="H380" s="96"/>
      <c r="I380" s="36"/>
      <c r="N380" s="36"/>
    </row>
    <row r="381" spans="1:16" s="2" customFormat="1" ht="30" customHeight="1" x14ac:dyDescent="0.35">
      <c r="A381" s="103" t="s">
        <v>215</v>
      </c>
      <c r="B381" s="104"/>
      <c r="C381" s="104"/>
      <c r="D381" s="104"/>
      <c r="E381" s="104"/>
      <c r="F381" s="104"/>
      <c r="G381" s="104"/>
      <c r="H381" s="105"/>
      <c r="I381" s="36"/>
    </row>
    <row r="382" spans="1:16" s="2" customFormat="1" ht="15.75" customHeight="1" x14ac:dyDescent="0.35">
      <c r="A382" s="106" t="str">
        <f t="shared" ref="A382:A387" ca="1" si="34">N382</f>
        <v>301,..,2401</v>
      </c>
      <c r="B382" s="108"/>
      <c r="C382" s="19" t="s">
        <v>203</v>
      </c>
      <c r="D382" s="19">
        <f>((51.47)+(2.9*1.52)+(2.13+2.75+1.5)*0.75)*10.764</f>
        <v>652.97653199999991</v>
      </c>
      <c r="E382" s="19">
        <v>0</v>
      </c>
      <c r="F382" s="19">
        <f t="shared" ref="F382:F389" si="35">D382*(($F$368)+1)++(IF(E382&lt;101,E382,IF(E382&lt;201,E382/2,IF(E382&lt;=301,E382/3,E382/4))))</f>
        <v>979.46479799999986</v>
      </c>
      <c r="G382" s="91" t="str">
        <f>A381</f>
        <v>3rd, 4th, 5th, 6th, 8th, 9th, 10th, 11th, 13th, 14th, 15th, 16th, 18th, 19th, 20th, 21st, 23rd, 24th Floor</v>
      </c>
      <c r="H382" s="92"/>
      <c r="I382" s="36"/>
      <c r="N382" s="2" t="str">
        <f t="shared" ref="N382:N387" ca="1" si="36">O382&amp;""&amp;",..,"&amp;""&amp;P382</f>
        <v>301,..,2401</v>
      </c>
      <c r="O382" s="2">
        <v>301</v>
      </c>
      <c r="P382" s="2">
        <f ca="1">(SUMPRODUCT(MID(0&amp;(--TRIM(RIGHT(SUBSTITUTE(LEFT(A381,_xlfn.AGGREGATE(16,6,FIND({0,1,2,3,4,5,6,7,8,9},A381,ROW(INDIRECT("1:"&amp;LEN(A381)))),1))," ",REPT(" ",LEN(A381))),LEN(A381)))), LARGE(INDEX(ISNUMBER(--MID((--TRIM(RIGHT(SUBSTITUTE(LEFT(A381,_xlfn.AGGREGATE(16,6,FIND({0,1,2,3,4,5,6,7,8,9},A381,ROW(INDIRECT("1:"&amp;LEN(A381)))),1))," ",REPT(" ",LEN(A381))),LEN(A381)))), ROW(INDIRECT("1:"&amp;LEN((--TRIM(RIGHT(SUBSTITUTE(LEFT(A381,_xlfn.AGGREGATE(16,6,FIND({0,1,2,3,4,5,6,7,8,9},A381,ROW(INDIRECT("1:"&amp;LEN(A381)))),1))," ",REPT(" ",LEN(A381))),LEN(A381))))))), 1)) * ROW(INDIRECT("1:"&amp;LEN((--TRIM(RIGHT(SUBSTITUTE(LEFT(A381,_xlfn.AGGREGATE(16,6,FIND({0,1,2,3,4,5,6,7,8,9},A381,ROW(INDIRECT("1:"&amp;LEN(A381)))),1))," ",REPT(" ",LEN(A381))),LEN(A381))))))), 0), ROW(INDIRECT("1:"&amp;LEN((--TRIM(RIGHT(SUBSTITUTE(LEFT(A381,_xlfn.AGGREGATE(16,6,FIND({0,1,2,3,4,5,6,7,8,9},A381,ROW(INDIRECT("1:"&amp;LEN(A381)))),1))," ",REPT(" ",LEN(A381))),LEN(A381))))))))+1, 1) * 10^ROW(INDIRECT("1:"&amp;LEN((--TRIM(RIGHT(SUBSTITUTE(LEFT(A381,_xlfn.AGGREGATE(16,6,FIND({0,1,2,3,4,5,6,7,8,9},A381,ROW(INDIRECT("1:"&amp;LEN(A381)))),1))," ",REPT(" ",LEN(A381))),LEN(A381)))))))/10))*100+1</f>
        <v>2401</v>
      </c>
    </row>
    <row r="383" spans="1:16" s="2" customFormat="1" ht="15.75" customHeight="1" x14ac:dyDescent="0.35">
      <c r="A383" s="106" t="str">
        <f t="shared" ca="1" si="34"/>
        <v>302,..,2402</v>
      </c>
      <c r="B383" s="108"/>
      <c r="C383" s="19" t="s">
        <v>204</v>
      </c>
      <c r="D383" s="19">
        <f>((32.54)+(2.9*1.52)+(2.13+2.9)*0.75)*10.764</f>
        <v>438.31546199999997</v>
      </c>
      <c r="E383" s="19">
        <v>0</v>
      </c>
      <c r="F383" s="19">
        <f t="shared" si="35"/>
        <v>657.47319299999992</v>
      </c>
      <c r="G383" s="93"/>
      <c r="H383" s="94"/>
      <c r="I383" s="36"/>
      <c r="N383" s="2" t="str">
        <f t="shared" ca="1" si="36"/>
        <v>302,..,2402</v>
      </c>
      <c r="O383" s="2">
        <f t="shared" ref="O383:P386" si="37">O382+1</f>
        <v>302</v>
      </c>
      <c r="P383" s="2">
        <f t="shared" ca="1" si="37"/>
        <v>2402</v>
      </c>
    </row>
    <row r="384" spans="1:16" s="2" customFormat="1" ht="15.75" customHeight="1" x14ac:dyDescent="0.35">
      <c r="A384" s="106" t="str">
        <f t="shared" ca="1" si="34"/>
        <v>303,..,2403</v>
      </c>
      <c r="B384" s="108"/>
      <c r="C384" s="19" t="s">
        <v>204</v>
      </c>
      <c r="D384" s="19">
        <f>((32.54)+(2.9*1.52)+(2.13+2.9)*0.75)*10.764</f>
        <v>438.31546199999997</v>
      </c>
      <c r="E384" s="19">
        <v>0</v>
      </c>
      <c r="F384" s="19">
        <f t="shared" si="35"/>
        <v>657.47319299999992</v>
      </c>
      <c r="G384" s="93"/>
      <c r="H384" s="94"/>
      <c r="I384" s="36">
        <f>5399250/F384</f>
        <v>8212.1218895079728</v>
      </c>
      <c r="J384" s="36">
        <f>166832/F384</f>
        <v>253.74722768354758</v>
      </c>
      <c r="K384" s="2">
        <f>J384/12</f>
        <v>21.145602306962299</v>
      </c>
      <c r="N384" s="2" t="str">
        <f t="shared" ca="1" si="36"/>
        <v>303,..,2403</v>
      </c>
      <c r="O384" s="2">
        <f t="shared" si="37"/>
        <v>303</v>
      </c>
      <c r="P384" s="2">
        <f t="shared" ca="1" si="37"/>
        <v>2403</v>
      </c>
    </row>
    <row r="385" spans="1:16" s="2" customFormat="1" ht="15.75" customHeight="1" x14ac:dyDescent="0.35">
      <c r="A385" s="106" t="str">
        <f t="shared" ca="1" si="34"/>
        <v>304,..,2404</v>
      </c>
      <c r="B385" s="108"/>
      <c r="C385" s="19" t="s">
        <v>203</v>
      </c>
      <c r="D385" s="19">
        <f>((51.47)+(2.9*1.52)+(2.13+2.75+1.5)*0.75)*10.764</f>
        <v>652.97653199999991</v>
      </c>
      <c r="E385" s="19">
        <v>0</v>
      </c>
      <c r="F385" s="19">
        <f t="shared" si="35"/>
        <v>979.46479799999986</v>
      </c>
      <c r="G385" s="93"/>
      <c r="H385" s="94"/>
      <c r="I385" s="36"/>
      <c r="N385" s="2" t="str">
        <f t="shared" ca="1" si="36"/>
        <v>304,..,2404</v>
      </c>
      <c r="O385" s="2">
        <f t="shared" si="37"/>
        <v>304</v>
      </c>
      <c r="P385" s="2">
        <f t="shared" ca="1" si="37"/>
        <v>2404</v>
      </c>
    </row>
    <row r="386" spans="1:16" s="2" customFormat="1" ht="15.75" customHeight="1" x14ac:dyDescent="0.35">
      <c r="A386" s="106" t="str">
        <f t="shared" ca="1" si="34"/>
        <v>305,..,2405</v>
      </c>
      <c r="B386" s="108"/>
      <c r="C386" s="19" t="s">
        <v>203</v>
      </c>
      <c r="D386" s="19">
        <f>((51.47)+(2.9*1.52)+(2.13+2.75+1.5)*0.75)*10.764</f>
        <v>652.97653199999991</v>
      </c>
      <c r="E386" s="19">
        <v>0</v>
      </c>
      <c r="F386" s="19">
        <f t="shared" si="35"/>
        <v>979.46479799999986</v>
      </c>
      <c r="G386" s="93"/>
      <c r="H386" s="94"/>
      <c r="I386" s="36"/>
      <c r="N386" s="2" t="str">
        <f t="shared" ca="1" si="36"/>
        <v>305,..,2405</v>
      </c>
      <c r="O386" s="2">
        <f t="shared" si="37"/>
        <v>305</v>
      </c>
      <c r="P386" s="2">
        <f t="shared" ca="1" si="37"/>
        <v>2405</v>
      </c>
    </row>
    <row r="387" spans="1:16" s="2" customFormat="1" ht="15.75" customHeight="1" x14ac:dyDescent="0.35">
      <c r="A387" s="106" t="str">
        <f t="shared" ca="1" si="34"/>
        <v>306,..,2406</v>
      </c>
      <c r="B387" s="108"/>
      <c r="C387" s="19" t="s">
        <v>204</v>
      </c>
      <c r="D387" s="19">
        <f>((32.54)+(2.9*1.52)+(2.13+2.9)*0.75)*10.764</f>
        <v>438.31546199999997</v>
      </c>
      <c r="E387" s="19">
        <v>0</v>
      </c>
      <c r="F387" s="19">
        <f t="shared" si="35"/>
        <v>657.47319299999992</v>
      </c>
      <c r="G387" s="93"/>
      <c r="H387" s="94"/>
      <c r="I387" s="36"/>
      <c r="N387" s="2" t="str">
        <f t="shared" ca="1" si="36"/>
        <v>306,..,2406</v>
      </c>
      <c r="O387" s="2">
        <f t="shared" ref="O387:P387" si="38">O386+1</f>
        <v>306</v>
      </c>
      <c r="P387" s="2">
        <f t="shared" ca="1" si="38"/>
        <v>2406</v>
      </c>
    </row>
    <row r="388" spans="1:16" s="2" customFormat="1" ht="15.75" customHeight="1" x14ac:dyDescent="0.35">
      <c r="A388" s="106" t="str">
        <f t="shared" ref="A388:A389" ca="1" si="39">N388</f>
        <v>307,..,2407</v>
      </c>
      <c r="B388" s="108"/>
      <c r="C388" s="19" t="s">
        <v>204</v>
      </c>
      <c r="D388" s="19">
        <f>((32.54)+(2.9*1.52)+(2.13+2.9)*0.75)*10.764</f>
        <v>438.31546199999997</v>
      </c>
      <c r="E388" s="19">
        <v>0</v>
      </c>
      <c r="F388" s="19">
        <f t="shared" si="35"/>
        <v>657.47319299999992</v>
      </c>
      <c r="G388" s="93"/>
      <c r="H388" s="94"/>
      <c r="I388" s="36"/>
      <c r="N388" s="2" t="str">
        <f t="shared" ref="N388:N389" ca="1" si="40">O388&amp;""&amp;",..,"&amp;""&amp;P388</f>
        <v>307,..,2407</v>
      </c>
      <c r="O388" s="2">
        <f t="shared" ref="O388:P388" si="41">O387+1</f>
        <v>307</v>
      </c>
      <c r="P388" s="2">
        <f t="shared" ca="1" si="41"/>
        <v>2407</v>
      </c>
    </row>
    <row r="389" spans="1:16" s="2" customFormat="1" ht="15.75" customHeight="1" x14ac:dyDescent="0.35">
      <c r="A389" s="106" t="str">
        <f t="shared" ca="1" si="39"/>
        <v>308,..,2408</v>
      </c>
      <c r="B389" s="108"/>
      <c r="C389" s="19" t="s">
        <v>203</v>
      </c>
      <c r="D389" s="19">
        <f>((51.47)+(2.9*1.52)+(2.13+2.75+1.5)*0.75)*10.764</f>
        <v>652.97653199999991</v>
      </c>
      <c r="E389" s="19">
        <v>0</v>
      </c>
      <c r="F389" s="19">
        <f t="shared" si="35"/>
        <v>979.46479799999986</v>
      </c>
      <c r="G389" s="95"/>
      <c r="H389" s="96"/>
      <c r="I389" s="36"/>
      <c r="N389" s="2" t="str">
        <f t="shared" ca="1" si="40"/>
        <v>308,..,2408</v>
      </c>
      <c r="O389" s="2">
        <f t="shared" ref="O389:P389" si="42">O388+1</f>
        <v>308</v>
      </c>
      <c r="P389" s="2">
        <f t="shared" ca="1" si="42"/>
        <v>2408</v>
      </c>
    </row>
    <row r="390" spans="1:16" s="2" customFormat="1" ht="15.75" customHeight="1" x14ac:dyDescent="0.35">
      <c r="A390" s="103" t="s">
        <v>209</v>
      </c>
      <c r="B390" s="104"/>
      <c r="C390" s="104"/>
      <c r="D390" s="104"/>
      <c r="E390" s="104"/>
      <c r="F390" s="104"/>
      <c r="G390" s="104"/>
      <c r="H390" s="105"/>
      <c r="I390" s="36"/>
    </row>
    <row r="391" spans="1:16" s="2" customFormat="1" ht="15.75" customHeight="1" x14ac:dyDescent="0.35">
      <c r="A391" s="106" t="str">
        <f t="shared" ref="A391:A398" ca="1" si="43">N391</f>
        <v>701,..,2201</v>
      </c>
      <c r="B391" s="108"/>
      <c r="C391" s="19" t="s">
        <v>203</v>
      </c>
      <c r="D391" s="19">
        <f>((51.47)+(2.9*1.52)+(2.13+2.75+1.5)*0.75)*10.764</f>
        <v>652.97653199999991</v>
      </c>
      <c r="E391" s="19">
        <v>0</v>
      </c>
      <c r="F391" s="19">
        <f>D391*(($F$368)+1)++(IF(E391&lt;101,E391,IF(E391&lt;201,E391/2,IF(E391&lt;=301,E391/3,E391/4))))</f>
        <v>979.46479799999986</v>
      </c>
      <c r="G391" s="91" t="str">
        <f>A390</f>
        <v>7th, 12th, 17th, 22nd Floor (Part Refuge Area)</v>
      </c>
      <c r="H391" s="92"/>
      <c r="I391" s="36"/>
      <c r="N391" s="2" t="str">
        <f t="shared" ref="N391:N398" ca="1" si="44">O391&amp;""&amp;",..,"&amp;""&amp;P391</f>
        <v>701,..,2201</v>
      </c>
      <c r="O391" s="2">
        <v>701</v>
      </c>
      <c r="P391" s="2">
        <f ca="1">(SUMPRODUCT(MID(0&amp;(--TRIM(RIGHT(SUBSTITUTE(LEFT(A390,_xlfn.AGGREGATE(16,6,FIND({0,1,2,3,4,5,6,7,8,9},A390,ROW(INDIRECT("1:"&amp;LEN(A390)))),1))," ",REPT(" ",LEN(A390))),LEN(A390)))), LARGE(INDEX(ISNUMBER(--MID((--TRIM(RIGHT(SUBSTITUTE(LEFT(A390,_xlfn.AGGREGATE(16,6,FIND({0,1,2,3,4,5,6,7,8,9},A390,ROW(INDIRECT("1:"&amp;LEN(A390)))),1))," ",REPT(" ",LEN(A390))),LEN(A390)))), ROW(INDIRECT("1:"&amp;LEN((--TRIM(RIGHT(SUBSTITUTE(LEFT(A390,_xlfn.AGGREGATE(16,6,FIND({0,1,2,3,4,5,6,7,8,9},A390,ROW(INDIRECT("1:"&amp;LEN(A390)))),1))," ",REPT(" ",LEN(A390))),LEN(A390))))))), 1)) * ROW(INDIRECT("1:"&amp;LEN((--TRIM(RIGHT(SUBSTITUTE(LEFT(A390,_xlfn.AGGREGATE(16,6,FIND({0,1,2,3,4,5,6,7,8,9},A390,ROW(INDIRECT("1:"&amp;LEN(A390)))),1))," ",REPT(" ",LEN(A390))),LEN(A390))))))), 0), ROW(INDIRECT("1:"&amp;LEN((--TRIM(RIGHT(SUBSTITUTE(LEFT(A390,_xlfn.AGGREGATE(16,6,FIND({0,1,2,3,4,5,6,7,8,9},A390,ROW(INDIRECT("1:"&amp;LEN(A390)))),1))," ",REPT(" ",LEN(A390))),LEN(A390))))))))+1, 1) * 10^ROW(INDIRECT("1:"&amp;LEN((--TRIM(RIGHT(SUBSTITUTE(LEFT(A390,_xlfn.AGGREGATE(16,6,FIND({0,1,2,3,4,5,6,7,8,9},A390,ROW(INDIRECT("1:"&amp;LEN(A390)))),1))," ",REPT(" ",LEN(A390))),LEN(A390)))))))/10))*100+1</f>
        <v>2201</v>
      </c>
    </row>
    <row r="392" spans="1:16" s="2" customFormat="1" ht="15.75" customHeight="1" x14ac:dyDescent="0.35">
      <c r="A392" s="106" t="str">
        <f t="shared" ca="1" si="43"/>
        <v>702,..,2202</v>
      </c>
      <c r="B392" s="108"/>
      <c r="C392" s="106" t="s">
        <v>206</v>
      </c>
      <c r="D392" s="107"/>
      <c r="E392" s="107"/>
      <c r="F392" s="108"/>
      <c r="G392" s="93"/>
      <c r="H392" s="94"/>
      <c r="I392" s="36"/>
      <c r="N392" s="2" t="str">
        <f t="shared" ca="1" si="44"/>
        <v>702,..,2202</v>
      </c>
      <c r="O392" s="2">
        <f t="shared" ref="O392:P392" si="45">O391+1</f>
        <v>702</v>
      </c>
      <c r="P392" s="2">
        <f t="shared" ca="1" si="45"/>
        <v>2202</v>
      </c>
    </row>
    <row r="393" spans="1:16" s="2" customFormat="1" ht="15.75" customHeight="1" x14ac:dyDescent="0.35">
      <c r="A393" s="106" t="str">
        <f t="shared" ca="1" si="43"/>
        <v>703,..,2203</v>
      </c>
      <c r="B393" s="108"/>
      <c r="C393" s="19" t="s">
        <v>204</v>
      </c>
      <c r="D393" s="19">
        <f>((32.54)+(2.9*1.52)+(2.13+2.9)*0.75)*10.764</f>
        <v>438.31546199999997</v>
      </c>
      <c r="E393" s="19">
        <v>0</v>
      </c>
      <c r="F393" s="19">
        <f t="shared" ref="F393:F398" si="46">D393*(($F$368)+1)++(IF(E393&lt;101,E393,IF(E393&lt;201,E393/2,IF(E393&lt;=301,E393/3,E393/4))))</f>
        <v>657.47319299999992</v>
      </c>
      <c r="G393" s="93"/>
      <c r="H393" s="94"/>
      <c r="I393" s="36"/>
      <c r="N393" s="2" t="str">
        <f t="shared" ca="1" si="44"/>
        <v>703,..,2203</v>
      </c>
      <c r="O393" s="2">
        <f t="shared" ref="O393:P393" si="47">O392+1</f>
        <v>703</v>
      </c>
      <c r="P393" s="2">
        <f t="shared" ca="1" si="47"/>
        <v>2203</v>
      </c>
    </row>
    <row r="394" spans="1:16" s="2" customFormat="1" ht="15.75" customHeight="1" x14ac:dyDescent="0.35">
      <c r="A394" s="106" t="str">
        <f t="shared" ca="1" si="43"/>
        <v>704,..,2204</v>
      </c>
      <c r="B394" s="108"/>
      <c r="C394" s="19" t="s">
        <v>203</v>
      </c>
      <c r="D394" s="19">
        <f>((51.47)+(2.9*1.52)+(2.13+2.75+1.5)*0.75)*10.764</f>
        <v>652.97653199999991</v>
      </c>
      <c r="E394" s="19">
        <v>0</v>
      </c>
      <c r="F394" s="19">
        <f t="shared" si="46"/>
        <v>979.46479799999986</v>
      </c>
      <c r="G394" s="93"/>
      <c r="H394" s="94"/>
      <c r="I394" s="36"/>
      <c r="N394" s="2" t="str">
        <f t="shared" ca="1" si="44"/>
        <v>704,..,2204</v>
      </c>
      <c r="O394" s="2">
        <f t="shared" ref="O394:P394" si="48">O393+1</f>
        <v>704</v>
      </c>
      <c r="P394" s="2">
        <f t="shared" ca="1" si="48"/>
        <v>2204</v>
      </c>
    </row>
    <row r="395" spans="1:16" s="2" customFormat="1" ht="15.75" customHeight="1" x14ac:dyDescent="0.35">
      <c r="A395" s="106" t="str">
        <f t="shared" ca="1" si="43"/>
        <v>705,..,2205</v>
      </c>
      <c r="B395" s="108"/>
      <c r="C395" s="19" t="s">
        <v>203</v>
      </c>
      <c r="D395" s="19">
        <f>((51.47)+(2.9*1.52)+(2.13+2.75+1.5)*0.75)*10.764</f>
        <v>652.97653199999991</v>
      </c>
      <c r="E395" s="19">
        <v>0</v>
      </c>
      <c r="F395" s="19">
        <f t="shared" si="46"/>
        <v>979.46479799999986</v>
      </c>
      <c r="G395" s="93"/>
      <c r="H395" s="94"/>
      <c r="I395" s="36"/>
      <c r="N395" s="2" t="str">
        <f t="shared" ca="1" si="44"/>
        <v>705,..,2205</v>
      </c>
      <c r="O395" s="2">
        <f t="shared" ref="O395:P395" si="49">O394+1</f>
        <v>705</v>
      </c>
      <c r="P395" s="2">
        <f t="shared" ca="1" si="49"/>
        <v>2205</v>
      </c>
    </row>
    <row r="396" spans="1:16" s="2" customFormat="1" ht="15.75" customHeight="1" x14ac:dyDescent="0.35">
      <c r="A396" s="106" t="str">
        <f t="shared" ca="1" si="43"/>
        <v>706,..,2206</v>
      </c>
      <c r="B396" s="108"/>
      <c r="C396" s="19" t="s">
        <v>204</v>
      </c>
      <c r="D396" s="19">
        <f>((32.54)+(2.9*1.52)+(2.13+2.9)*0.75)*10.764</f>
        <v>438.31546199999997</v>
      </c>
      <c r="E396" s="19">
        <v>0</v>
      </c>
      <c r="F396" s="19">
        <f t="shared" si="46"/>
        <v>657.47319299999992</v>
      </c>
      <c r="G396" s="93"/>
      <c r="H396" s="94"/>
      <c r="I396" s="36"/>
      <c r="N396" s="2" t="str">
        <f t="shared" ca="1" si="44"/>
        <v>706,..,2206</v>
      </c>
      <c r="O396" s="2">
        <f t="shared" ref="O396:P396" si="50">O395+1</f>
        <v>706</v>
      </c>
      <c r="P396" s="2">
        <f t="shared" ca="1" si="50"/>
        <v>2206</v>
      </c>
    </row>
    <row r="397" spans="1:16" s="2" customFormat="1" ht="15.75" customHeight="1" x14ac:dyDescent="0.35">
      <c r="A397" s="106" t="str">
        <f t="shared" ca="1" si="43"/>
        <v>707,..,2207</v>
      </c>
      <c r="B397" s="108"/>
      <c r="C397" s="19" t="s">
        <v>204</v>
      </c>
      <c r="D397" s="19">
        <f>((32.54)+(2.9*1.52)+(2.13+2.9)*0.75)*10.764</f>
        <v>438.31546199999997</v>
      </c>
      <c r="E397" s="19">
        <v>0</v>
      </c>
      <c r="F397" s="19">
        <f t="shared" si="46"/>
        <v>657.47319299999992</v>
      </c>
      <c r="G397" s="93"/>
      <c r="H397" s="94"/>
      <c r="I397" s="36"/>
      <c r="N397" s="2" t="str">
        <f t="shared" ca="1" si="44"/>
        <v>707,..,2207</v>
      </c>
      <c r="O397" s="2">
        <f t="shared" ref="O397:P397" si="51">O396+1</f>
        <v>707</v>
      </c>
      <c r="P397" s="2">
        <f t="shared" ca="1" si="51"/>
        <v>2207</v>
      </c>
    </row>
    <row r="398" spans="1:16" s="2" customFormat="1" ht="15.75" customHeight="1" x14ac:dyDescent="0.35">
      <c r="A398" s="106" t="str">
        <f t="shared" ca="1" si="43"/>
        <v>708,..,2208</v>
      </c>
      <c r="B398" s="108"/>
      <c r="C398" s="19" t="s">
        <v>203</v>
      </c>
      <c r="D398" s="19">
        <f>((51.47)+(2.9*1.52)+(2.13+2.75+1.5)*0.75)*10.764</f>
        <v>652.97653199999991</v>
      </c>
      <c r="E398" s="19">
        <v>0</v>
      </c>
      <c r="F398" s="19">
        <f t="shared" si="46"/>
        <v>979.46479799999986</v>
      </c>
      <c r="G398" s="95"/>
      <c r="H398" s="96"/>
      <c r="I398" s="36"/>
      <c r="N398" s="2" t="str">
        <f t="shared" ca="1" si="44"/>
        <v>708,..,2208</v>
      </c>
      <c r="O398" s="2">
        <f t="shared" ref="O398:P398" si="52">O397+1</f>
        <v>708</v>
      </c>
      <c r="P398" s="2">
        <f t="shared" ca="1" si="52"/>
        <v>2208</v>
      </c>
    </row>
    <row r="399" spans="1:16" s="2" customFormat="1" x14ac:dyDescent="0.35">
      <c r="A399" s="102" t="s">
        <v>207</v>
      </c>
      <c r="B399" s="102"/>
      <c r="C399" s="102"/>
      <c r="D399" s="102"/>
      <c r="E399" s="102"/>
      <c r="F399" s="102"/>
      <c r="G399" s="102"/>
      <c r="H399" s="102"/>
      <c r="I399" s="36"/>
      <c r="L399" s="109"/>
      <c r="M399" s="109"/>
    </row>
    <row r="400" spans="1:16" s="2" customFormat="1" x14ac:dyDescent="0.35">
      <c r="A400" s="102" t="s">
        <v>202</v>
      </c>
      <c r="B400" s="102"/>
      <c r="C400" s="102"/>
      <c r="D400" s="102"/>
      <c r="E400" s="102"/>
      <c r="F400" s="102"/>
      <c r="G400" s="102"/>
      <c r="H400" s="102"/>
      <c r="I400" s="36"/>
      <c r="L400" s="109"/>
      <c r="M400" s="109"/>
    </row>
    <row r="401" spans="1:16" s="2" customFormat="1" ht="15.75" customHeight="1" x14ac:dyDescent="0.35">
      <c r="A401" s="90">
        <f>LEFT(A400,SUM(LEN(A400)-LEN(SUBSTITUTE(A400,{"0","1","2","3","4","5","6","7","8","9"},""))))*100+1</f>
        <v>201</v>
      </c>
      <c r="B401" s="90"/>
      <c r="C401" s="68" t="s">
        <v>203</v>
      </c>
      <c r="D401" s="68">
        <f>((51.47)+(2.9*1.52)+(2.13+2.75+1.5)*0.75)*10.764</f>
        <v>652.97653199999991</v>
      </c>
      <c r="E401" s="68">
        <f>(2.9*3.75+2.13*3+2.75*2.75+1.5*5+0.9*0.9)*10.764</f>
        <v>356.69204999999999</v>
      </c>
      <c r="F401" s="68">
        <f>D401*(($F$368)+1)++(IF(E401&lt;101,E401,IF(E401&lt;201,E401/2,IF(E401&lt;=301,E401/3,E401/4))))</f>
        <v>1068.6378104999999</v>
      </c>
      <c r="G401" s="90" t="str">
        <f>A400</f>
        <v>2nd Floor for Residential</v>
      </c>
      <c r="H401" s="90"/>
      <c r="I401" s="36"/>
      <c r="N401" s="36"/>
    </row>
    <row r="402" spans="1:16" s="2" customFormat="1" ht="15.75" customHeight="1" x14ac:dyDescent="0.35">
      <c r="A402" s="90">
        <f>A401+1</f>
        <v>202</v>
      </c>
      <c r="B402" s="90"/>
      <c r="C402" s="68" t="s">
        <v>204</v>
      </c>
      <c r="D402" s="68">
        <f>((32.54)+(2.9*1.52)+(2.13+2.9)*0.75)*10.764</f>
        <v>438.31546199999997</v>
      </c>
      <c r="E402" s="68">
        <f>(2.9*2.75+5.03*3.2+3.2*0.9)*10.764</f>
        <v>290.10056399999996</v>
      </c>
      <c r="F402" s="68">
        <f>D402*(($F$368)+1)++(IF(E402&lt;101,E402,IF(E402&lt;201,E402/2,IF(E402&lt;=301,E402/3,E402/4))))</f>
        <v>754.17338099999995</v>
      </c>
      <c r="G402" s="90"/>
      <c r="H402" s="90"/>
      <c r="I402" s="36"/>
      <c r="N402" s="36"/>
    </row>
    <row r="403" spans="1:16" s="2" customFormat="1" ht="15.75" customHeight="1" x14ac:dyDescent="0.35">
      <c r="A403" s="90">
        <f>A402+1</f>
        <v>203</v>
      </c>
      <c r="B403" s="90"/>
      <c r="C403" s="68" t="s">
        <v>204</v>
      </c>
      <c r="D403" s="68">
        <f>((32.54)+(2.9*1.52)+(2.13+2.9)*0.75)*10.764</f>
        <v>438.31546199999997</v>
      </c>
      <c r="E403" s="68">
        <f>(2.9*2.75+5.03*3.2+3.2*0.9)*10.764</f>
        <v>290.10056399999996</v>
      </c>
      <c r="F403" s="68">
        <f>D403*(($F$368)+1)++(IF(E403&lt;101,E403,IF(E403&lt;201,E403/2,IF(E403&lt;=301,E403/3,E403/4))))</f>
        <v>754.17338099999995</v>
      </c>
      <c r="G403" s="90"/>
      <c r="H403" s="90"/>
      <c r="I403" s="36"/>
      <c r="N403" s="36"/>
    </row>
    <row r="404" spans="1:16" s="2" customFormat="1" ht="15.75" customHeight="1" x14ac:dyDescent="0.35">
      <c r="A404" s="90">
        <f t="shared" ref="A404:A408" si="53">A403+1</f>
        <v>204</v>
      </c>
      <c r="B404" s="90"/>
      <c r="C404" s="68" t="s">
        <v>203</v>
      </c>
      <c r="D404" s="68">
        <f t="shared" ref="D404:D405" si="54">((51.47)+(2.9*1.52)+(2.13+2.75+1.5)*0.75)*10.764</f>
        <v>652.97653199999991</v>
      </c>
      <c r="E404" s="68">
        <f>(2.9*3.75+2.13*3+2.75*2.75+1.5*5+0.9*0.9)*10.764</f>
        <v>356.69204999999999</v>
      </c>
      <c r="F404" s="68">
        <f>D404*(($F$368)+1)++(IF(E404&lt;101,E404,IF(E404&lt;201,E404/2,IF(E404&lt;=301,E404/3,E404/4))))</f>
        <v>1068.6378104999999</v>
      </c>
      <c r="G404" s="90"/>
      <c r="H404" s="90"/>
      <c r="I404" s="36"/>
      <c r="N404" s="36"/>
    </row>
    <row r="405" spans="1:16" s="2" customFormat="1" ht="15.75" customHeight="1" x14ac:dyDescent="0.35">
      <c r="A405" s="90">
        <f t="shared" si="53"/>
        <v>205</v>
      </c>
      <c r="B405" s="90"/>
      <c r="C405" s="68" t="s">
        <v>203</v>
      </c>
      <c r="D405" s="68">
        <f t="shared" si="54"/>
        <v>652.97653199999991</v>
      </c>
      <c r="E405" s="68">
        <v>0</v>
      </c>
      <c r="F405" s="68">
        <f>D405*(($F$368)+1)++(IF(E405&lt;101,E405,IF(E405&lt;201,E405/2,IF(E405&lt;=301,E405/3,E405/4))))</f>
        <v>979.46479799999986</v>
      </c>
      <c r="G405" s="90"/>
      <c r="H405" s="90"/>
      <c r="I405" s="36"/>
      <c r="N405" s="36"/>
    </row>
    <row r="406" spans="1:16" s="2" customFormat="1" ht="15.75" customHeight="1" x14ac:dyDescent="0.35">
      <c r="A406" s="90">
        <f t="shared" si="53"/>
        <v>206</v>
      </c>
      <c r="B406" s="90"/>
      <c r="C406" s="90" t="s">
        <v>205</v>
      </c>
      <c r="D406" s="90"/>
      <c r="E406" s="90"/>
      <c r="F406" s="90"/>
      <c r="G406" s="90"/>
      <c r="H406" s="90"/>
      <c r="I406" s="36"/>
      <c r="N406" s="36"/>
    </row>
    <row r="407" spans="1:16" s="2" customFormat="1" ht="15.75" customHeight="1" x14ac:dyDescent="0.35">
      <c r="A407" s="90">
        <f t="shared" si="53"/>
        <v>207</v>
      </c>
      <c r="B407" s="90"/>
      <c r="C407" s="68" t="s">
        <v>204</v>
      </c>
      <c r="D407" s="68">
        <f>((32.54)+(2.9*1.52)+(2.13+2.9)*0.75)*10.764</f>
        <v>438.31546199999997</v>
      </c>
      <c r="E407" s="68">
        <v>0</v>
      </c>
      <c r="F407" s="68">
        <f>D407*(($F$368)+1)++(IF(E407&lt;101,E407,IF(E407&lt;201,E407/2,IF(E407&lt;=301,E407/3,E407/4))))</f>
        <v>657.47319299999992</v>
      </c>
      <c r="G407" s="90"/>
      <c r="H407" s="90"/>
      <c r="I407" s="36"/>
      <c r="N407" s="36"/>
    </row>
    <row r="408" spans="1:16" s="2" customFormat="1" ht="15.75" customHeight="1" x14ac:dyDescent="0.35">
      <c r="A408" s="90">
        <f t="shared" si="53"/>
        <v>208</v>
      </c>
      <c r="B408" s="90"/>
      <c r="C408" s="68" t="s">
        <v>203</v>
      </c>
      <c r="D408" s="68">
        <f>((51.47)+(2.9*1.52)+(2.13+2.75+1.5)*0.75)*10.764</f>
        <v>652.97653199999991</v>
      </c>
      <c r="E408" s="68">
        <v>0</v>
      </c>
      <c r="F408" s="68">
        <f>D408*(($F$368)+1)++(IF(E408&lt;101,E408,IF(E408&lt;201,E408/2,IF(E408&lt;=301,E408/3,E408/4))))</f>
        <v>979.46479799999986</v>
      </c>
      <c r="G408" s="90"/>
      <c r="H408" s="90"/>
      <c r="I408" s="36"/>
      <c r="N408" s="36"/>
    </row>
    <row r="409" spans="1:16" s="2" customFormat="1" ht="15.75" customHeight="1" x14ac:dyDescent="0.35">
      <c r="A409" s="103" t="s">
        <v>215</v>
      </c>
      <c r="B409" s="104"/>
      <c r="C409" s="104"/>
      <c r="D409" s="104"/>
      <c r="E409" s="104"/>
      <c r="F409" s="104"/>
      <c r="G409" s="104"/>
      <c r="H409" s="105"/>
      <c r="I409" s="36"/>
    </row>
    <row r="410" spans="1:16" s="2" customFormat="1" ht="15.75" customHeight="1" x14ac:dyDescent="0.35">
      <c r="A410" s="106" t="str">
        <f t="shared" ref="A410:A417" ca="1" si="55">N410</f>
        <v>301,..,2401</v>
      </c>
      <c r="B410" s="108"/>
      <c r="C410" s="19" t="s">
        <v>203</v>
      </c>
      <c r="D410" s="19">
        <f>((51.47)+(2.9*1.52)+(2.13+2.75+1.5)*0.75)*10.764</f>
        <v>652.97653199999991</v>
      </c>
      <c r="E410" s="19">
        <v>0</v>
      </c>
      <c r="F410" s="19">
        <f t="shared" ref="F410:F417" si="56">D410*(($F$368)+1)++(IF(E410&lt;101,E410,IF(E410&lt;201,E410/2,IF(E410&lt;=301,E410/3,E410/4))))</f>
        <v>979.46479799999986</v>
      </c>
      <c r="G410" s="91" t="str">
        <f>A409</f>
        <v>3rd, 4th, 5th, 6th, 8th, 9th, 10th, 11th, 13th, 14th, 15th, 16th, 18th, 19th, 20th, 21st, 23rd, 24th Floor</v>
      </c>
      <c r="H410" s="92"/>
      <c r="I410" s="36"/>
      <c r="N410" s="2" t="str">
        <f t="shared" ref="N410:N417" ca="1" si="57">O410&amp;""&amp;",..,"&amp;""&amp;P410</f>
        <v>301,..,2401</v>
      </c>
      <c r="O410" s="2">
        <v>301</v>
      </c>
      <c r="P410" s="2">
        <f ca="1">(SUMPRODUCT(MID(0&amp;(--TRIM(RIGHT(SUBSTITUTE(LEFT(A409,_xlfn.AGGREGATE(16,6,FIND({0,1,2,3,4,5,6,7,8,9},A409,ROW(INDIRECT("1:"&amp;LEN(A409)))),1))," ",REPT(" ",LEN(A409))),LEN(A409)))), LARGE(INDEX(ISNUMBER(--MID((--TRIM(RIGHT(SUBSTITUTE(LEFT(A409,_xlfn.AGGREGATE(16,6,FIND({0,1,2,3,4,5,6,7,8,9},A409,ROW(INDIRECT("1:"&amp;LEN(A409)))),1))," ",REPT(" ",LEN(A409))),LEN(A409)))), ROW(INDIRECT("1:"&amp;LEN((--TRIM(RIGHT(SUBSTITUTE(LEFT(A409,_xlfn.AGGREGATE(16,6,FIND({0,1,2,3,4,5,6,7,8,9},A409,ROW(INDIRECT("1:"&amp;LEN(A409)))),1))," ",REPT(" ",LEN(A409))),LEN(A409))))))), 1)) * ROW(INDIRECT("1:"&amp;LEN((--TRIM(RIGHT(SUBSTITUTE(LEFT(A409,_xlfn.AGGREGATE(16,6,FIND({0,1,2,3,4,5,6,7,8,9},A409,ROW(INDIRECT("1:"&amp;LEN(A409)))),1))," ",REPT(" ",LEN(A409))),LEN(A409))))))), 0), ROW(INDIRECT("1:"&amp;LEN((--TRIM(RIGHT(SUBSTITUTE(LEFT(A409,_xlfn.AGGREGATE(16,6,FIND({0,1,2,3,4,5,6,7,8,9},A409,ROW(INDIRECT("1:"&amp;LEN(A409)))),1))," ",REPT(" ",LEN(A409))),LEN(A409))))))))+1, 1) * 10^ROW(INDIRECT("1:"&amp;LEN((--TRIM(RIGHT(SUBSTITUTE(LEFT(A409,_xlfn.AGGREGATE(16,6,FIND({0,1,2,3,4,5,6,7,8,9},A409,ROW(INDIRECT("1:"&amp;LEN(A409)))),1))," ",REPT(" ",LEN(A409))),LEN(A409)))))))/10))*100+1</f>
        <v>2401</v>
      </c>
    </row>
    <row r="411" spans="1:16" s="2" customFormat="1" ht="15.75" customHeight="1" x14ac:dyDescent="0.35">
      <c r="A411" s="106" t="str">
        <f t="shared" ca="1" si="55"/>
        <v>302,..,2402</v>
      </c>
      <c r="B411" s="108"/>
      <c r="C411" s="19" t="s">
        <v>204</v>
      </c>
      <c r="D411" s="19">
        <f>((32.54)+(2.9*1.52)+(2.13+2.9)*0.75)*10.764</f>
        <v>438.31546199999997</v>
      </c>
      <c r="E411" s="19">
        <v>0</v>
      </c>
      <c r="F411" s="19">
        <f t="shared" si="56"/>
        <v>657.47319299999992</v>
      </c>
      <c r="G411" s="93"/>
      <c r="H411" s="94"/>
      <c r="I411" s="36"/>
      <c r="N411" s="2" t="str">
        <f t="shared" ca="1" si="57"/>
        <v>302,..,2402</v>
      </c>
      <c r="O411" s="2">
        <f t="shared" ref="O411:P411" si="58">O410+1</f>
        <v>302</v>
      </c>
      <c r="P411" s="2">
        <f t="shared" ca="1" si="58"/>
        <v>2402</v>
      </c>
    </row>
    <row r="412" spans="1:16" s="2" customFormat="1" ht="15.75" customHeight="1" x14ac:dyDescent="0.35">
      <c r="A412" s="106" t="str">
        <f t="shared" ca="1" si="55"/>
        <v>303,..,2403</v>
      </c>
      <c r="B412" s="108"/>
      <c r="C412" s="19" t="s">
        <v>204</v>
      </c>
      <c r="D412" s="19">
        <f>((32.54)+(2.9*1.52)+(2.13+2.9)*0.75)*10.764</f>
        <v>438.31546199999997</v>
      </c>
      <c r="E412" s="19">
        <v>0</v>
      </c>
      <c r="F412" s="19">
        <f t="shared" si="56"/>
        <v>657.47319299999992</v>
      </c>
      <c r="G412" s="93"/>
      <c r="H412" s="94"/>
      <c r="I412" s="36"/>
      <c r="N412" s="2" t="str">
        <f t="shared" ca="1" si="57"/>
        <v>303,..,2403</v>
      </c>
      <c r="O412" s="2">
        <f t="shared" ref="O412:P412" si="59">O411+1</f>
        <v>303</v>
      </c>
      <c r="P412" s="2">
        <f t="shared" ca="1" si="59"/>
        <v>2403</v>
      </c>
    </row>
    <row r="413" spans="1:16" s="2" customFormat="1" ht="15.75" customHeight="1" x14ac:dyDescent="0.35">
      <c r="A413" s="106" t="str">
        <f t="shared" ca="1" si="55"/>
        <v>304,..,2404</v>
      </c>
      <c r="B413" s="108"/>
      <c r="C413" s="19" t="s">
        <v>203</v>
      </c>
      <c r="D413" s="19">
        <f>((51.47)+(2.9*1.52)+(2.13+2.75+1.5)*0.75)*10.764</f>
        <v>652.97653199999991</v>
      </c>
      <c r="E413" s="19">
        <v>0</v>
      </c>
      <c r="F413" s="19">
        <f t="shared" si="56"/>
        <v>979.46479799999986</v>
      </c>
      <c r="G413" s="93"/>
      <c r="H413" s="94"/>
      <c r="I413" s="36"/>
      <c r="N413" s="2" t="str">
        <f t="shared" ca="1" si="57"/>
        <v>304,..,2404</v>
      </c>
      <c r="O413" s="2">
        <f t="shared" ref="O413:P413" si="60">O412+1</f>
        <v>304</v>
      </c>
      <c r="P413" s="2">
        <f t="shared" ca="1" si="60"/>
        <v>2404</v>
      </c>
    </row>
    <row r="414" spans="1:16" s="2" customFormat="1" ht="15.75" customHeight="1" x14ac:dyDescent="0.35">
      <c r="A414" s="106" t="str">
        <f t="shared" ca="1" si="55"/>
        <v>305,..,2405</v>
      </c>
      <c r="B414" s="108"/>
      <c r="C414" s="19" t="s">
        <v>203</v>
      </c>
      <c r="D414" s="19">
        <f>((51.47)+(2.9*1.52)+(2.13+2.75+1.5)*0.75)*10.764</f>
        <v>652.97653199999991</v>
      </c>
      <c r="E414" s="19">
        <v>0</v>
      </c>
      <c r="F414" s="19">
        <f t="shared" si="56"/>
        <v>979.46479799999986</v>
      </c>
      <c r="G414" s="93"/>
      <c r="H414" s="94"/>
      <c r="I414" s="36"/>
      <c r="N414" s="2" t="str">
        <f t="shared" ca="1" si="57"/>
        <v>305,..,2405</v>
      </c>
      <c r="O414" s="2">
        <f t="shared" ref="O414:P414" si="61">O413+1</f>
        <v>305</v>
      </c>
      <c r="P414" s="2">
        <f t="shared" ca="1" si="61"/>
        <v>2405</v>
      </c>
    </row>
    <row r="415" spans="1:16" s="2" customFormat="1" ht="15.75" customHeight="1" x14ac:dyDescent="0.35">
      <c r="A415" s="106" t="str">
        <f t="shared" ca="1" si="55"/>
        <v>306,..,2406</v>
      </c>
      <c r="B415" s="108"/>
      <c r="C415" s="19" t="s">
        <v>204</v>
      </c>
      <c r="D415" s="19">
        <f>((32.54)+(2.9*1.52)+(2.13+2.9)*0.75)*10.764</f>
        <v>438.31546199999997</v>
      </c>
      <c r="E415" s="19">
        <v>0</v>
      </c>
      <c r="F415" s="19">
        <f t="shared" si="56"/>
        <v>657.47319299999992</v>
      </c>
      <c r="G415" s="93"/>
      <c r="H415" s="94"/>
      <c r="I415" s="36"/>
      <c r="N415" s="2" t="str">
        <f t="shared" ca="1" si="57"/>
        <v>306,..,2406</v>
      </c>
      <c r="O415" s="2">
        <f t="shared" ref="O415:P415" si="62">O414+1</f>
        <v>306</v>
      </c>
      <c r="P415" s="2">
        <f t="shared" ca="1" si="62"/>
        <v>2406</v>
      </c>
    </row>
    <row r="416" spans="1:16" s="2" customFormat="1" ht="15.75" customHeight="1" x14ac:dyDescent="0.35">
      <c r="A416" s="106" t="str">
        <f t="shared" ca="1" si="55"/>
        <v>307,..,2407</v>
      </c>
      <c r="B416" s="108"/>
      <c r="C416" s="19" t="s">
        <v>204</v>
      </c>
      <c r="D416" s="19">
        <f>((32.54)+(2.9*1.52)+(2.13+2.9)*0.75)*10.764</f>
        <v>438.31546199999997</v>
      </c>
      <c r="E416" s="19">
        <v>0</v>
      </c>
      <c r="F416" s="19">
        <f t="shared" si="56"/>
        <v>657.47319299999992</v>
      </c>
      <c r="G416" s="93"/>
      <c r="H416" s="94"/>
      <c r="I416" s="36"/>
      <c r="N416" s="2" t="str">
        <f t="shared" ca="1" si="57"/>
        <v>307,..,2407</v>
      </c>
      <c r="O416" s="2">
        <f t="shared" ref="O416:P416" si="63">O415+1</f>
        <v>307</v>
      </c>
      <c r="P416" s="2">
        <f t="shared" ca="1" si="63"/>
        <v>2407</v>
      </c>
    </row>
    <row r="417" spans="1:16" s="2" customFormat="1" ht="15.75" customHeight="1" x14ac:dyDescent="0.35">
      <c r="A417" s="106" t="str">
        <f t="shared" ca="1" si="55"/>
        <v>308,..,2408</v>
      </c>
      <c r="B417" s="108"/>
      <c r="C417" s="19" t="s">
        <v>203</v>
      </c>
      <c r="D417" s="19">
        <f>((51.47)+(2.9*1.52)+(2.13+2.75+1.5)*0.75)*10.764</f>
        <v>652.97653199999991</v>
      </c>
      <c r="E417" s="19">
        <v>0</v>
      </c>
      <c r="F417" s="19">
        <f t="shared" si="56"/>
        <v>979.46479799999986</v>
      </c>
      <c r="G417" s="95"/>
      <c r="H417" s="96"/>
      <c r="I417" s="36"/>
      <c r="N417" s="2" t="str">
        <f t="shared" ca="1" si="57"/>
        <v>308,..,2408</v>
      </c>
      <c r="O417" s="2">
        <f t="shared" ref="O417:P417" si="64">O416+1</f>
        <v>308</v>
      </c>
      <c r="P417" s="2">
        <f t="shared" ca="1" si="64"/>
        <v>2408</v>
      </c>
    </row>
    <row r="418" spans="1:16" s="2" customFormat="1" ht="15.75" customHeight="1" x14ac:dyDescent="0.35">
      <c r="A418" s="103" t="s">
        <v>209</v>
      </c>
      <c r="B418" s="104"/>
      <c r="C418" s="104"/>
      <c r="D418" s="104"/>
      <c r="E418" s="104"/>
      <c r="F418" s="104"/>
      <c r="G418" s="104"/>
      <c r="H418" s="105"/>
      <c r="I418" s="36"/>
    </row>
    <row r="419" spans="1:16" s="2" customFormat="1" ht="15.75" customHeight="1" x14ac:dyDescent="0.35">
      <c r="A419" s="106" t="str">
        <f t="shared" ref="A419:A426" ca="1" si="65">N419</f>
        <v>701,..,2201</v>
      </c>
      <c r="B419" s="108"/>
      <c r="C419" s="19" t="s">
        <v>203</v>
      </c>
      <c r="D419" s="19">
        <f>((51.47)+(2.9*1.52)+(2.13+2.75+1.5)*0.75)*10.764</f>
        <v>652.97653199999991</v>
      </c>
      <c r="E419" s="19">
        <v>0</v>
      </c>
      <c r="F419" s="19">
        <f>D419*(($F$368)+1)++(IF(E419&lt;101,E419,IF(E419&lt;201,E419/2,IF(E419&lt;=301,E419/3,E419/4))))</f>
        <v>979.46479799999986</v>
      </c>
      <c r="G419" s="91" t="str">
        <f>A418</f>
        <v>7th, 12th, 17th, 22nd Floor (Part Refuge Area)</v>
      </c>
      <c r="H419" s="92"/>
      <c r="I419" s="36"/>
      <c r="N419" s="2" t="str">
        <f t="shared" ref="N419:N426" ca="1" si="66">O419&amp;""&amp;",..,"&amp;""&amp;P419</f>
        <v>701,..,2201</v>
      </c>
      <c r="O419" s="2">
        <v>701</v>
      </c>
      <c r="P419" s="2">
        <f ca="1">(SUMPRODUCT(MID(0&amp;(--TRIM(RIGHT(SUBSTITUTE(LEFT(A418,_xlfn.AGGREGATE(16,6,FIND({0,1,2,3,4,5,6,7,8,9},A418,ROW(INDIRECT("1:"&amp;LEN(A418)))),1))," ",REPT(" ",LEN(A418))),LEN(A418)))), LARGE(INDEX(ISNUMBER(--MID((--TRIM(RIGHT(SUBSTITUTE(LEFT(A418,_xlfn.AGGREGATE(16,6,FIND({0,1,2,3,4,5,6,7,8,9},A418,ROW(INDIRECT("1:"&amp;LEN(A418)))),1))," ",REPT(" ",LEN(A418))),LEN(A418)))), ROW(INDIRECT("1:"&amp;LEN((--TRIM(RIGHT(SUBSTITUTE(LEFT(A418,_xlfn.AGGREGATE(16,6,FIND({0,1,2,3,4,5,6,7,8,9},A418,ROW(INDIRECT("1:"&amp;LEN(A418)))),1))," ",REPT(" ",LEN(A418))),LEN(A418))))))), 1)) * ROW(INDIRECT("1:"&amp;LEN((--TRIM(RIGHT(SUBSTITUTE(LEFT(A418,_xlfn.AGGREGATE(16,6,FIND({0,1,2,3,4,5,6,7,8,9},A418,ROW(INDIRECT("1:"&amp;LEN(A418)))),1))," ",REPT(" ",LEN(A418))),LEN(A418))))))), 0), ROW(INDIRECT("1:"&amp;LEN((--TRIM(RIGHT(SUBSTITUTE(LEFT(A418,_xlfn.AGGREGATE(16,6,FIND({0,1,2,3,4,5,6,7,8,9},A418,ROW(INDIRECT("1:"&amp;LEN(A418)))),1))," ",REPT(" ",LEN(A418))),LEN(A418))))))))+1, 1) * 10^ROW(INDIRECT("1:"&amp;LEN((--TRIM(RIGHT(SUBSTITUTE(LEFT(A418,_xlfn.AGGREGATE(16,6,FIND({0,1,2,3,4,5,6,7,8,9},A418,ROW(INDIRECT("1:"&amp;LEN(A418)))),1))," ",REPT(" ",LEN(A418))),LEN(A418)))))))/10))*100+1</f>
        <v>2201</v>
      </c>
    </row>
    <row r="420" spans="1:16" s="2" customFormat="1" ht="15.75" customHeight="1" x14ac:dyDescent="0.35">
      <c r="A420" s="106" t="str">
        <f t="shared" ca="1" si="65"/>
        <v>702,..,2202</v>
      </c>
      <c r="B420" s="108"/>
      <c r="C420" s="106" t="s">
        <v>206</v>
      </c>
      <c r="D420" s="107"/>
      <c r="E420" s="107"/>
      <c r="F420" s="108"/>
      <c r="G420" s="93"/>
      <c r="H420" s="94"/>
      <c r="I420" s="36"/>
      <c r="N420" s="2" t="str">
        <f t="shared" ca="1" si="66"/>
        <v>702,..,2202</v>
      </c>
      <c r="O420" s="2">
        <f t="shared" ref="O420:P420" si="67">O419+1</f>
        <v>702</v>
      </c>
      <c r="P420" s="2">
        <f t="shared" ca="1" si="67"/>
        <v>2202</v>
      </c>
    </row>
    <row r="421" spans="1:16" s="2" customFormat="1" ht="15.75" customHeight="1" x14ac:dyDescent="0.35">
      <c r="A421" s="106" t="str">
        <f t="shared" ca="1" si="65"/>
        <v>703,..,2203</v>
      </c>
      <c r="B421" s="108"/>
      <c r="C421" s="19" t="s">
        <v>204</v>
      </c>
      <c r="D421" s="19">
        <f>((32.54)+(2.9*1.52)+(2.13+2.9)*0.75)*10.764</f>
        <v>438.31546199999997</v>
      </c>
      <c r="E421" s="19">
        <v>0</v>
      </c>
      <c r="F421" s="19">
        <f t="shared" ref="F421:F426" si="68">D421*(($F$368)+1)++(IF(E421&lt;101,E421,IF(E421&lt;201,E421/2,IF(E421&lt;=301,E421/3,E421/4))))</f>
        <v>657.47319299999992</v>
      </c>
      <c r="G421" s="93"/>
      <c r="H421" s="94"/>
      <c r="I421" s="36"/>
      <c r="N421" s="2" t="str">
        <f t="shared" ca="1" si="66"/>
        <v>703,..,2203</v>
      </c>
      <c r="O421" s="2">
        <f t="shared" ref="O421:P421" si="69">O420+1</f>
        <v>703</v>
      </c>
      <c r="P421" s="2">
        <f t="shared" ca="1" si="69"/>
        <v>2203</v>
      </c>
    </row>
    <row r="422" spans="1:16" s="2" customFormat="1" ht="15.75" customHeight="1" x14ac:dyDescent="0.35">
      <c r="A422" s="106" t="str">
        <f t="shared" ca="1" si="65"/>
        <v>704,..,2204</v>
      </c>
      <c r="B422" s="108"/>
      <c r="C422" s="19" t="s">
        <v>203</v>
      </c>
      <c r="D422" s="19">
        <f>((51.47)+(2.9*1.52)+(2.13+2.75+1.5)*0.75)*10.764</f>
        <v>652.97653199999991</v>
      </c>
      <c r="E422" s="19">
        <v>0</v>
      </c>
      <c r="F422" s="19">
        <f t="shared" si="68"/>
        <v>979.46479799999986</v>
      </c>
      <c r="G422" s="93"/>
      <c r="H422" s="94"/>
      <c r="I422" s="36"/>
      <c r="N422" s="2" t="str">
        <f t="shared" ca="1" si="66"/>
        <v>704,..,2204</v>
      </c>
      <c r="O422" s="2">
        <f t="shared" ref="O422:P422" si="70">O421+1</f>
        <v>704</v>
      </c>
      <c r="P422" s="2">
        <f t="shared" ca="1" si="70"/>
        <v>2204</v>
      </c>
    </row>
    <row r="423" spans="1:16" s="2" customFormat="1" ht="15.75" customHeight="1" x14ac:dyDescent="0.35">
      <c r="A423" s="106" t="str">
        <f t="shared" ca="1" si="65"/>
        <v>705,..,2205</v>
      </c>
      <c r="B423" s="108"/>
      <c r="C423" s="19" t="s">
        <v>203</v>
      </c>
      <c r="D423" s="19">
        <f>((51.47)+(2.9*1.52)+(2.13+2.75+1.5)*0.75)*10.764</f>
        <v>652.97653199999991</v>
      </c>
      <c r="E423" s="19">
        <v>0</v>
      </c>
      <c r="F423" s="19">
        <f t="shared" si="68"/>
        <v>979.46479799999986</v>
      </c>
      <c r="G423" s="93"/>
      <c r="H423" s="94"/>
      <c r="I423" s="36"/>
      <c r="N423" s="2" t="str">
        <f t="shared" ca="1" si="66"/>
        <v>705,..,2205</v>
      </c>
      <c r="O423" s="2">
        <f t="shared" ref="O423:P423" si="71">O422+1</f>
        <v>705</v>
      </c>
      <c r="P423" s="2">
        <f t="shared" ca="1" si="71"/>
        <v>2205</v>
      </c>
    </row>
    <row r="424" spans="1:16" s="2" customFormat="1" ht="15.75" customHeight="1" x14ac:dyDescent="0.35">
      <c r="A424" s="106" t="str">
        <f t="shared" ca="1" si="65"/>
        <v>706,..,2206</v>
      </c>
      <c r="B424" s="108"/>
      <c r="C424" s="19" t="s">
        <v>204</v>
      </c>
      <c r="D424" s="19">
        <f>((32.54)+(2.9*1.52)+(2.13+2.9)*0.75)*10.764</f>
        <v>438.31546199999997</v>
      </c>
      <c r="E424" s="19">
        <v>0</v>
      </c>
      <c r="F424" s="19">
        <f t="shared" si="68"/>
        <v>657.47319299999992</v>
      </c>
      <c r="G424" s="93"/>
      <c r="H424" s="94"/>
      <c r="I424" s="36"/>
      <c r="N424" s="2" t="str">
        <f t="shared" ca="1" si="66"/>
        <v>706,..,2206</v>
      </c>
      <c r="O424" s="2">
        <f t="shared" ref="O424:P424" si="72">O423+1</f>
        <v>706</v>
      </c>
      <c r="P424" s="2">
        <f t="shared" ca="1" si="72"/>
        <v>2206</v>
      </c>
    </row>
    <row r="425" spans="1:16" s="2" customFormat="1" ht="15.75" customHeight="1" x14ac:dyDescent="0.35">
      <c r="A425" s="106" t="str">
        <f t="shared" ca="1" si="65"/>
        <v>707,..,2207</v>
      </c>
      <c r="B425" s="108"/>
      <c r="C425" s="19" t="s">
        <v>204</v>
      </c>
      <c r="D425" s="19">
        <f>((32.54)+(2.9*1.52)+(2.13+2.9)*0.75)*10.764</f>
        <v>438.31546199999997</v>
      </c>
      <c r="E425" s="19">
        <v>0</v>
      </c>
      <c r="F425" s="19">
        <f t="shared" si="68"/>
        <v>657.47319299999992</v>
      </c>
      <c r="G425" s="93"/>
      <c r="H425" s="94"/>
      <c r="I425" s="36"/>
      <c r="N425" s="2" t="str">
        <f t="shared" ca="1" si="66"/>
        <v>707,..,2207</v>
      </c>
      <c r="O425" s="2">
        <f t="shared" ref="O425:P425" si="73">O424+1</f>
        <v>707</v>
      </c>
      <c r="P425" s="2">
        <f t="shared" ca="1" si="73"/>
        <v>2207</v>
      </c>
    </row>
    <row r="426" spans="1:16" s="2" customFormat="1" ht="15.75" customHeight="1" x14ac:dyDescent="0.35">
      <c r="A426" s="106" t="str">
        <f t="shared" ca="1" si="65"/>
        <v>708,..,2208</v>
      </c>
      <c r="B426" s="108"/>
      <c r="C426" s="19" t="s">
        <v>203</v>
      </c>
      <c r="D426" s="19">
        <f>((51.47)+(2.9*1.52)+(2.13+2.75+1.5)*0.75)*10.764</f>
        <v>652.97653199999991</v>
      </c>
      <c r="E426" s="19">
        <v>0</v>
      </c>
      <c r="F426" s="19">
        <f t="shared" si="68"/>
        <v>979.46479799999986</v>
      </c>
      <c r="G426" s="95"/>
      <c r="H426" s="96"/>
      <c r="I426" s="36"/>
      <c r="N426" s="2" t="str">
        <f t="shared" ca="1" si="66"/>
        <v>708,..,2208</v>
      </c>
      <c r="O426" s="2">
        <f t="shared" ref="O426:P426" si="74">O425+1</f>
        <v>708</v>
      </c>
      <c r="P426" s="2">
        <f t="shared" ca="1" si="74"/>
        <v>2208</v>
      </c>
    </row>
    <row r="427" spans="1:16" s="2" customFormat="1" x14ac:dyDescent="0.35">
      <c r="A427" s="102" t="s">
        <v>208</v>
      </c>
      <c r="B427" s="102"/>
      <c r="C427" s="102"/>
      <c r="D427" s="102"/>
      <c r="E427" s="102"/>
      <c r="F427" s="102"/>
      <c r="G427" s="102"/>
      <c r="H427" s="102"/>
      <c r="I427" s="36"/>
      <c r="L427" s="109"/>
      <c r="M427" s="109"/>
    </row>
    <row r="428" spans="1:16" s="2" customFormat="1" x14ac:dyDescent="0.35">
      <c r="A428" s="102" t="s">
        <v>202</v>
      </c>
      <c r="B428" s="102"/>
      <c r="C428" s="102"/>
      <c r="D428" s="102"/>
      <c r="E428" s="102"/>
      <c r="F428" s="102"/>
      <c r="G428" s="102"/>
      <c r="H428" s="102"/>
      <c r="I428" s="36"/>
      <c r="L428" s="109"/>
      <c r="M428" s="109"/>
    </row>
    <row r="429" spans="1:16" s="2" customFormat="1" ht="15.75" customHeight="1" x14ac:dyDescent="0.35">
      <c r="A429" s="90">
        <f>LEFT(A428,SUM(LEN(A428)-LEN(SUBSTITUTE(A428,{"0","1","2","3","4","5","6","7","8","9"},""))))*100+1</f>
        <v>201</v>
      </c>
      <c r="B429" s="90"/>
      <c r="C429" s="19" t="s">
        <v>203</v>
      </c>
      <c r="D429" s="19">
        <f>((51.47)+(2.9*1.52)+(2.13+2.75+1.5)*0.75)*10.764</f>
        <v>652.97653199999991</v>
      </c>
      <c r="E429" s="19">
        <f>(2.9*3.75+2.13*3+2.75*2.75+1.5*5+0.9*0.9+4.75*1+1*0.9+0.3*1.85)*10.764</f>
        <v>423.48266999999998</v>
      </c>
      <c r="F429" s="19">
        <f>D429*(($F$368)+1)++(IF(E429&lt;101,E429,IF(E429&lt;201,E429/2,IF(E429&lt;=301,E429/3,E429/4))))</f>
        <v>1085.3354654999998</v>
      </c>
      <c r="G429" s="91" t="str">
        <f>A428</f>
        <v>2nd Floor for Residential</v>
      </c>
      <c r="H429" s="92"/>
      <c r="I429" s="36"/>
      <c r="N429" s="36"/>
    </row>
    <row r="430" spans="1:16" s="2" customFormat="1" ht="15.75" customHeight="1" x14ac:dyDescent="0.35">
      <c r="A430" s="90">
        <f>A429+1</f>
        <v>202</v>
      </c>
      <c r="B430" s="90"/>
      <c r="C430" s="19" t="s">
        <v>204</v>
      </c>
      <c r="D430" s="19">
        <f>((32.54)+(2.9*1.52)+(2.13+2.9)*0.75)*10.764</f>
        <v>438.31546199999997</v>
      </c>
      <c r="E430" s="19">
        <f>(2.9*2.75+5.03*3.2+3.2*0.9)*10.764</f>
        <v>290.10056399999996</v>
      </c>
      <c r="F430" s="19">
        <f>D430*(($F$368)+1)++(IF(E430&lt;101,E430,IF(E430&lt;201,E430/2,IF(E430&lt;=301,E430/3,E430/4))))</f>
        <v>754.17338099999995</v>
      </c>
      <c r="G430" s="93"/>
      <c r="H430" s="94"/>
      <c r="I430" s="36"/>
      <c r="N430" s="36"/>
    </row>
    <row r="431" spans="1:16" s="2" customFormat="1" ht="15.75" customHeight="1" x14ac:dyDescent="0.35">
      <c r="A431" s="90">
        <f>A430+1</f>
        <v>203</v>
      </c>
      <c r="B431" s="90"/>
      <c r="C431" s="19" t="s">
        <v>204</v>
      </c>
      <c r="D431" s="19">
        <f>((32.54)+(2.9*1.52)+(2.13+2.9)*0.75)*10.764</f>
        <v>438.31546199999997</v>
      </c>
      <c r="E431" s="19">
        <f>(2.9*2.75+5.03*3.2+3.2*0.9)*10.764</f>
        <v>290.10056399999996</v>
      </c>
      <c r="F431" s="19">
        <f>D431*(($F$368)+1)++(IF(E431&lt;101,E431,IF(E431&lt;201,E431/2,IF(E431&lt;=301,E431/3,E431/4))))</f>
        <v>754.17338099999995</v>
      </c>
      <c r="G431" s="93"/>
      <c r="H431" s="94"/>
      <c r="I431" s="36"/>
      <c r="N431" s="36"/>
    </row>
    <row r="432" spans="1:16" s="2" customFormat="1" ht="15.75" customHeight="1" x14ac:dyDescent="0.35">
      <c r="A432" s="90">
        <f t="shared" ref="A432:A436" si="75">A431+1</f>
        <v>204</v>
      </c>
      <c r="B432" s="90"/>
      <c r="C432" s="19" t="s">
        <v>203</v>
      </c>
      <c r="D432" s="19">
        <f t="shared" ref="D432:D433" si="76">((51.47)+(2.9*1.52)+(2.13+2.75+1.5)*0.75)*10.764</f>
        <v>652.97653199999991</v>
      </c>
      <c r="E432" s="19">
        <f>(2.9*3.75+2.13*3+2.75*2.75+1.5*5+0.9*0.9)*10.764</f>
        <v>356.69204999999999</v>
      </c>
      <c r="F432" s="19">
        <f>D432*(($F$368)+1)++(IF(E432&lt;101,E432,IF(E432&lt;201,E432/2,IF(E432&lt;=301,E432/3,E432/4))))</f>
        <v>1068.6378104999999</v>
      </c>
      <c r="G432" s="93"/>
      <c r="H432" s="94"/>
      <c r="I432" s="36"/>
      <c r="N432" s="36"/>
    </row>
    <row r="433" spans="1:16" s="2" customFormat="1" ht="15.75" customHeight="1" x14ac:dyDescent="0.35">
      <c r="A433" s="90">
        <f t="shared" si="75"/>
        <v>205</v>
      </c>
      <c r="B433" s="90"/>
      <c r="C433" s="19" t="s">
        <v>203</v>
      </c>
      <c r="D433" s="19">
        <f t="shared" si="76"/>
        <v>652.97653199999991</v>
      </c>
      <c r="E433" s="19">
        <v>0</v>
      </c>
      <c r="F433" s="19">
        <f>D433*(($F$368)+1)++(IF(E433&lt;101,E433,IF(E433&lt;201,E433/2,IF(E433&lt;=301,E433/3,E433/4))))</f>
        <v>979.46479799999986</v>
      </c>
      <c r="G433" s="93"/>
      <c r="H433" s="94"/>
      <c r="I433" s="36"/>
      <c r="N433" s="36"/>
    </row>
    <row r="434" spans="1:16" s="2" customFormat="1" ht="15.75" customHeight="1" x14ac:dyDescent="0.35">
      <c r="A434" s="90">
        <f t="shared" si="75"/>
        <v>206</v>
      </c>
      <c r="B434" s="90"/>
      <c r="C434" s="106" t="s">
        <v>205</v>
      </c>
      <c r="D434" s="107"/>
      <c r="E434" s="107"/>
      <c r="F434" s="108"/>
      <c r="G434" s="93"/>
      <c r="H434" s="94"/>
      <c r="I434" s="36"/>
      <c r="N434" s="36"/>
    </row>
    <row r="435" spans="1:16" s="2" customFormat="1" ht="15.75" customHeight="1" x14ac:dyDescent="0.35">
      <c r="A435" s="90">
        <f t="shared" si="75"/>
        <v>207</v>
      </c>
      <c r="B435" s="90"/>
      <c r="C435" s="19" t="s">
        <v>204</v>
      </c>
      <c r="D435" s="19">
        <f>((32.54)+(2.9*1.52)+(2.13+2.9)*0.75)*10.764</f>
        <v>438.31546199999997</v>
      </c>
      <c r="E435" s="19">
        <v>0</v>
      </c>
      <c r="F435" s="19">
        <f>D435*(($F$368)+1)++(IF(E435&lt;101,E435,IF(E435&lt;201,E435/2,IF(E435&lt;=301,E435/3,E435/4))))</f>
        <v>657.47319299999992</v>
      </c>
      <c r="G435" s="93"/>
      <c r="H435" s="94"/>
      <c r="I435" s="36"/>
      <c r="N435" s="36"/>
    </row>
    <row r="436" spans="1:16" s="2" customFormat="1" ht="15.75" customHeight="1" x14ac:dyDescent="0.35">
      <c r="A436" s="90">
        <f t="shared" si="75"/>
        <v>208</v>
      </c>
      <c r="B436" s="90"/>
      <c r="C436" s="19" t="s">
        <v>203</v>
      </c>
      <c r="D436" s="19">
        <f>((51.47)+(2.9*1.52)+(2.13+2.75+1.5)*0.75)*10.764</f>
        <v>652.97653199999991</v>
      </c>
      <c r="E436" s="19">
        <v>0</v>
      </c>
      <c r="F436" s="19">
        <f>D436*(($F$368)+1)++(IF(E436&lt;101,E436,IF(E436&lt;201,E436/2,IF(E436&lt;=301,E436/3,E436/4))))</f>
        <v>979.46479799999986</v>
      </c>
      <c r="G436" s="95"/>
      <c r="H436" s="96"/>
      <c r="I436" s="36"/>
      <c r="N436" s="36"/>
    </row>
    <row r="437" spans="1:16" s="2" customFormat="1" ht="15.75" customHeight="1" x14ac:dyDescent="0.35">
      <c r="A437" s="102" t="s">
        <v>215</v>
      </c>
      <c r="B437" s="102"/>
      <c r="C437" s="102"/>
      <c r="D437" s="102"/>
      <c r="E437" s="102"/>
      <c r="F437" s="102"/>
      <c r="G437" s="102"/>
      <c r="H437" s="102"/>
      <c r="I437" s="36"/>
    </row>
    <row r="438" spans="1:16" s="2" customFormat="1" ht="15.75" customHeight="1" x14ac:dyDescent="0.35">
      <c r="A438" s="90" t="str">
        <f t="shared" ref="A438:A445" ca="1" si="77">N438</f>
        <v>301,..,2401</v>
      </c>
      <c r="B438" s="90"/>
      <c r="C438" s="68" t="s">
        <v>203</v>
      </c>
      <c r="D438" s="68">
        <f>((51.47)+(2.9*1.52)+(2.13+2.75+1.5)*0.75)*10.764</f>
        <v>652.97653199999991</v>
      </c>
      <c r="E438" s="68">
        <v>0</v>
      </c>
      <c r="F438" s="68">
        <f t="shared" ref="F438:F445" si="78">D438*(($F$368)+1)++(IF(E438&lt;101,E438,IF(E438&lt;201,E438/2,IF(E438&lt;=301,E438/3,E438/4))))</f>
        <v>979.46479799999986</v>
      </c>
      <c r="G438" s="90" t="str">
        <f>A437</f>
        <v>3rd, 4th, 5th, 6th, 8th, 9th, 10th, 11th, 13th, 14th, 15th, 16th, 18th, 19th, 20th, 21st, 23rd, 24th Floor</v>
      </c>
      <c r="H438" s="90"/>
      <c r="I438" s="36"/>
      <c r="N438" s="2" t="str">
        <f t="shared" ref="N438:N445" ca="1" si="79">O438&amp;""&amp;",..,"&amp;""&amp;P438</f>
        <v>301,..,2401</v>
      </c>
      <c r="O438" s="2">
        <v>301</v>
      </c>
      <c r="P438" s="2">
        <f ca="1">(SUMPRODUCT(MID(0&amp;(--TRIM(RIGHT(SUBSTITUTE(LEFT(A437,_xlfn.AGGREGATE(16,6,FIND({0,1,2,3,4,5,6,7,8,9},A437,ROW(INDIRECT("1:"&amp;LEN(A437)))),1))," ",REPT(" ",LEN(A437))),LEN(A437)))), LARGE(INDEX(ISNUMBER(--MID((--TRIM(RIGHT(SUBSTITUTE(LEFT(A437,_xlfn.AGGREGATE(16,6,FIND({0,1,2,3,4,5,6,7,8,9},A437,ROW(INDIRECT("1:"&amp;LEN(A437)))),1))," ",REPT(" ",LEN(A437))),LEN(A437)))), ROW(INDIRECT("1:"&amp;LEN((--TRIM(RIGHT(SUBSTITUTE(LEFT(A437,_xlfn.AGGREGATE(16,6,FIND({0,1,2,3,4,5,6,7,8,9},A437,ROW(INDIRECT("1:"&amp;LEN(A437)))),1))," ",REPT(" ",LEN(A437))),LEN(A437))))))), 1)) * ROW(INDIRECT("1:"&amp;LEN((--TRIM(RIGHT(SUBSTITUTE(LEFT(A437,_xlfn.AGGREGATE(16,6,FIND({0,1,2,3,4,5,6,7,8,9},A437,ROW(INDIRECT("1:"&amp;LEN(A437)))),1))," ",REPT(" ",LEN(A437))),LEN(A437))))))), 0), ROW(INDIRECT("1:"&amp;LEN((--TRIM(RIGHT(SUBSTITUTE(LEFT(A437,_xlfn.AGGREGATE(16,6,FIND({0,1,2,3,4,5,6,7,8,9},A437,ROW(INDIRECT("1:"&amp;LEN(A437)))),1))," ",REPT(" ",LEN(A437))),LEN(A437))))))))+1, 1) * 10^ROW(INDIRECT("1:"&amp;LEN((--TRIM(RIGHT(SUBSTITUTE(LEFT(A437,_xlfn.AGGREGATE(16,6,FIND({0,1,2,3,4,5,6,7,8,9},A437,ROW(INDIRECT("1:"&amp;LEN(A437)))),1))," ",REPT(" ",LEN(A437))),LEN(A437)))))))/10))*100+1</f>
        <v>2401</v>
      </c>
    </row>
    <row r="439" spans="1:16" s="2" customFormat="1" ht="15.75" customHeight="1" x14ac:dyDescent="0.35">
      <c r="A439" s="90" t="str">
        <f t="shared" ca="1" si="77"/>
        <v>302,..,2402</v>
      </c>
      <c r="B439" s="90"/>
      <c r="C439" s="68" t="s">
        <v>204</v>
      </c>
      <c r="D439" s="68">
        <f>((32.54)+(2.9*1.52)+(2.13+2.9)*0.75)*10.764</f>
        <v>438.31546199999997</v>
      </c>
      <c r="E439" s="68">
        <v>0</v>
      </c>
      <c r="F439" s="68">
        <f t="shared" si="78"/>
        <v>657.47319299999992</v>
      </c>
      <c r="G439" s="90"/>
      <c r="H439" s="90"/>
      <c r="I439" s="36"/>
      <c r="N439" s="2" t="str">
        <f t="shared" ca="1" si="79"/>
        <v>302,..,2402</v>
      </c>
      <c r="O439" s="2">
        <f t="shared" ref="O439:P439" si="80">O438+1</f>
        <v>302</v>
      </c>
      <c r="P439" s="2">
        <f t="shared" ca="1" si="80"/>
        <v>2402</v>
      </c>
    </row>
    <row r="440" spans="1:16" s="2" customFormat="1" ht="15.75" customHeight="1" x14ac:dyDescent="0.35">
      <c r="A440" s="90" t="str">
        <f t="shared" ca="1" si="77"/>
        <v>303,..,2403</v>
      </c>
      <c r="B440" s="90"/>
      <c r="C440" s="68" t="s">
        <v>204</v>
      </c>
      <c r="D440" s="68">
        <f>((32.54)+(2.9*1.52)+(2.13+2.9)*0.75)*10.764</f>
        <v>438.31546199999997</v>
      </c>
      <c r="E440" s="68">
        <v>0</v>
      </c>
      <c r="F440" s="68">
        <f t="shared" si="78"/>
        <v>657.47319299999992</v>
      </c>
      <c r="G440" s="90"/>
      <c r="H440" s="90"/>
      <c r="I440" s="36"/>
      <c r="N440" s="2" t="str">
        <f t="shared" ca="1" si="79"/>
        <v>303,..,2403</v>
      </c>
      <c r="O440" s="2">
        <f t="shared" ref="O440:P440" si="81">O439+1</f>
        <v>303</v>
      </c>
      <c r="P440" s="2">
        <f t="shared" ca="1" si="81"/>
        <v>2403</v>
      </c>
    </row>
    <row r="441" spans="1:16" s="2" customFormat="1" ht="15.75" customHeight="1" x14ac:dyDescent="0.35">
      <c r="A441" s="90" t="str">
        <f t="shared" ca="1" si="77"/>
        <v>304,..,2404</v>
      </c>
      <c r="B441" s="90"/>
      <c r="C441" s="68" t="s">
        <v>203</v>
      </c>
      <c r="D441" s="68">
        <f>((51.47)+(2.9*1.52)+(2.13+2.75+1.5)*0.75)*10.764</f>
        <v>652.97653199999991</v>
      </c>
      <c r="E441" s="68">
        <v>0</v>
      </c>
      <c r="F441" s="68">
        <f t="shared" si="78"/>
        <v>979.46479799999986</v>
      </c>
      <c r="G441" s="90"/>
      <c r="H441" s="90"/>
      <c r="I441" s="36"/>
      <c r="N441" s="2" t="str">
        <f t="shared" ca="1" si="79"/>
        <v>304,..,2404</v>
      </c>
      <c r="O441" s="2">
        <f t="shared" ref="O441:P441" si="82">O440+1</f>
        <v>304</v>
      </c>
      <c r="P441" s="2">
        <f t="shared" ca="1" si="82"/>
        <v>2404</v>
      </c>
    </row>
    <row r="442" spans="1:16" s="2" customFormat="1" ht="15.75" customHeight="1" x14ac:dyDescent="0.35">
      <c r="A442" s="90" t="str">
        <f t="shared" ca="1" si="77"/>
        <v>305,..,2405</v>
      </c>
      <c r="B442" s="90"/>
      <c r="C442" s="68" t="s">
        <v>203</v>
      </c>
      <c r="D442" s="68">
        <f>((51.47)+(2.9*1.52)+(2.13+2.75+1.5)*0.75)*10.764</f>
        <v>652.97653199999991</v>
      </c>
      <c r="E442" s="68">
        <v>0</v>
      </c>
      <c r="F442" s="68">
        <f t="shared" si="78"/>
        <v>979.46479799999986</v>
      </c>
      <c r="G442" s="90"/>
      <c r="H442" s="90"/>
      <c r="I442" s="36"/>
      <c r="N442" s="2" t="str">
        <f t="shared" ca="1" si="79"/>
        <v>305,..,2405</v>
      </c>
      <c r="O442" s="2">
        <f t="shared" ref="O442:P442" si="83">O441+1</f>
        <v>305</v>
      </c>
      <c r="P442" s="2">
        <f t="shared" ca="1" si="83"/>
        <v>2405</v>
      </c>
    </row>
    <row r="443" spans="1:16" s="2" customFormat="1" ht="15.75" customHeight="1" x14ac:dyDescent="0.35">
      <c r="A443" s="90" t="str">
        <f t="shared" ca="1" si="77"/>
        <v>306,..,2406</v>
      </c>
      <c r="B443" s="90"/>
      <c r="C443" s="68" t="s">
        <v>204</v>
      </c>
      <c r="D443" s="68">
        <f>((32.54)+(2.9*1.52)+(2.13+2.9)*0.75)*10.764</f>
        <v>438.31546199999997</v>
      </c>
      <c r="E443" s="68">
        <v>0</v>
      </c>
      <c r="F443" s="68">
        <f t="shared" si="78"/>
        <v>657.47319299999992</v>
      </c>
      <c r="G443" s="90"/>
      <c r="H443" s="90"/>
      <c r="I443" s="36"/>
      <c r="N443" s="2" t="str">
        <f t="shared" ca="1" si="79"/>
        <v>306,..,2406</v>
      </c>
      <c r="O443" s="2">
        <f t="shared" ref="O443:P443" si="84">O442+1</f>
        <v>306</v>
      </c>
      <c r="P443" s="2">
        <f t="shared" ca="1" si="84"/>
        <v>2406</v>
      </c>
    </row>
    <row r="444" spans="1:16" s="2" customFormat="1" ht="15.75" customHeight="1" x14ac:dyDescent="0.35">
      <c r="A444" s="90" t="str">
        <f t="shared" ca="1" si="77"/>
        <v>307,..,2407</v>
      </c>
      <c r="B444" s="90"/>
      <c r="C444" s="68" t="s">
        <v>204</v>
      </c>
      <c r="D444" s="68">
        <f>((32.54)+(2.9*1.52)+(2.13+2.9)*0.75)*10.764</f>
        <v>438.31546199999997</v>
      </c>
      <c r="E444" s="68">
        <v>0</v>
      </c>
      <c r="F444" s="68">
        <f t="shared" si="78"/>
        <v>657.47319299999992</v>
      </c>
      <c r="G444" s="90"/>
      <c r="H444" s="90"/>
      <c r="I444" s="36"/>
      <c r="N444" s="2" t="str">
        <f t="shared" ca="1" si="79"/>
        <v>307,..,2407</v>
      </c>
      <c r="O444" s="2">
        <f t="shared" ref="O444:P444" si="85">O443+1</f>
        <v>307</v>
      </c>
      <c r="P444" s="2">
        <f t="shared" ca="1" si="85"/>
        <v>2407</v>
      </c>
    </row>
    <row r="445" spans="1:16" s="2" customFormat="1" ht="15.75" customHeight="1" x14ac:dyDescent="0.35">
      <c r="A445" s="90" t="str">
        <f t="shared" ca="1" si="77"/>
        <v>308,..,2408</v>
      </c>
      <c r="B445" s="90"/>
      <c r="C445" s="68" t="s">
        <v>203</v>
      </c>
      <c r="D445" s="68">
        <f>((51.47)+(2.9*1.52)+(2.13+2.75+1.5)*0.75)*10.764</f>
        <v>652.97653199999991</v>
      </c>
      <c r="E445" s="68">
        <v>0</v>
      </c>
      <c r="F445" s="68">
        <f t="shared" si="78"/>
        <v>979.46479799999986</v>
      </c>
      <c r="G445" s="90"/>
      <c r="H445" s="90"/>
      <c r="I445" s="36"/>
      <c r="N445" s="2" t="str">
        <f t="shared" ca="1" si="79"/>
        <v>308,..,2408</v>
      </c>
      <c r="O445" s="2">
        <f t="shared" ref="O445:P445" si="86">O444+1</f>
        <v>308</v>
      </c>
      <c r="P445" s="2">
        <f t="shared" ca="1" si="86"/>
        <v>2408</v>
      </c>
    </row>
    <row r="446" spans="1:16" s="2" customFormat="1" ht="15.75" customHeight="1" x14ac:dyDescent="0.35">
      <c r="A446" s="102" t="s">
        <v>209</v>
      </c>
      <c r="B446" s="102"/>
      <c r="C446" s="102"/>
      <c r="D446" s="102"/>
      <c r="E446" s="102"/>
      <c r="F446" s="102"/>
      <c r="G446" s="102"/>
      <c r="H446" s="102"/>
      <c r="I446" s="36"/>
    </row>
    <row r="447" spans="1:16" s="2" customFormat="1" ht="15.75" customHeight="1" x14ac:dyDescent="0.35">
      <c r="A447" s="90" t="str">
        <f t="shared" ref="A447:A454" ca="1" si="87">N447</f>
        <v>701,..,2201</v>
      </c>
      <c r="B447" s="90"/>
      <c r="C447" s="67" t="s">
        <v>203</v>
      </c>
      <c r="D447" s="67">
        <f>((51.47)+(2.9*1.52)+(2.13+2.75+1.5)*0.75)*10.764</f>
        <v>652.97653199999991</v>
      </c>
      <c r="E447" s="67">
        <v>0</v>
      </c>
      <c r="F447" s="67">
        <f>D447*(($F$368)+1)++(IF(E447&lt;101,E447,IF(E447&lt;201,E447/2,IF(E447&lt;=301,E447/3,E447/4))))</f>
        <v>979.46479799999986</v>
      </c>
      <c r="G447" s="90" t="str">
        <f>A446</f>
        <v>7th, 12th, 17th, 22nd Floor (Part Refuge Area)</v>
      </c>
      <c r="H447" s="90"/>
      <c r="I447" s="36"/>
      <c r="N447" s="2" t="str">
        <f t="shared" ref="N447:N454" ca="1" si="88">O447&amp;""&amp;",..,"&amp;""&amp;P447</f>
        <v>701,..,2201</v>
      </c>
      <c r="O447" s="2">
        <v>701</v>
      </c>
      <c r="P447" s="2">
        <f ca="1">(SUMPRODUCT(MID(0&amp;(--TRIM(RIGHT(SUBSTITUTE(LEFT(A446,_xlfn.AGGREGATE(16,6,FIND({0,1,2,3,4,5,6,7,8,9},A446,ROW(INDIRECT("1:"&amp;LEN(A446)))),1))," ",REPT(" ",LEN(A446))),LEN(A446)))), LARGE(INDEX(ISNUMBER(--MID((--TRIM(RIGHT(SUBSTITUTE(LEFT(A446,_xlfn.AGGREGATE(16,6,FIND({0,1,2,3,4,5,6,7,8,9},A446,ROW(INDIRECT("1:"&amp;LEN(A446)))),1))," ",REPT(" ",LEN(A446))),LEN(A446)))), ROW(INDIRECT("1:"&amp;LEN((--TRIM(RIGHT(SUBSTITUTE(LEFT(A446,_xlfn.AGGREGATE(16,6,FIND({0,1,2,3,4,5,6,7,8,9},A446,ROW(INDIRECT("1:"&amp;LEN(A446)))),1))," ",REPT(" ",LEN(A446))),LEN(A446))))))), 1)) * ROW(INDIRECT("1:"&amp;LEN((--TRIM(RIGHT(SUBSTITUTE(LEFT(A446,_xlfn.AGGREGATE(16,6,FIND({0,1,2,3,4,5,6,7,8,9},A446,ROW(INDIRECT("1:"&amp;LEN(A446)))),1))," ",REPT(" ",LEN(A446))),LEN(A446))))))), 0), ROW(INDIRECT("1:"&amp;LEN((--TRIM(RIGHT(SUBSTITUTE(LEFT(A446,_xlfn.AGGREGATE(16,6,FIND({0,1,2,3,4,5,6,7,8,9},A446,ROW(INDIRECT("1:"&amp;LEN(A446)))),1))," ",REPT(" ",LEN(A446))),LEN(A446))))))))+1, 1) * 10^ROW(INDIRECT("1:"&amp;LEN((--TRIM(RIGHT(SUBSTITUTE(LEFT(A446,_xlfn.AGGREGATE(16,6,FIND({0,1,2,3,4,5,6,7,8,9},A446,ROW(INDIRECT("1:"&amp;LEN(A446)))),1))," ",REPT(" ",LEN(A446))),LEN(A446)))))))/10))*100+1</f>
        <v>2201</v>
      </c>
    </row>
    <row r="448" spans="1:16" s="2" customFormat="1" ht="15.75" customHeight="1" x14ac:dyDescent="0.35">
      <c r="A448" s="90" t="str">
        <f t="shared" ca="1" si="87"/>
        <v>702,..,2202</v>
      </c>
      <c r="B448" s="90"/>
      <c r="C448" s="67" t="s">
        <v>204</v>
      </c>
      <c r="D448" s="67">
        <f>((32.54)+(2.9*1.52)+(2.13+2.9)*0.75)*10.764</f>
        <v>438.31546199999997</v>
      </c>
      <c r="E448" s="67">
        <v>0</v>
      </c>
      <c r="F448" s="67">
        <f>D448*(($F$368)+1)++(IF(E448&lt;101,E448,IF(E448&lt;201,E448/2,IF(E448&lt;=301,E448/3,E448/4))))</f>
        <v>657.47319299999992</v>
      </c>
      <c r="G448" s="90"/>
      <c r="H448" s="90"/>
      <c r="I448" s="36"/>
      <c r="N448" s="2" t="str">
        <f t="shared" ca="1" si="88"/>
        <v>702,..,2202</v>
      </c>
      <c r="O448" s="2">
        <f t="shared" ref="O448:P448" si="89">O447+1</f>
        <v>702</v>
      </c>
      <c r="P448" s="2">
        <f t="shared" ca="1" si="89"/>
        <v>2202</v>
      </c>
    </row>
    <row r="449" spans="1:16" s="2" customFormat="1" ht="15.75" customHeight="1" x14ac:dyDescent="0.35">
      <c r="A449" s="90" t="str">
        <f t="shared" ca="1" si="87"/>
        <v>703,..,2203</v>
      </c>
      <c r="B449" s="90"/>
      <c r="C449" s="90" t="s">
        <v>217</v>
      </c>
      <c r="D449" s="90"/>
      <c r="E449" s="90"/>
      <c r="F449" s="90"/>
      <c r="G449" s="90"/>
      <c r="H449" s="90"/>
      <c r="I449" s="36"/>
      <c r="N449" s="2" t="str">
        <f t="shared" ca="1" si="88"/>
        <v>703,..,2203</v>
      </c>
      <c r="O449" s="2">
        <f t="shared" ref="O449:P449" si="90">O448+1</f>
        <v>703</v>
      </c>
      <c r="P449" s="2">
        <f t="shared" ca="1" si="90"/>
        <v>2203</v>
      </c>
    </row>
    <row r="450" spans="1:16" s="2" customFormat="1" ht="15.75" customHeight="1" x14ac:dyDescent="0.35">
      <c r="A450" s="90" t="str">
        <f t="shared" ca="1" si="87"/>
        <v>704,..,2204</v>
      </c>
      <c r="B450" s="90"/>
      <c r="C450" s="67" t="s">
        <v>203</v>
      </c>
      <c r="D450" s="67">
        <f>((51.47)+(2.9*1.52)+(2.13+2.75+1.5)*0.75)*10.764</f>
        <v>652.97653199999991</v>
      </c>
      <c r="E450" s="67">
        <v>0</v>
      </c>
      <c r="F450" s="67">
        <f>D450*(($F$368)+1)++(IF(E450&lt;101,E450,IF(E450&lt;201,E450/2,IF(E450&lt;=301,E450/3,E450/4))))</f>
        <v>979.46479799999986</v>
      </c>
      <c r="G450" s="90"/>
      <c r="H450" s="90"/>
      <c r="I450" s="36"/>
      <c r="N450" s="2" t="str">
        <f t="shared" ca="1" si="88"/>
        <v>704,..,2204</v>
      </c>
      <c r="O450" s="2">
        <f t="shared" ref="O450:P450" si="91">O449+1</f>
        <v>704</v>
      </c>
      <c r="P450" s="2">
        <f t="shared" ca="1" si="91"/>
        <v>2204</v>
      </c>
    </row>
    <row r="451" spans="1:16" s="2" customFormat="1" ht="15.75" customHeight="1" x14ac:dyDescent="0.35">
      <c r="A451" s="90" t="str">
        <f t="shared" ca="1" si="87"/>
        <v>705,..,2205</v>
      </c>
      <c r="B451" s="90"/>
      <c r="C451" s="67" t="s">
        <v>203</v>
      </c>
      <c r="D451" s="67">
        <f>((51.47)+(2.9*1.52)+(2.13+2.75+1.5)*0.75)*10.764</f>
        <v>652.97653199999991</v>
      </c>
      <c r="E451" s="67">
        <v>0</v>
      </c>
      <c r="F451" s="67">
        <f>D451*(($F$368)+1)++(IF(E451&lt;101,E451,IF(E451&lt;201,E451/2,IF(E451&lt;=301,E451/3,E451/4))))</f>
        <v>979.46479799999986</v>
      </c>
      <c r="G451" s="90"/>
      <c r="H451" s="90"/>
      <c r="I451" s="36"/>
      <c r="N451" s="2" t="str">
        <f t="shared" ca="1" si="88"/>
        <v>705,..,2205</v>
      </c>
      <c r="O451" s="2">
        <f t="shared" ref="O451:P451" si="92">O450+1</f>
        <v>705</v>
      </c>
      <c r="P451" s="2">
        <f t="shared" ca="1" si="92"/>
        <v>2205</v>
      </c>
    </row>
    <row r="452" spans="1:16" s="2" customFormat="1" ht="15.75" customHeight="1" x14ac:dyDescent="0.35">
      <c r="A452" s="90" t="str">
        <f t="shared" ca="1" si="87"/>
        <v>706,..,2206</v>
      </c>
      <c r="B452" s="90"/>
      <c r="C452" s="67" t="s">
        <v>204</v>
      </c>
      <c r="D452" s="67">
        <f>((32.54)+(2.9*1.52)+(2.13+2.9)*0.75)*10.764</f>
        <v>438.31546199999997</v>
      </c>
      <c r="E452" s="67">
        <v>0</v>
      </c>
      <c r="F452" s="67">
        <f>D452*(($F$368)+1)++(IF(E452&lt;101,E452,IF(E452&lt;201,E452/2,IF(E452&lt;=301,E452/3,E452/4))))</f>
        <v>657.47319299999992</v>
      </c>
      <c r="G452" s="90"/>
      <c r="H452" s="90"/>
      <c r="I452" s="36"/>
      <c r="N452" s="2" t="str">
        <f t="shared" ca="1" si="88"/>
        <v>706,..,2206</v>
      </c>
      <c r="O452" s="2">
        <f t="shared" ref="O452:P452" si="93">O451+1</f>
        <v>706</v>
      </c>
      <c r="P452" s="2">
        <f t="shared" ca="1" si="93"/>
        <v>2206</v>
      </c>
    </row>
    <row r="453" spans="1:16" s="2" customFormat="1" ht="15.75" customHeight="1" x14ac:dyDescent="0.35">
      <c r="A453" s="90" t="str">
        <f t="shared" ca="1" si="87"/>
        <v>707,..,2207</v>
      </c>
      <c r="B453" s="90"/>
      <c r="C453" s="67" t="s">
        <v>204</v>
      </c>
      <c r="D453" s="67">
        <f>((32.54)+(2.9*1.52)+(2.13+2.9)*0.75)*10.764</f>
        <v>438.31546199999997</v>
      </c>
      <c r="E453" s="67">
        <v>0</v>
      </c>
      <c r="F453" s="67">
        <f>D453*(($F$368)+1)++(IF(E453&lt;101,E453,IF(E453&lt;201,E453/2,IF(E453&lt;=301,E453/3,E453/4))))</f>
        <v>657.47319299999992</v>
      </c>
      <c r="G453" s="90"/>
      <c r="H453" s="90"/>
      <c r="I453" s="36"/>
      <c r="N453" s="2" t="str">
        <f t="shared" ca="1" si="88"/>
        <v>707,..,2207</v>
      </c>
      <c r="O453" s="2">
        <f t="shared" ref="O453:P453" si="94">O452+1</f>
        <v>707</v>
      </c>
      <c r="P453" s="2">
        <f t="shared" ca="1" si="94"/>
        <v>2207</v>
      </c>
    </row>
    <row r="454" spans="1:16" s="2" customFormat="1" ht="15.75" customHeight="1" x14ac:dyDescent="0.35">
      <c r="A454" s="90" t="str">
        <f t="shared" ca="1" si="87"/>
        <v>708,..,2208</v>
      </c>
      <c r="B454" s="90"/>
      <c r="C454" s="67" t="s">
        <v>203</v>
      </c>
      <c r="D454" s="67">
        <f>((51.47)+(2.9*1.52)+(2.13+2.75+1.5)*0.75)*10.764</f>
        <v>652.97653199999991</v>
      </c>
      <c r="E454" s="67">
        <v>0</v>
      </c>
      <c r="F454" s="67">
        <f>D454*(($F$368)+1)++(IF(E454&lt;101,E454,IF(E454&lt;201,E454/2,IF(E454&lt;=301,E454/3,E454/4))))</f>
        <v>979.46479799999986</v>
      </c>
      <c r="G454" s="90"/>
      <c r="H454" s="90"/>
      <c r="I454" s="36"/>
      <c r="N454" s="2" t="str">
        <f t="shared" ca="1" si="88"/>
        <v>708,..,2208</v>
      </c>
      <c r="O454" s="2">
        <f t="shared" ref="O454:P454" si="95">O453+1</f>
        <v>708</v>
      </c>
      <c r="P454" s="2">
        <f t="shared" ca="1" si="95"/>
        <v>2208</v>
      </c>
    </row>
    <row r="455" spans="1:16" s="2" customFormat="1" x14ac:dyDescent="0.35">
      <c r="A455" s="102" t="s">
        <v>269</v>
      </c>
      <c r="B455" s="102"/>
      <c r="C455" s="102"/>
      <c r="D455" s="102"/>
      <c r="E455" s="102"/>
      <c r="F455" s="102"/>
      <c r="G455" s="102"/>
      <c r="H455" s="102"/>
      <c r="I455" s="36"/>
      <c r="L455" s="109"/>
      <c r="M455" s="109"/>
    </row>
    <row r="456" spans="1:16" s="2" customFormat="1" x14ac:dyDescent="0.35">
      <c r="A456" s="102" t="s">
        <v>230</v>
      </c>
      <c r="B456" s="102"/>
      <c r="C456" s="102"/>
      <c r="D456" s="102"/>
      <c r="E456" s="102"/>
      <c r="F456" s="102"/>
      <c r="G456" s="102"/>
      <c r="H456" s="102"/>
      <c r="I456" s="36"/>
      <c r="L456" s="109"/>
      <c r="M456" s="109"/>
    </row>
    <row r="457" spans="1:16" s="2" customFormat="1" ht="15.75" customHeight="1" x14ac:dyDescent="0.35">
      <c r="A457" s="90">
        <v>1</v>
      </c>
      <c r="B457" s="90"/>
      <c r="C457" s="19" t="s">
        <v>231</v>
      </c>
      <c r="D457" s="19">
        <f>((3.05*7.26+1.17*4.41+2.94*3.64+1.32*2.2+0.95*2.2+1.33*2.05+2.75*2.75+3.07*2.75+4.08*3.05+1.33*1.67+0.9*2.75+2.46*1.21+2.15*1.26)+(3.05*1.52)+0.75*(2.94+2.75+3.07+2))*10.764</f>
        <v>1046.9227860000001</v>
      </c>
      <c r="E457" s="19">
        <f>(57)*10.764</f>
        <v>613.548</v>
      </c>
      <c r="F457" s="19">
        <f>D457*(($F$368)+1)++(IF(E457&lt;101,E457,IF(E457&lt;201,E457/2,IF(E457&lt;=301,E457/3,E457/4))))</f>
        <v>1723.7711790000001</v>
      </c>
      <c r="G457" s="91" t="str">
        <f>A456</f>
        <v>3rd Floor for Residential</v>
      </c>
      <c r="H457" s="92"/>
      <c r="I457" s="36"/>
      <c r="N457" s="36"/>
    </row>
    <row r="458" spans="1:16" s="2" customFormat="1" ht="15.75" customHeight="1" x14ac:dyDescent="0.35">
      <c r="A458" s="90">
        <f>A457+1</f>
        <v>2</v>
      </c>
      <c r="B458" s="90"/>
      <c r="C458" s="19" t="s">
        <v>231</v>
      </c>
      <c r="D458" s="19">
        <f>((3.05*7.26+1.17*4.41+2.94*3.64+1.32*2.2+0.95*2.2+1.33*2.05+2.75*2.75+3.07*2.75+4.08*3.05+1.33*1.67+0.9*2.75+2.46*1.21+2.15*1.26)+(3.05*1.52)+0.75*(2.94+2.75+3.07+2))*10.764</f>
        <v>1046.9227860000001</v>
      </c>
      <c r="E458" s="19">
        <f>(62)*10.764</f>
        <v>667.36799999999994</v>
      </c>
      <c r="F458" s="19">
        <f>D458*(($F$368)+1)++(IF(E458&lt;101,E458,IF(E458&lt;201,E458/2,IF(E458&lt;=301,E458/3,E458/4))))</f>
        <v>1737.2261790000002</v>
      </c>
      <c r="G458" s="93"/>
      <c r="H458" s="94"/>
      <c r="I458" s="36"/>
      <c r="N458" s="36"/>
    </row>
    <row r="459" spans="1:16" s="2" customFormat="1" ht="15.75" customHeight="1" x14ac:dyDescent="0.35">
      <c r="A459" s="90">
        <f>A458+1</f>
        <v>3</v>
      </c>
      <c r="B459" s="90"/>
      <c r="C459" s="19" t="s">
        <v>231</v>
      </c>
      <c r="D459" s="19">
        <f>((2.54*3.11+3.05*5.97+1.27*3.05+1.55*2.2+1.59*1.85+2.99*3.64+2.5*2.75+2.97*2.75+4.34*3.05+1*1.68+1.23*2.05+1.26*2.15+1.9*1.51)+(3.05*1.52)+(3.24+2.37+5.82)*0.75)*10.764</f>
        <v>1060.081776</v>
      </c>
      <c r="E459" s="19">
        <f>(65)*10.764</f>
        <v>699.66</v>
      </c>
      <c r="F459" s="19">
        <f>D459*(($F$368)+1)++(IF(E459&lt;101,E459,IF(E459&lt;201,E459/2,IF(E459&lt;=301,E459/3,E459/4))))</f>
        <v>1765.0376639999999</v>
      </c>
      <c r="G459" s="93"/>
      <c r="H459" s="94"/>
      <c r="I459" s="36"/>
      <c r="N459" s="36"/>
    </row>
    <row r="460" spans="1:16" s="2" customFormat="1" ht="15.75" customHeight="1" x14ac:dyDescent="0.35">
      <c r="A460" s="90">
        <f t="shared" ref="A460:A461" si="96">A459+1</f>
        <v>4</v>
      </c>
      <c r="B460" s="90"/>
      <c r="C460" s="19" t="s">
        <v>231</v>
      </c>
      <c r="D460" s="19">
        <f>((3.05*7.26+1.17*4.41+2.94*3.64+1.32*2.2+0.95*2.2+1.33*2.05+2.75*2.75+3.07*2.75+4.08*3.05+1.33*1.67+0.9*2.75+2.46*1.21+2.15*1.26)+(3.05*1.52)+0.75*(2.94+2.75+3.07+2.37))*10.764</f>
        <v>1049.9097959999999</v>
      </c>
      <c r="E460" s="19">
        <f>(57)*10.764</f>
        <v>613.548</v>
      </c>
      <c r="F460" s="19">
        <f>D460*(($F$368)+1)++(IF(E460&lt;101,E460,IF(E460&lt;201,E460/2,IF(E460&lt;=301,E460/3,E460/4))))</f>
        <v>1728.2516939999998</v>
      </c>
      <c r="G460" s="93"/>
      <c r="H460" s="94"/>
      <c r="I460" s="36"/>
      <c r="N460" s="36"/>
    </row>
    <row r="461" spans="1:16" s="2" customFormat="1" ht="15.75" customHeight="1" x14ac:dyDescent="0.35">
      <c r="A461" s="90">
        <f t="shared" si="96"/>
        <v>5</v>
      </c>
      <c r="B461" s="90"/>
      <c r="C461" s="19" t="s">
        <v>231</v>
      </c>
      <c r="D461" s="19">
        <f>((3.05*7.26+1.17*4.41+2.94*3.64+1.32*2.2+0.95*2.2+1.33*2.05+2.75*2.75+3.07*2.75+4.08*3.05+1.33*1.67+0.9*2.75+2.46*1.21+2.15*1.26)+(3.05*1.52)+0.75*(2.94+2.75+3.07+2.37))*10.764</f>
        <v>1049.9097959999999</v>
      </c>
      <c r="E461" s="19">
        <f>(56)*10.764</f>
        <v>602.78399999999999</v>
      </c>
      <c r="F461" s="19">
        <f>D461*(($F$368)+1)++(IF(E461&lt;101,E461,IF(E461&lt;201,E461/2,IF(E461&lt;=301,E461/3,E461/4))))</f>
        <v>1725.5606939999998</v>
      </c>
      <c r="G461" s="93"/>
      <c r="H461" s="94"/>
      <c r="I461" s="36"/>
      <c r="N461" s="36"/>
    </row>
    <row r="462" spans="1:16" s="2" customFormat="1" ht="15.75" customHeight="1" x14ac:dyDescent="0.35">
      <c r="A462" s="103" t="s">
        <v>232</v>
      </c>
      <c r="B462" s="104"/>
      <c r="C462" s="104"/>
      <c r="D462" s="104"/>
      <c r="E462" s="104"/>
      <c r="F462" s="104"/>
      <c r="G462" s="104"/>
      <c r="H462" s="105"/>
      <c r="I462" s="36"/>
    </row>
    <row r="463" spans="1:16" s="2" customFormat="1" ht="15.75" customHeight="1" x14ac:dyDescent="0.35">
      <c r="A463" s="106">
        <v>1</v>
      </c>
      <c r="B463" s="108"/>
      <c r="C463" s="19" t="s">
        <v>231</v>
      </c>
      <c r="D463" s="19">
        <f>((3.05*7.26+1.17*4.41+2.94*3.64+1.32*2.2+0.95*2.2+1.33*2.05+2.75*2.75+3.07*2.75+4.08*3.05+1.33*1.67+0.9*2.75+2.46*1.21+2.15*1.26)+(3.05*1.52)+0.75*(2.94+2.75+3.07+2.2))*10.764</f>
        <v>1048.537386</v>
      </c>
      <c r="E463" s="19">
        <v>0</v>
      </c>
      <c r="F463" s="19">
        <f>D463*(($F$368)+1)++(IF(E463&lt;101,E463,IF(E463&lt;201,E463/2,IF(E463&lt;=301,E463/3,E463/4))))</f>
        <v>1572.806079</v>
      </c>
      <c r="G463" s="91" t="str">
        <f>A462</f>
        <v>4th, 6th, 7th, 8th, 9th, 11th, 12th, 13th, 14th, 15th, 17th, 18th, 19th, 20th, 21st, 23rd, 24th,25th, 26th, 27th, 28th Floor</v>
      </c>
      <c r="H463" s="92"/>
      <c r="I463" s="36"/>
      <c r="N463" s="2" t="str">
        <f t="shared" ref="N463:N467" ca="1" si="97">O463&amp;""&amp;",..,"&amp;""&amp;P463</f>
        <v>301,..,2801</v>
      </c>
      <c r="O463" s="2">
        <v>301</v>
      </c>
      <c r="P463" s="2">
        <f ca="1">(SUMPRODUCT(MID(0&amp;(--TRIM(RIGHT(SUBSTITUTE(LEFT(A462,_xlfn.AGGREGATE(16,6,FIND({0,1,2,3,4,5,6,7,8,9},A462,ROW(INDIRECT("1:"&amp;LEN(A462)))),1))," ",REPT(" ",LEN(A462))),LEN(A462)))), LARGE(INDEX(ISNUMBER(--MID((--TRIM(RIGHT(SUBSTITUTE(LEFT(A462,_xlfn.AGGREGATE(16,6,FIND({0,1,2,3,4,5,6,7,8,9},A462,ROW(INDIRECT("1:"&amp;LEN(A462)))),1))," ",REPT(" ",LEN(A462))),LEN(A462)))), ROW(INDIRECT("1:"&amp;LEN((--TRIM(RIGHT(SUBSTITUTE(LEFT(A462,_xlfn.AGGREGATE(16,6,FIND({0,1,2,3,4,5,6,7,8,9},A462,ROW(INDIRECT("1:"&amp;LEN(A462)))),1))," ",REPT(" ",LEN(A462))),LEN(A462))))))), 1)) * ROW(INDIRECT("1:"&amp;LEN((--TRIM(RIGHT(SUBSTITUTE(LEFT(A462,_xlfn.AGGREGATE(16,6,FIND({0,1,2,3,4,5,6,7,8,9},A462,ROW(INDIRECT("1:"&amp;LEN(A462)))),1))," ",REPT(" ",LEN(A462))),LEN(A462))))))), 0), ROW(INDIRECT("1:"&amp;LEN((--TRIM(RIGHT(SUBSTITUTE(LEFT(A462,_xlfn.AGGREGATE(16,6,FIND({0,1,2,3,4,5,6,7,8,9},A462,ROW(INDIRECT("1:"&amp;LEN(A462)))),1))," ",REPT(" ",LEN(A462))),LEN(A462))))))))+1, 1) * 10^ROW(INDIRECT("1:"&amp;LEN((--TRIM(RIGHT(SUBSTITUTE(LEFT(A462,_xlfn.AGGREGATE(16,6,FIND({0,1,2,3,4,5,6,7,8,9},A462,ROW(INDIRECT("1:"&amp;LEN(A462)))),1))," ",REPT(" ",LEN(A462))),LEN(A462)))))))/10))*100+1</f>
        <v>2801</v>
      </c>
    </row>
    <row r="464" spans="1:16" s="2" customFormat="1" ht="15.75" customHeight="1" x14ac:dyDescent="0.35">
      <c r="A464" s="106">
        <v>2</v>
      </c>
      <c r="B464" s="108"/>
      <c r="C464" s="19" t="s">
        <v>231</v>
      </c>
      <c r="D464" s="19">
        <f>((3.05*7.26+1.17*4.41+2.94*3.64+1.32*2.2+0.95*2.2+1.33*2.05+2.75*2.75+3.07*2.75+4.08*3.05+1.33*1.67+0.9*2.75+2.46*1.21+2.15*1.26)+(3.05*1.52)+0.75*(2.94+2.75+3.07+2.2))*10.764</f>
        <v>1048.537386</v>
      </c>
      <c r="E464" s="19">
        <v>0</v>
      </c>
      <c r="F464" s="19">
        <f>D464*(($F$368)+1)++(IF(E464&lt;101,E464,IF(E464&lt;201,E464/2,IF(E464&lt;=301,E464/3,E464/4))))</f>
        <v>1572.806079</v>
      </c>
      <c r="G464" s="93"/>
      <c r="H464" s="94"/>
      <c r="I464" s="36"/>
      <c r="N464" s="2" t="str">
        <f t="shared" ca="1" si="97"/>
        <v>302,..,2802</v>
      </c>
      <c r="O464" s="2">
        <f t="shared" ref="O464:P464" si="98">O463+1</f>
        <v>302</v>
      </c>
      <c r="P464" s="2">
        <f t="shared" ca="1" si="98"/>
        <v>2802</v>
      </c>
    </row>
    <row r="465" spans="1:16" s="2" customFormat="1" ht="15.75" customHeight="1" x14ac:dyDescent="0.35">
      <c r="A465" s="106">
        <v>3</v>
      </c>
      <c r="B465" s="108"/>
      <c r="C465" s="19" t="s">
        <v>231</v>
      </c>
      <c r="D465" s="19">
        <f>((2.54*3.11+3.05*5.97+1.27*3.05+1.55*2.2+1.59*1.85+2.99*3.64+2.5*2.75+2.97*2.75+4.34*3.05+1*1.68+1.23*2.05+1.26*2.15+1.9*1.51)+(3.05*1.52)+(3.24+2.37+5.82)*0.75)*10.764</f>
        <v>1060.081776</v>
      </c>
      <c r="E465" s="19">
        <v>0</v>
      </c>
      <c r="F465" s="19">
        <f>D465*(($F$368)+1)++(IF(E465&lt;101,E465,IF(E465&lt;201,E465/2,IF(E465&lt;=301,E465/3,E465/4))))</f>
        <v>1590.122664</v>
      </c>
      <c r="G465" s="93"/>
      <c r="H465" s="94"/>
      <c r="I465" s="36"/>
      <c r="N465" s="2" t="str">
        <f t="shared" ca="1" si="97"/>
        <v>303,..,2803</v>
      </c>
      <c r="O465" s="2">
        <f t="shared" ref="O465:P465" si="99">O464+1</f>
        <v>303</v>
      </c>
      <c r="P465" s="2">
        <f t="shared" ca="1" si="99"/>
        <v>2803</v>
      </c>
    </row>
    <row r="466" spans="1:16" s="2" customFormat="1" ht="15.75" customHeight="1" x14ac:dyDescent="0.35">
      <c r="A466" s="106">
        <v>4</v>
      </c>
      <c r="B466" s="108"/>
      <c r="C466" s="19" t="s">
        <v>231</v>
      </c>
      <c r="D466" s="19">
        <f>((3.05*7.26+1.17*4.41+2.94*3.64+1.32*2.2+0.95*2.2+1.33*2.05+2.75*2.75+3.07*2.75+4.08*3.05+1.33*1.67+0.9*2.75+2.46*1.21+2.15*1.26)+(3.05*1.52)+0.75*(2.94+2.75+3.07+2.37))*10.764</f>
        <v>1049.9097959999999</v>
      </c>
      <c r="E466" s="19">
        <v>0</v>
      </c>
      <c r="F466" s="19">
        <f>D466*(($F$368)+1)++(IF(E466&lt;101,E466,IF(E466&lt;201,E466/2,IF(E466&lt;=301,E466/3,E466/4))))</f>
        <v>1574.8646939999999</v>
      </c>
      <c r="G466" s="93"/>
      <c r="H466" s="94"/>
      <c r="I466" s="36"/>
      <c r="N466" s="2" t="str">
        <f t="shared" ca="1" si="97"/>
        <v>304,..,2804</v>
      </c>
      <c r="O466" s="2">
        <f t="shared" ref="O466:P466" si="100">O465+1</f>
        <v>304</v>
      </c>
      <c r="P466" s="2">
        <f t="shared" ca="1" si="100"/>
        <v>2804</v>
      </c>
    </row>
    <row r="467" spans="1:16" s="2" customFormat="1" ht="15.75" customHeight="1" x14ac:dyDescent="0.35">
      <c r="A467" s="106">
        <v>5</v>
      </c>
      <c r="B467" s="108"/>
      <c r="C467" s="19" t="s">
        <v>231</v>
      </c>
      <c r="D467" s="19">
        <f>((3.05*7.26+1.17*4.41+2.94*3.64+1.32*2.2+0.95*2.2+1.33*2.05+2.75*2.75+3.07*2.75+4.08*3.05+1.33*1.67+0.9*2.75+2.46*1.21+2.15*1.26)+(3.05*1.52)+0.75*(2.94+2.75+3.07+2.37))*10.764</f>
        <v>1049.9097959999999</v>
      </c>
      <c r="E467" s="19">
        <v>0</v>
      </c>
      <c r="F467" s="19">
        <f>D467*(($F$368)+1)++(IF(E467&lt;101,E467,IF(E467&lt;201,E467/2,IF(E467&lt;=301,E467/3,E467/4))))</f>
        <v>1574.8646939999999</v>
      </c>
      <c r="G467" s="93"/>
      <c r="H467" s="94"/>
      <c r="I467" s="36"/>
      <c r="N467" s="2" t="str">
        <f t="shared" ca="1" si="97"/>
        <v>305,..,2805</v>
      </c>
      <c r="O467" s="2">
        <f t="shared" ref="O467:P467" si="101">O466+1</f>
        <v>305</v>
      </c>
      <c r="P467" s="2">
        <f t="shared" ca="1" si="101"/>
        <v>2805</v>
      </c>
    </row>
    <row r="468" spans="1:16" s="2" customFormat="1" ht="15.75" customHeight="1" x14ac:dyDescent="0.35">
      <c r="A468" s="103" t="s">
        <v>233</v>
      </c>
      <c r="B468" s="104"/>
      <c r="C468" s="104"/>
      <c r="D468" s="104"/>
      <c r="E468" s="104"/>
      <c r="F468" s="104"/>
      <c r="G468" s="104"/>
      <c r="H468" s="105"/>
      <c r="I468" s="36"/>
    </row>
    <row r="469" spans="1:16" s="2" customFormat="1" ht="15.75" customHeight="1" x14ac:dyDescent="0.35">
      <c r="A469" s="106">
        <v>1</v>
      </c>
      <c r="B469" s="108"/>
      <c r="C469" s="19" t="s">
        <v>231</v>
      </c>
      <c r="D469" s="19">
        <f>((3.05*7.26+1.17*4.41+2.94*3.64+1.32*2.2+0.95*2.2+1.33*2.05+2.75*2.75+3.07*2.75+4.08*3.05+1.33*1.67+0.9*2.75+2.46*1.21+2.15*1.26)+(3.05*1.52)+0.75*(2.94+2.75+3.07+2.2))*10.764</f>
        <v>1048.537386</v>
      </c>
      <c r="E469" s="19">
        <v>0</v>
      </c>
      <c r="F469" s="19">
        <f>D469*(($F$368)+1)++(IF(E469&lt;101,E469,IF(E469&lt;201,E469/2,IF(E469&lt;=301,E469/3,E469/4))))</f>
        <v>1572.806079</v>
      </c>
      <c r="G469" s="91" t="str">
        <f>A468</f>
        <v>5th, 10th, 16th, 22nd Floor (Part Refuge Area)</v>
      </c>
      <c r="H469" s="92"/>
      <c r="I469" s="36"/>
      <c r="N469" s="2" t="str">
        <f t="shared" ref="N469:N473" ca="1" si="102">O469&amp;""&amp;",..,"&amp;""&amp;P469</f>
        <v>701,..,2201</v>
      </c>
      <c r="O469" s="2">
        <v>701</v>
      </c>
      <c r="P469" s="2">
        <f ca="1">(SUMPRODUCT(MID(0&amp;(--TRIM(RIGHT(SUBSTITUTE(LEFT(A468,_xlfn.AGGREGATE(16,6,FIND({0,1,2,3,4,5,6,7,8,9},A468,ROW(INDIRECT("1:"&amp;LEN(A468)))),1))," ",REPT(" ",LEN(A468))),LEN(A468)))), LARGE(INDEX(ISNUMBER(--MID((--TRIM(RIGHT(SUBSTITUTE(LEFT(A468,_xlfn.AGGREGATE(16,6,FIND({0,1,2,3,4,5,6,7,8,9},A468,ROW(INDIRECT("1:"&amp;LEN(A468)))),1))," ",REPT(" ",LEN(A468))),LEN(A468)))), ROW(INDIRECT("1:"&amp;LEN((--TRIM(RIGHT(SUBSTITUTE(LEFT(A468,_xlfn.AGGREGATE(16,6,FIND({0,1,2,3,4,5,6,7,8,9},A468,ROW(INDIRECT("1:"&amp;LEN(A468)))),1))," ",REPT(" ",LEN(A468))),LEN(A468))))))), 1)) * ROW(INDIRECT("1:"&amp;LEN((--TRIM(RIGHT(SUBSTITUTE(LEFT(A468,_xlfn.AGGREGATE(16,6,FIND({0,1,2,3,4,5,6,7,8,9},A468,ROW(INDIRECT("1:"&amp;LEN(A468)))),1))," ",REPT(" ",LEN(A468))),LEN(A468))))))), 0), ROW(INDIRECT("1:"&amp;LEN((--TRIM(RIGHT(SUBSTITUTE(LEFT(A468,_xlfn.AGGREGATE(16,6,FIND({0,1,2,3,4,5,6,7,8,9},A468,ROW(INDIRECT("1:"&amp;LEN(A468)))),1))," ",REPT(" ",LEN(A468))),LEN(A468))))))))+1, 1) * 10^ROW(INDIRECT("1:"&amp;LEN((--TRIM(RIGHT(SUBSTITUTE(LEFT(A468,_xlfn.AGGREGATE(16,6,FIND({0,1,2,3,4,5,6,7,8,9},A468,ROW(INDIRECT("1:"&amp;LEN(A468)))),1))," ",REPT(" ",LEN(A468))),LEN(A468)))))))/10))*100+1</f>
        <v>2201</v>
      </c>
    </row>
    <row r="470" spans="1:16" s="2" customFormat="1" ht="15.75" customHeight="1" x14ac:dyDescent="0.35">
      <c r="A470" s="106">
        <v>2</v>
      </c>
      <c r="B470" s="108"/>
      <c r="C470" s="19" t="s">
        <v>231</v>
      </c>
      <c r="D470" s="19">
        <f>((3.05*7.26+1.17*4.41+2.94*3.64+1.32*2.2+0.95*2.2+1.33*2.05+2.75*2.75+3.07*2.75+4.08*3.05+1.33*1.67+0.9*2.75+2.46*1.21+2.15*1.26)+(3.05*1.52)+0.75*(2.94+2.75+3.07+2.2))*10.764</f>
        <v>1048.537386</v>
      </c>
      <c r="E470" s="19">
        <v>0</v>
      </c>
      <c r="F470" s="19">
        <f>D470*(($F$368)+1)++(IF(E470&lt;101,E470,IF(E470&lt;201,E470/2,IF(E470&lt;=301,E470/3,E470/4))))</f>
        <v>1572.806079</v>
      </c>
      <c r="G470" s="93"/>
      <c r="H470" s="94"/>
      <c r="I470" s="36"/>
      <c r="N470" s="2" t="str">
        <f t="shared" ca="1" si="102"/>
        <v>702,..,2202</v>
      </c>
      <c r="O470" s="2">
        <f t="shared" ref="O470:P470" si="103">O469+1</f>
        <v>702</v>
      </c>
      <c r="P470" s="2">
        <f t="shared" ca="1" si="103"/>
        <v>2202</v>
      </c>
    </row>
    <row r="471" spans="1:16" s="2" customFormat="1" ht="15.75" customHeight="1" x14ac:dyDescent="0.35">
      <c r="A471" s="106">
        <v>3</v>
      </c>
      <c r="B471" s="108"/>
      <c r="C471" s="19" t="s">
        <v>231</v>
      </c>
      <c r="D471" s="19">
        <f>((2.54*3.11+3.05*5.97+1.27*3.05+1.55*2.2+1.59*1.85+2.99*3.64+2.5*2.75+2.97*2.75+4.34*3.05+1*1.68+1.23*2.05+1.26*2.15+1.9*1.51)+(3.05*1.52)+(3.24+2.37+5.82)*0.75)*10.764</f>
        <v>1060.081776</v>
      </c>
      <c r="E471" s="19">
        <v>0</v>
      </c>
      <c r="F471" s="19">
        <f>D471*(($F$368)+1)++(IF(E471&lt;101,E471,IF(E471&lt;201,E471/2,IF(E471&lt;=301,E471/3,E471/4))))</f>
        <v>1590.122664</v>
      </c>
      <c r="G471" s="93"/>
      <c r="H471" s="94"/>
      <c r="I471" s="36"/>
      <c r="N471" s="2" t="str">
        <f t="shared" ca="1" si="102"/>
        <v>703,..,2203</v>
      </c>
      <c r="O471" s="2">
        <f t="shared" ref="O471:P471" si="104">O470+1</f>
        <v>703</v>
      </c>
      <c r="P471" s="2">
        <f t="shared" ca="1" si="104"/>
        <v>2203</v>
      </c>
    </row>
    <row r="472" spans="1:16" s="2" customFormat="1" ht="15.75" customHeight="1" x14ac:dyDescent="0.35">
      <c r="A472" s="106">
        <v>4</v>
      </c>
      <c r="B472" s="108"/>
      <c r="C472" s="106" t="s">
        <v>217</v>
      </c>
      <c r="D472" s="107"/>
      <c r="E472" s="107"/>
      <c r="F472" s="108"/>
      <c r="G472" s="93"/>
      <c r="H472" s="94"/>
      <c r="I472" s="36"/>
      <c r="N472" s="2" t="str">
        <f t="shared" ca="1" si="102"/>
        <v>703,..,2203</v>
      </c>
      <c r="O472" s="2">
        <f>O470+1</f>
        <v>703</v>
      </c>
      <c r="P472" s="2">
        <f ca="1">P470+1</f>
        <v>2203</v>
      </c>
    </row>
    <row r="473" spans="1:16" s="2" customFormat="1" ht="15.75" customHeight="1" x14ac:dyDescent="0.35">
      <c r="A473" s="106">
        <v>5</v>
      </c>
      <c r="B473" s="108"/>
      <c r="C473" s="19" t="s">
        <v>231</v>
      </c>
      <c r="D473" s="19">
        <f>((3.05*7.26+1.17*4.41+2.94*3.64+1.32*2.2+0.95*2.2+1.33*2.05+2.75*2.75+3.07*2.75+4.08*3.05+1.33*1.67+0.9*2.75+2.46*1.21+2.15*1.26)+(3.05*1.52)+0.75*(2.94+2.75+3.07+2.37))*10.764</f>
        <v>1049.9097959999999</v>
      </c>
      <c r="E473" s="19">
        <v>0</v>
      </c>
      <c r="F473" s="19">
        <f>D473*(($F$368)+1)++(IF(E473&lt;101,E473,IF(E473&lt;201,E473/2,IF(E473&lt;=301,E473/3,E473/4))))</f>
        <v>1574.8646939999999</v>
      </c>
      <c r="G473" s="93"/>
      <c r="H473" s="94"/>
      <c r="I473" s="36"/>
      <c r="N473" s="2" t="str">
        <f t="shared" ca="1" si="102"/>
        <v>704,..,2204</v>
      </c>
      <c r="O473" s="2">
        <f t="shared" ref="O473:P473" si="105">O472+1</f>
        <v>704</v>
      </c>
      <c r="P473" s="2">
        <f t="shared" ca="1" si="105"/>
        <v>2204</v>
      </c>
    </row>
    <row r="474" spans="1:16" s="2" customFormat="1" x14ac:dyDescent="0.35">
      <c r="A474" s="102" t="s">
        <v>270</v>
      </c>
      <c r="B474" s="102"/>
      <c r="C474" s="102"/>
      <c r="D474" s="102"/>
      <c r="E474" s="102"/>
      <c r="F474" s="102"/>
      <c r="G474" s="102"/>
      <c r="H474" s="102"/>
      <c r="I474" s="36"/>
      <c r="L474" s="109"/>
      <c r="M474" s="109"/>
    </row>
    <row r="475" spans="1:16" s="2" customFormat="1" x14ac:dyDescent="0.35">
      <c r="A475" s="102" t="s">
        <v>248</v>
      </c>
      <c r="B475" s="102"/>
      <c r="C475" s="102"/>
      <c r="D475" s="102"/>
      <c r="E475" s="102"/>
      <c r="F475" s="102"/>
      <c r="G475" s="102"/>
      <c r="H475" s="102"/>
      <c r="I475" s="36"/>
      <c r="L475" s="109"/>
      <c r="M475" s="109"/>
    </row>
    <row r="476" spans="1:16" s="2" customFormat="1" ht="15.75" customHeight="1" x14ac:dyDescent="0.35">
      <c r="A476" s="90">
        <v>1</v>
      </c>
      <c r="B476" s="90"/>
      <c r="C476" s="19" t="s">
        <v>203</v>
      </c>
      <c r="D476" s="19">
        <f>(3*4.75+2.25*2.85+2.75*2.75+3.35*2.9+2.1*0.6+2*1.25+1.25*1.8+1.25*1+0.9*2+1.25*0.9)*10.764</f>
        <v>518.01749999999993</v>
      </c>
      <c r="E476" s="19">
        <f>(45.62+2.6*1)*10.764</f>
        <v>519.04007999999999</v>
      </c>
      <c r="F476" s="19">
        <f t="shared" ref="F476:F481" si="106">D476*(($F$368)+1)++(IF(E476&lt;101,E476,IF(E476&lt;201,E476/2,IF(E476&lt;=301,E476/3,E476/4))))</f>
        <v>906.78626999999983</v>
      </c>
      <c r="G476" s="91" t="str">
        <f>A475</f>
        <v>4th Floor for Residential</v>
      </c>
      <c r="H476" s="92"/>
      <c r="I476" s="36"/>
      <c r="N476" s="36"/>
    </row>
    <row r="477" spans="1:16" s="2" customFormat="1" ht="15.75" customHeight="1" x14ac:dyDescent="0.35">
      <c r="A477" s="90">
        <f>A476+1</f>
        <v>2</v>
      </c>
      <c r="B477" s="90"/>
      <c r="C477" s="19" t="s">
        <v>204</v>
      </c>
      <c r="D477" s="19">
        <f>(3*4.75+2.25*2.18+3.25*2.9+1.55*0.6+1.25*1.75+1.25*1.37+0.98*1+2.25*0.9)*10.764</f>
        <v>391.97105999999991</v>
      </c>
      <c r="E477" s="19">
        <f>(35.03+2.5*1)*10.764</f>
        <v>403.97291999999999</v>
      </c>
      <c r="F477" s="19">
        <f t="shared" si="106"/>
        <v>688.94981999999993</v>
      </c>
      <c r="G477" s="93"/>
      <c r="H477" s="94"/>
      <c r="I477" s="36"/>
      <c r="N477" s="36"/>
    </row>
    <row r="478" spans="1:16" s="2" customFormat="1" ht="15.75" customHeight="1" x14ac:dyDescent="0.35">
      <c r="A478" s="90">
        <f>A477+1</f>
        <v>3</v>
      </c>
      <c r="B478" s="90"/>
      <c r="C478" s="19" t="s">
        <v>204</v>
      </c>
      <c r="D478" s="19">
        <f>(3*4.75+2.25*2.18+3.25*2.9+1.55*0.6+1.25*1.75+1.25*1.37+0.98*1+2.25*0.9)*10.764</f>
        <v>391.97105999999991</v>
      </c>
      <c r="E478" s="19">
        <f>(35.03+2.5*1)*10.764</f>
        <v>403.97291999999999</v>
      </c>
      <c r="F478" s="19">
        <f t="shared" si="106"/>
        <v>688.94981999999993</v>
      </c>
      <c r="G478" s="93"/>
      <c r="H478" s="94"/>
      <c r="I478" s="36"/>
      <c r="N478" s="36"/>
    </row>
    <row r="479" spans="1:16" s="2" customFormat="1" ht="15.75" customHeight="1" x14ac:dyDescent="0.35">
      <c r="A479" s="90">
        <f t="shared" ref="A479:A480" si="107">A478+1</f>
        <v>4</v>
      </c>
      <c r="B479" s="90"/>
      <c r="C479" s="19" t="s">
        <v>204</v>
      </c>
      <c r="D479" s="19">
        <f>(3*4.75+2.25*2.18+3.25*2.9+1.55*0.6+1.25*1.75+1.25*1.37+0.98*1+2.25*0.9)*10.764</f>
        <v>391.97105999999991</v>
      </c>
      <c r="E479" s="19">
        <f>(35.03+2.5*1)*10.764</f>
        <v>403.97291999999999</v>
      </c>
      <c r="F479" s="19">
        <f t="shared" si="106"/>
        <v>688.94981999999993</v>
      </c>
      <c r="G479" s="93"/>
      <c r="H479" s="94"/>
      <c r="I479" s="36"/>
      <c r="N479" s="36"/>
    </row>
    <row r="480" spans="1:16" s="2" customFormat="1" ht="15.75" customHeight="1" x14ac:dyDescent="0.35">
      <c r="A480" s="90">
        <f t="shared" si="107"/>
        <v>5</v>
      </c>
      <c r="B480" s="90"/>
      <c r="C480" s="19" t="s">
        <v>203</v>
      </c>
      <c r="D480" s="19">
        <f>(3*4.75+2.25*2.85+2.75*2.75+3.35*2.9+2.1*0.6+2*1.25+1.25*1.8+1.25*1+0.9*2+1.25*0.9)*10.764</f>
        <v>518.01749999999993</v>
      </c>
      <c r="E480" s="19">
        <f>(45.62+2.6*1)*10.764</f>
        <v>519.04007999999999</v>
      </c>
      <c r="F480" s="19">
        <f t="shared" si="106"/>
        <v>906.78626999999983</v>
      </c>
      <c r="G480" s="93"/>
      <c r="H480" s="94"/>
      <c r="I480" s="36"/>
      <c r="N480" s="36"/>
    </row>
    <row r="481" spans="1:16" s="2" customFormat="1" ht="15.75" customHeight="1" x14ac:dyDescent="0.35">
      <c r="A481" s="90">
        <v>6</v>
      </c>
      <c r="B481" s="90"/>
      <c r="C481" s="19" t="s">
        <v>203</v>
      </c>
      <c r="D481" s="19">
        <f>(3*4.75+2.25*2.85+2.75*2.75+3.35*2.9+2.1*0.6+2*1.25+1.25*1.8+1.25*1+0.9*2+1.25*0.9)*10.764</f>
        <v>518.01749999999993</v>
      </c>
      <c r="E481" s="19">
        <f>(34.69+2.6*1)*10.764</f>
        <v>401.38955999999996</v>
      </c>
      <c r="F481" s="19">
        <f t="shared" si="106"/>
        <v>877.37363999999991</v>
      </c>
      <c r="G481" s="93"/>
      <c r="H481" s="94"/>
      <c r="I481" s="36"/>
      <c r="N481" s="36"/>
    </row>
    <row r="482" spans="1:16" s="2" customFormat="1" ht="15.75" customHeight="1" x14ac:dyDescent="0.35">
      <c r="A482" s="90">
        <f>A481+1</f>
        <v>7</v>
      </c>
      <c r="B482" s="90"/>
      <c r="C482" s="106" t="s">
        <v>249</v>
      </c>
      <c r="D482" s="107"/>
      <c r="E482" s="107"/>
      <c r="F482" s="108"/>
      <c r="G482" s="93"/>
      <c r="H482" s="94"/>
      <c r="I482" s="36"/>
      <c r="N482" s="36"/>
    </row>
    <row r="483" spans="1:16" s="2" customFormat="1" ht="15.75" customHeight="1" x14ac:dyDescent="0.35">
      <c r="A483" s="90">
        <f>A482+1</f>
        <v>8</v>
      </c>
      <c r="B483" s="90"/>
      <c r="C483" s="19" t="s">
        <v>204</v>
      </c>
      <c r="D483" s="19">
        <f>(3*4.75+2.25*2.18+3.25*2.9+1.55*0.6+1.25*1.75+1.25*1.37+0.98*1+2.25*0.9)*10.764</f>
        <v>391.97105999999991</v>
      </c>
      <c r="E483" s="19">
        <f>(28.46+2.5*1)*10.764</f>
        <v>333.25344000000001</v>
      </c>
      <c r="F483" s="19">
        <f>D483*(($F$368)+1)++(IF(E483&lt;101,E483,IF(E483&lt;201,E483/2,IF(E483&lt;=301,E483/3,E483/4))))</f>
        <v>671.26994999999988</v>
      </c>
      <c r="G483" s="93"/>
      <c r="H483" s="94"/>
      <c r="I483" s="36"/>
      <c r="N483" s="36"/>
    </row>
    <row r="484" spans="1:16" s="2" customFormat="1" ht="15.75" customHeight="1" x14ac:dyDescent="0.35">
      <c r="A484" s="90">
        <f t="shared" ref="A484:A485" si="108">A483+1</f>
        <v>9</v>
      </c>
      <c r="B484" s="90"/>
      <c r="C484" s="19" t="s">
        <v>204</v>
      </c>
      <c r="D484" s="19">
        <f>(3*4.75+2.25*2.18+3.25*2.9+1.55*0.6+1.25*1.75+1.25*1.37+0.98*1+2.25*0.9)*10.764</f>
        <v>391.97105999999991</v>
      </c>
      <c r="E484" s="19">
        <f>(28.46+2.5*1)*10.764</f>
        <v>333.25344000000001</v>
      </c>
      <c r="F484" s="19">
        <f>D484*(($F$368)+1)++(IF(E484&lt;101,E484,IF(E484&lt;201,E484/2,IF(E484&lt;=301,E484/3,E484/4))))</f>
        <v>671.26994999999988</v>
      </c>
      <c r="G484" s="93"/>
      <c r="H484" s="94"/>
      <c r="I484" s="36"/>
      <c r="N484" s="36"/>
    </row>
    <row r="485" spans="1:16" s="2" customFormat="1" ht="15.75" customHeight="1" x14ac:dyDescent="0.35">
      <c r="A485" s="90">
        <f t="shared" si="108"/>
        <v>10</v>
      </c>
      <c r="B485" s="90"/>
      <c r="C485" s="19" t="s">
        <v>203</v>
      </c>
      <c r="D485" s="19">
        <f>(3*4.75+2.25*2.85+2.75*2.75+3.35*2.9+2.1*0.6+2*1.25+1.25*1.8+1.25*1+0.9*2+1.25*0.9)*10.764</f>
        <v>518.01749999999993</v>
      </c>
      <c r="E485" s="19">
        <f>(34.89+2.6*1)*10.764</f>
        <v>403.54235999999997</v>
      </c>
      <c r="F485" s="19">
        <f>D485*(($F$368)+1)++(IF(E485&lt;101,E485,IF(E485&lt;201,E485/2,IF(E485&lt;=301,E485/3,E485/4))))</f>
        <v>877.91183999999987</v>
      </c>
      <c r="G485" s="95"/>
      <c r="H485" s="96"/>
      <c r="I485" s="36"/>
      <c r="N485" s="36"/>
    </row>
    <row r="486" spans="1:16" s="2" customFormat="1" ht="32.25" customHeight="1" x14ac:dyDescent="0.35">
      <c r="A486" s="102" t="s">
        <v>250</v>
      </c>
      <c r="B486" s="102"/>
      <c r="C486" s="102"/>
      <c r="D486" s="102"/>
      <c r="E486" s="102"/>
      <c r="F486" s="102"/>
      <c r="G486" s="102"/>
      <c r="H486" s="102"/>
      <c r="I486" s="36"/>
    </row>
    <row r="487" spans="1:16" s="2" customFormat="1" ht="15.75" customHeight="1" x14ac:dyDescent="0.35">
      <c r="A487" s="90">
        <v>1</v>
      </c>
      <c r="B487" s="90"/>
      <c r="C487" s="68" t="s">
        <v>203</v>
      </c>
      <c r="D487" s="68">
        <f>(3*4.75+2.25*2.85+2.75*2.75+3.35*2.9+2.1*0.6+2*1.25+1.25*1.8+1.25*1+1*2+1.25*1+1*2.6)*10.764</f>
        <v>549.5021999999999</v>
      </c>
      <c r="E487" s="68">
        <v>0</v>
      </c>
      <c r="F487" s="68">
        <f t="shared" ref="F487:F496" si="109">D487*(($F$368)+1)++(IF(E487&lt;101,E487,IF(E487&lt;201,E487/2,IF(E487&lt;=301,E487/3,E487/4))))</f>
        <v>824.25329999999985</v>
      </c>
      <c r="G487" s="90" t="str">
        <f>A486</f>
        <v>5th, 6th, 8th to 11th, 13th to 16th, 18th to 21st, 23rd to 26th, 28th to 31st, 33rd, 34th &amp; 35th Floor</v>
      </c>
      <c r="H487" s="90"/>
      <c r="I487" s="36"/>
      <c r="N487" s="36"/>
    </row>
    <row r="488" spans="1:16" s="2" customFormat="1" ht="15.75" customHeight="1" x14ac:dyDescent="0.35">
      <c r="A488" s="90">
        <f>A487+1</f>
        <v>2</v>
      </c>
      <c r="B488" s="90"/>
      <c r="C488" s="68" t="s">
        <v>204</v>
      </c>
      <c r="D488" s="68">
        <f>(3*4.75+2.25*2.18+3.25*2.9+1.55*0.6+1.25*1.75+1.25*1.37+0.98*1+2.25*1+1*2.6)*10.764</f>
        <v>422.37935999999991</v>
      </c>
      <c r="E488" s="68">
        <v>0</v>
      </c>
      <c r="F488" s="68">
        <f t="shared" si="109"/>
        <v>633.56903999999986</v>
      </c>
      <c r="G488" s="90"/>
      <c r="H488" s="90"/>
      <c r="I488" s="36"/>
      <c r="N488" s="36"/>
    </row>
    <row r="489" spans="1:16" s="2" customFormat="1" ht="15.75" customHeight="1" x14ac:dyDescent="0.35">
      <c r="A489" s="90">
        <f>A488+1</f>
        <v>3</v>
      </c>
      <c r="B489" s="90"/>
      <c r="C489" s="68" t="s">
        <v>204</v>
      </c>
      <c r="D489" s="68">
        <f t="shared" ref="D489:D490" si="110">(3*4.75+2.25*2.18+3.25*2.9+1.55*0.6+1.25*1.75+1.25*1.37+0.98*1+2.25*1+1*2.6)*10.764</f>
        <v>422.37935999999991</v>
      </c>
      <c r="E489" s="68">
        <v>0</v>
      </c>
      <c r="F489" s="68">
        <f t="shared" si="109"/>
        <v>633.56903999999986</v>
      </c>
      <c r="G489" s="90"/>
      <c r="H489" s="90"/>
      <c r="I489" s="36"/>
      <c r="N489" s="36"/>
    </row>
    <row r="490" spans="1:16" s="2" customFormat="1" ht="15.75" customHeight="1" x14ac:dyDescent="0.35">
      <c r="A490" s="90">
        <f t="shared" ref="A490:A491" si="111">A489+1</f>
        <v>4</v>
      </c>
      <c r="B490" s="90"/>
      <c r="C490" s="68" t="s">
        <v>204</v>
      </c>
      <c r="D490" s="68">
        <f t="shared" si="110"/>
        <v>422.37935999999991</v>
      </c>
      <c r="E490" s="68">
        <v>0</v>
      </c>
      <c r="F490" s="68">
        <f t="shared" si="109"/>
        <v>633.56903999999986</v>
      </c>
      <c r="G490" s="90"/>
      <c r="H490" s="90"/>
      <c r="I490" s="36"/>
      <c r="N490" s="36"/>
    </row>
    <row r="491" spans="1:16" s="2" customFormat="1" ht="15.75" customHeight="1" x14ac:dyDescent="0.35">
      <c r="A491" s="90">
        <f t="shared" si="111"/>
        <v>5</v>
      </c>
      <c r="B491" s="90"/>
      <c r="C491" s="68" t="s">
        <v>203</v>
      </c>
      <c r="D491" s="68">
        <f>(3*4.75+2.25*2.85+2.75*2.75+3.35*2.9+2.1*0.6+2*1.25+1.25*1.8+1.25*1+1*2+1.25*1+1*2.6)*10.764</f>
        <v>549.5021999999999</v>
      </c>
      <c r="E491" s="68">
        <v>0</v>
      </c>
      <c r="F491" s="68">
        <f t="shared" si="109"/>
        <v>824.25329999999985</v>
      </c>
      <c r="G491" s="90"/>
      <c r="H491" s="90"/>
      <c r="I491" s="36"/>
      <c r="N491" s="36"/>
    </row>
    <row r="492" spans="1:16" s="2" customFormat="1" ht="15.75" customHeight="1" x14ac:dyDescent="0.35">
      <c r="A492" s="90">
        <v>6</v>
      </c>
      <c r="B492" s="90"/>
      <c r="C492" s="68" t="s">
        <v>203</v>
      </c>
      <c r="D492" s="68">
        <f>(3*4.75+2.25*2.85+2.75*2.75+3.35*2.9+2.1*0.6+2*1.25+1.25*1.8+1.25*1+1*2+1.25*1+1*2.6)*10.764</f>
        <v>549.5021999999999</v>
      </c>
      <c r="E492" s="68">
        <v>0</v>
      </c>
      <c r="F492" s="68">
        <f t="shared" si="109"/>
        <v>824.25329999999985</v>
      </c>
      <c r="G492" s="90"/>
      <c r="H492" s="90"/>
      <c r="I492" s="36"/>
      <c r="N492" s="36"/>
    </row>
    <row r="493" spans="1:16" s="2" customFormat="1" ht="15.75" customHeight="1" x14ac:dyDescent="0.35">
      <c r="A493" s="90">
        <v>7</v>
      </c>
      <c r="B493" s="90"/>
      <c r="C493" s="68" t="s">
        <v>204</v>
      </c>
      <c r="D493" s="68">
        <f t="shared" ref="D493:D495" si="112">(3*4.75+2.25*2.18+3.25*2.9+1.55*0.6+1.25*1.75+1.25*1.37+0.98*1+2.25*1+1*2.6)*10.764</f>
        <v>422.37935999999991</v>
      </c>
      <c r="E493" s="68">
        <v>0</v>
      </c>
      <c r="F493" s="68">
        <f t="shared" si="109"/>
        <v>633.56903999999986</v>
      </c>
      <c r="G493" s="90"/>
      <c r="H493" s="90"/>
      <c r="I493" s="36"/>
      <c r="N493" s="2" t="str">
        <f t="shared" ref="N493:N496" ca="1" si="113">O493&amp;""&amp;",..,"&amp;""&amp;P493</f>
        <v>301,..,3501</v>
      </c>
      <c r="O493" s="2">
        <v>301</v>
      </c>
      <c r="P493" s="2">
        <f ca="1">(SUMPRODUCT(MID(0&amp;(--TRIM(RIGHT(SUBSTITUTE(LEFT(A486,_xlfn.AGGREGATE(16,6,FIND({0,1,2,3,4,5,6,7,8,9},A486,ROW(INDIRECT("1:"&amp;LEN(A486)))),1))," ",REPT(" ",LEN(A486))),LEN(A486)))), LARGE(INDEX(ISNUMBER(--MID((--TRIM(RIGHT(SUBSTITUTE(LEFT(A486,_xlfn.AGGREGATE(16,6,FIND({0,1,2,3,4,5,6,7,8,9},A486,ROW(INDIRECT("1:"&amp;LEN(A486)))),1))," ",REPT(" ",LEN(A486))),LEN(A486)))), ROW(INDIRECT("1:"&amp;LEN((--TRIM(RIGHT(SUBSTITUTE(LEFT(A486,_xlfn.AGGREGATE(16,6,FIND({0,1,2,3,4,5,6,7,8,9},A486,ROW(INDIRECT("1:"&amp;LEN(A486)))),1))," ",REPT(" ",LEN(A486))),LEN(A486))))))), 1)) * ROW(INDIRECT("1:"&amp;LEN((--TRIM(RIGHT(SUBSTITUTE(LEFT(A486,_xlfn.AGGREGATE(16,6,FIND({0,1,2,3,4,5,6,7,8,9},A486,ROW(INDIRECT("1:"&amp;LEN(A486)))),1))," ",REPT(" ",LEN(A486))),LEN(A486))))))), 0), ROW(INDIRECT("1:"&amp;LEN((--TRIM(RIGHT(SUBSTITUTE(LEFT(A486,_xlfn.AGGREGATE(16,6,FIND({0,1,2,3,4,5,6,7,8,9},A486,ROW(INDIRECT("1:"&amp;LEN(A486)))),1))," ",REPT(" ",LEN(A486))),LEN(A486))))))))+1, 1) * 10^ROW(INDIRECT("1:"&amp;LEN((--TRIM(RIGHT(SUBSTITUTE(LEFT(A486,_xlfn.AGGREGATE(16,6,FIND({0,1,2,3,4,5,6,7,8,9},A486,ROW(INDIRECT("1:"&amp;LEN(A486)))),1))," ",REPT(" ",LEN(A486))),LEN(A486)))))))/10))*100+1</f>
        <v>3501</v>
      </c>
    </row>
    <row r="494" spans="1:16" s="2" customFormat="1" ht="15.75" customHeight="1" x14ac:dyDescent="0.35">
      <c r="A494" s="90">
        <v>8</v>
      </c>
      <c r="B494" s="90"/>
      <c r="C494" s="68" t="s">
        <v>204</v>
      </c>
      <c r="D494" s="68">
        <f t="shared" si="112"/>
        <v>422.37935999999991</v>
      </c>
      <c r="E494" s="68">
        <v>0</v>
      </c>
      <c r="F494" s="68">
        <f t="shared" si="109"/>
        <v>633.56903999999986</v>
      </c>
      <c r="G494" s="90"/>
      <c r="H494" s="90"/>
      <c r="I494" s="36"/>
      <c r="N494" s="2" t="str">
        <f t="shared" ca="1" si="113"/>
        <v>302,..,3502</v>
      </c>
      <c r="O494" s="2">
        <f t="shared" ref="O494:P494" si="114">O493+1</f>
        <v>302</v>
      </c>
      <c r="P494" s="2">
        <f t="shared" ca="1" si="114"/>
        <v>3502</v>
      </c>
    </row>
    <row r="495" spans="1:16" s="2" customFormat="1" ht="15.75" customHeight="1" x14ac:dyDescent="0.35">
      <c r="A495" s="90">
        <v>9</v>
      </c>
      <c r="B495" s="90"/>
      <c r="C495" s="68" t="s">
        <v>204</v>
      </c>
      <c r="D495" s="68">
        <f t="shared" si="112"/>
        <v>422.37935999999991</v>
      </c>
      <c r="E495" s="68">
        <v>0</v>
      </c>
      <c r="F495" s="68">
        <f t="shared" si="109"/>
        <v>633.56903999999986</v>
      </c>
      <c r="G495" s="90"/>
      <c r="H495" s="90"/>
      <c r="I495" s="36"/>
      <c r="N495" s="2" t="str">
        <f t="shared" ca="1" si="113"/>
        <v>303,..,3503</v>
      </c>
      <c r="O495" s="2">
        <f t="shared" ref="O495:P495" si="115">O494+1</f>
        <v>303</v>
      </c>
      <c r="P495" s="2">
        <f t="shared" ca="1" si="115"/>
        <v>3503</v>
      </c>
    </row>
    <row r="496" spans="1:16" s="2" customFormat="1" ht="15.75" customHeight="1" x14ac:dyDescent="0.35">
      <c r="A496" s="90">
        <v>10</v>
      </c>
      <c r="B496" s="90"/>
      <c r="C496" s="68" t="s">
        <v>203</v>
      </c>
      <c r="D496" s="68">
        <f>(3*4.75+2.25*2.85+2.75*2.75+3.35*2.9+2.1*0.6+2*1.25+1.25*1.8+1.25*1+1*2+1.25*1+1*2.6)*10.764</f>
        <v>549.5021999999999</v>
      </c>
      <c r="E496" s="68">
        <v>0</v>
      </c>
      <c r="F496" s="68">
        <f t="shared" si="109"/>
        <v>824.25329999999985</v>
      </c>
      <c r="G496" s="90"/>
      <c r="H496" s="90"/>
      <c r="I496" s="36"/>
      <c r="N496" s="2" t="str">
        <f t="shared" ca="1" si="113"/>
        <v>304,..,3504</v>
      </c>
      <c r="O496" s="2">
        <f t="shared" ref="O496:P496" si="116">O495+1</f>
        <v>304</v>
      </c>
      <c r="P496" s="2">
        <f t="shared" ca="1" si="116"/>
        <v>3504</v>
      </c>
    </row>
    <row r="497" spans="1:16" s="2" customFormat="1" ht="15.75" customHeight="1" x14ac:dyDescent="0.35">
      <c r="A497" s="103" t="s">
        <v>251</v>
      </c>
      <c r="B497" s="104"/>
      <c r="C497" s="104"/>
      <c r="D497" s="104"/>
      <c r="E497" s="104"/>
      <c r="F497" s="104"/>
      <c r="G497" s="104"/>
      <c r="H497" s="105"/>
      <c r="I497" s="36"/>
    </row>
    <row r="498" spans="1:16" s="2" customFormat="1" ht="15.75" customHeight="1" x14ac:dyDescent="0.35">
      <c r="A498" s="90">
        <v>1</v>
      </c>
      <c r="B498" s="90"/>
      <c r="C498" s="106" t="s">
        <v>206</v>
      </c>
      <c r="D498" s="107"/>
      <c r="E498" s="107"/>
      <c r="F498" s="108"/>
      <c r="G498" s="91" t="str">
        <f>A497</f>
        <v>7th, 12th, 17th, 22nd, 27th &amp; 32nd Floor (Part Refuge Area)</v>
      </c>
      <c r="H498" s="92"/>
      <c r="I498" s="36"/>
      <c r="N498" s="36"/>
    </row>
    <row r="499" spans="1:16" s="2" customFormat="1" ht="15.75" customHeight="1" x14ac:dyDescent="0.35">
      <c r="A499" s="90">
        <f>A498+1</f>
        <v>2</v>
      </c>
      <c r="B499" s="90"/>
      <c r="C499" s="19" t="s">
        <v>204</v>
      </c>
      <c r="D499" s="19">
        <f>(3*4.75+2.25*2.18+3.25*2.9+1.55*0.6+1.25*1.75+1.25*1.37+0.98*1+2.25*1+1*2.6)*10.764</f>
        <v>422.37935999999991</v>
      </c>
      <c r="E499" s="19">
        <v>0</v>
      </c>
      <c r="F499" s="19">
        <f t="shared" ref="F499:F507" si="117">D499*(($F$368)+1)++(IF(E499&lt;101,E499,IF(E499&lt;201,E499/2,IF(E499&lt;=301,E499/3,E499/4))))</f>
        <v>633.56903999999986</v>
      </c>
      <c r="G499" s="93"/>
      <c r="H499" s="94"/>
      <c r="I499" s="36"/>
      <c r="N499" s="36"/>
    </row>
    <row r="500" spans="1:16" s="2" customFormat="1" ht="15.75" customHeight="1" x14ac:dyDescent="0.35">
      <c r="A500" s="90">
        <f>A499+1</f>
        <v>3</v>
      </c>
      <c r="B500" s="90"/>
      <c r="C500" s="19" t="s">
        <v>204</v>
      </c>
      <c r="D500" s="19">
        <f t="shared" ref="D500:D501" si="118">(3*4.75+2.25*2.18+3.25*2.9+1.55*0.6+1.25*1.75+1.25*1.37+0.98*1+2.25*1+1*2.6)*10.764</f>
        <v>422.37935999999991</v>
      </c>
      <c r="E500" s="19">
        <v>0</v>
      </c>
      <c r="F500" s="19">
        <f t="shared" si="117"/>
        <v>633.56903999999986</v>
      </c>
      <c r="G500" s="93"/>
      <c r="H500" s="94"/>
      <c r="I500" s="36"/>
      <c r="N500" s="36"/>
    </row>
    <row r="501" spans="1:16" s="2" customFormat="1" ht="15.75" customHeight="1" x14ac:dyDescent="0.35">
      <c r="A501" s="90">
        <f t="shared" ref="A501:A502" si="119">A500+1</f>
        <v>4</v>
      </c>
      <c r="B501" s="90"/>
      <c r="C501" s="19" t="s">
        <v>204</v>
      </c>
      <c r="D501" s="19">
        <f t="shared" si="118"/>
        <v>422.37935999999991</v>
      </c>
      <c r="E501" s="19">
        <v>0</v>
      </c>
      <c r="F501" s="19">
        <f t="shared" si="117"/>
        <v>633.56903999999986</v>
      </c>
      <c r="G501" s="93"/>
      <c r="H501" s="94"/>
      <c r="I501" s="36"/>
      <c r="N501" s="36"/>
    </row>
    <row r="502" spans="1:16" s="2" customFormat="1" ht="15.75" customHeight="1" x14ac:dyDescent="0.35">
      <c r="A502" s="90">
        <f t="shared" si="119"/>
        <v>5</v>
      </c>
      <c r="B502" s="90"/>
      <c r="C502" s="19" t="s">
        <v>203</v>
      </c>
      <c r="D502" s="19">
        <f>(3*4.75+2.25*2.85+2.75*2.75+3.35*2.9+2.1*0.6+2*1.25+1.25*1.8+1.25*1+1*2+1.25*1+1*2.6)*10.764</f>
        <v>549.5021999999999</v>
      </c>
      <c r="E502" s="19">
        <v>0</v>
      </c>
      <c r="F502" s="19">
        <f t="shared" si="117"/>
        <v>824.25329999999985</v>
      </c>
      <c r="G502" s="93"/>
      <c r="H502" s="94"/>
      <c r="I502" s="36"/>
      <c r="N502" s="36"/>
    </row>
    <row r="503" spans="1:16" s="2" customFormat="1" ht="15.75" customHeight="1" x14ac:dyDescent="0.35">
      <c r="A503" s="90">
        <v>6</v>
      </c>
      <c r="B503" s="90"/>
      <c r="C503" s="19" t="s">
        <v>203</v>
      </c>
      <c r="D503" s="19">
        <f>(3*4.75+2.25*2.85+2.75*2.75+3.35*2.9+2.1*0.6+2*1.25+1.25*1.8+1.25*1+1*2+1.25*1+1*2.6)*10.764</f>
        <v>549.5021999999999</v>
      </c>
      <c r="E503" s="19">
        <v>0</v>
      </c>
      <c r="F503" s="19">
        <f t="shared" si="117"/>
        <v>824.25329999999985</v>
      </c>
      <c r="G503" s="93"/>
      <c r="H503" s="94"/>
      <c r="I503" s="36"/>
      <c r="N503" s="36"/>
    </row>
    <row r="504" spans="1:16" s="2" customFormat="1" ht="15.75" customHeight="1" x14ac:dyDescent="0.35">
      <c r="A504" s="90">
        <v>7</v>
      </c>
      <c r="B504" s="90"/>
      <c r="C504" s="19" t="s">
        <v>204</v>
      </c>
      <c r="D504" s="19">
        <f t="shared" ref="D504:D506" si="120">(3*4.75+2.25*2.18+3.25*2.9+1.55*0.6+1.25*1.75+1.25*1.37+0.98*1+2.25*1+1*2.6)*10.764</f>
        <v>422.37935999999991</v>
      </c>
      <c r="E504" s="19">
        <v>0</v>
      </c>
      <c r="F504" s="19">
        <f t="shared" si="117"/>
        <v>633.56903999999986</v>
      </c>
      <c r="G504" s="93"/>
      <c r="H504" s="94"/>
      <c r="I504" s="36"/>
      <c r="N504" s="2" t="str">
        <f t="shared" ref="N504:N507" ca="1" si="121">O504&amp;""&amp;",..,"&amp;""&amp;P504</f>
        <v>301,..,3201</v>
      </c>
      <c r="O504" s="2">
        <v>301</v>
      </c>
      <c r="P504" s="2">
        <f ca="1">(SUMPRODUCT(MID(0&amp;(--TRIM(RIGHT(SUBSTITUTE(LEFT(A497,_xlfn.AGGREGATE(16,6,FIND({0,1,2,3,4,5,6,7,8,9},A497,ROW(INDIRECT("1:"&amp;LEN(A497)))),1))," ",REPT(" ",LEN(A497))),LEN(A497)))), LARGE(INDEX(ISNUMBER(--MID((--TRIM(RIGHT(SUBSTITUTE(LEFT(A497,_xlfn.AGGREGATE(16,6,FIND({0,1,2,3,4,5,6,7,8,9},A497,ROW(INDIRECT("1:"&amp;LEN(A497)))),1))," ",REPT(" ",LEN(A497))),LEN(A497)))), ROW(INDIRECT("1:"&amp;LEN((--TRIM(RIGHT(SUBSTITUTE(LEFT(A497,_xlfn.AGGREGATE(16,6,FIND({0,1,2,3,4,5,6,7,8,9},A497,ROW(INDIRECT("1:"&amp;LEN(A497)))),1))," ",REPT(" ",LEN(A497))),LEN(A497))))))), 1)) * ROW(INDIRECT("1:"&amp;LEN((--TRIM(RIGHT(SUBSTITUTE(LEFT(A497,_xlfn.AGGREGATE(16,6,FIND({0,1,2,3,4,5,6,7,8,9},A497,ROW(INDIRECT("1:"&amp;LEN(A497)))),1))," ",REPT(" ",LEN(A497))),LEN(A497))))))), 0), ROW(INDIRECT("1:"&amp;LEN((--TRIM(RIGHT(SUBSTITUTE(LEFT(A497,_xlfn.AGGREGATE(16,6,FIND({0,1,2,3,4,5,6,7,8,9},A497,ROW(INDIRECT("1:"&amp;LEN(A497)))),1))," ",REPT(" ",LEN(A497))),LEN(A497))))))))+1, 1) * 10^ROW(INDIRECT("1:"&amp;LEN((--TRIM(RIGHT(SUBSTITUTE(LEFT(A497,_xlfn.AGGREGATE(16,6,FIND({0,1,2,3,4,5,6,7,8,9},A497,ROW(INDIRECT("1:"&amp;LEN(A497)))),1))," ",REPT(" ",LEN(A497))),LEN(A497)))))))/10))*100+1</f>
        <v>3201</v>
      </c>
    </row>
    <row r="505" spans="1:16" s="2" customFormat="1" ht="15.75" customHeight="1" x14ac:dyDescent="0.35">
      <c r="A505" s="90">
        <v>8</v>
      </c>
      <c r="B505" s="90"/>
      <c r="C505" s="19" t="s">
        <v>204</v>
      </c>
      <c r="D505" s="19">
        <f t="shared" si="120"/>
        <v>422.37935999999991</v>
      </c>
      <c r="E505" s="19">
        <v>0</v>
      </c>
      <c r="F505" s="19">
        <f t="shared" si="117"/>
        <v>633.56903999999986</v>
      </c>
      <c r="G505" s="93"/>
      <c r="H505" s="94"/>
      <c r="I505" s="36"/>
      <c r="N505" s="2" t="str">
        <f t="shared" ca="1" si="121"/>
        <v>302,..,3202</v>
      </c>
      <c r="O505" s="2">
        <f t="shared" ref="O505:P505" si="122">O504+1</f>
        <v>302</v>
      </c>
      <c r="P505" s="2">
        <f t="shared" ca="1" si="122"/>
        <v>3202</v>
      </c>
    </row>
    <row r="506" spans="1:16" s="2" customFormat="1" ht="15.75" customHeight="1" x14ac:dyDescent="0.35">
      <c r="A506" s="90">
        <v>9</v>
      </c>
      <c r="B506" s="90"/>
      <c r="C506" s="19" t="s">
        <v>204</v>
      </c>
      <c r="D506" s="19">
        <f t="shared" si="120"/>
        <v>422.37935999999991</v>
      </c>
      <c r="E506" s="19">
        <v>0</v>
      </c>
      <c r="F506" s="19">
        <f t="shared" si="117"/>
        <v>633.56903999999986</v>
      </c>
      <c r="G506" s="93"/>
      <c r="H506" s="94"/>
      <c r="I506" s="36"/>
      <c r="N506" s="2" t="str">
        <f t="shared" ca="1" si="121"/>
        <v>303,..,3203</v>
      </c>
      <c r="O506" s="2">
        <f t="shared" ref="O506:P506" si="123">O505+1</f>
        <v>303</v>
      </c>
      <c r="P506" s="2">
        <f t="shared" ca="1" si="123"/>
        <v>3203</v>
      </c>
    </row>
    <row r="507" spans="1:16" s="2" customFormat="1" ht="15.75" customHeight="1" x14ac:dyDescent="0.35">
      <c r="A507" s="90">
        <v>10</v>
      </c>
      <c r="B507" s="90"/>
      <c r="C507" s="19" t="s">
        <v>203</v>
      </c>
      <c r="D507" s="19">
        <f>(3*4.75+2.25*2.85+2.75*2.75+3.35*2.9+2.1*0.6+2*1.25+1.25*1.8+1.25*1+1*2+1.25*1+1*2.6)*10.764</f>
        <v>549.5021999999999</v>
      </c>
      <c r="E507" s="19">
        <v>0</v>
      </c>
      <c r="F507" s="19">
        <f t="shared" si="117"/>
        <v>824.25329999999985</v>
      </c>
      <c r="G507" s="93"/>
      <c r="H507" s="94"/>
      <c r="I507" s="36"/>
      <c r="N507" s="2" t="str">
        <f t="shared" ca="1" si="121"/>
        <v>304,..,3204</v>
      </c>
      <c r="O507" s="2">
        <f t="shared" ref="O507:P507" si="124">O506+1</f>
        <v>304</v>
      </c>
      <c r="P507" s="2">
        <f t="shared" ca="1" si="124"/>
        <v>3204</v>
      </c>
    </row>
    <row r="508" spans="1:16" s="2" customFormat="1" x14ac:dyDescent="0.35">
      <c r="A508" s="102" t="s">
        <v>271</v>
      </c>
      <c r="B508" s="102"/>
      <c r="C508" s="102"/>
      <c r="D508" s="102"/>
      <c r="E508" s="102"/>
      <c r="F508" s="102"/>
      <c r="G508" s="102"/>
      <c r="H508" s="102"/>
      <c r="I508" s="36"/>
      <c r="L508" s="109"/>
      <c r="M508" s="109"/>
    </row>
    <row r="509" spans="1:16" s="2" customFormat="1" x14ac:dyDescent="0.35">
      <c r="A509" s="102" t="s">
        <v>248</v>
      </c>
      <c r="B509" s="102"/>
      <c r="C509" s="102"/>
      <c r="D509" s="102"/>
      <c r="E509" s="102"/>
      <c r="F509" s="102"/>
      <c r="G509" s="102"/>
      <c r="H509" s="102"/>
      <c r="I509" s="36"/>
      <c r="L509" s="109"/>
      <c r="M509" s="109"/>
    </row>
    <row r="510" spans="1:16" s="2" customFormat="1" ht="15.75" customHeight="1" x14ac:dyDescent="0.35">
      <c r="A510" s="90">
        <v>1</v>
      </c>
      <c r="B510" s="90"/>
      <c r="C510" s="19" t="s">
        <v>203</v>
      </c>
      <c r="D510" s="19">
        <f>(5.1*2.9+3.11*2.25+3.1*2.9+3*3.75+2.25*0.6+2*1.25+1.6*1.25+1.25*1.4+1*1.25+1.6*1+0.9*3)*10.764</f>
        <v>593.93061</v>
      </c>
      <c r="E510" s="19">
        <f>(2.6*1)*10.764</f>
        <v>27.9864</v>
      </c>
      <c r="F510" s="19">
        <f>D510*(($F$368)+1)++(IF(E510&lt;101,E510,IF(E510&lt;201,E510/2,IF(E510&lt;=301,E510/3,E510/4))))</f>
        <v>918.88231500000006</v>
      </c>
      <c r="G510" s="91" t="str">
        <f>A509</f>
        <v>4th Floor for Residential</v>
      </c>
      <c r="H510" s="92"/>
      <c r="I510" s="36"/>
      <c r="N510" s="36"/>
    </row>
    <row r="511" spans="1:16" s="2" customFormat="1" ht="15.75" customHeight="1" x14ac:dyDescent="0.35">
      <c r="A511" s="90">
        <f>A510+1</f>
        <v>2</v>
      </c>
      <c r="B511" s="90"/>
      <c r="C511" s="19" t="s">
        <v>203</v>
      </c>
      <c r="D511" s="19">
        <f>(5.1*2.9+3.11*2.25+3.1*2.9+3*3.75+2.25*0.6+2*1.25+1.6*1.25+1.25*1.4+1*1.25+1.6*1+0.9*3)*10.764</f>
        <v>593.93061</v>
      </c>
      <c r="E511" s="19">
        <f>(2.6*1)*10.764</f>
        <v>27.9864</v>
      </c>
      <c r="F511" s="19">
        <f>D511*(($F$368)+1)++(IF(E511&lt;101,E511,IF(E511&lt;201,E511/2,IF(E511&lt;=301,E511/3,E511/4))))</f>
        <v>918.88231500000006</v>
      </c>
      <c r="G511" s="93"/>
      <c r="H511" s="94"/>
      <c r="I511" s="36"/>
      <c r="N511" s="36"/>
    </row>
    <row r="512" spans="1:16" s="2" customFormat="1" ht="15.75" customHeight="1" x14ac:dyDescent="0.35">
      <c r="A512" s="90">
        <f>A511+1</f>
        <v>3</v>
      </c>
      <c r="B512" s="90"/>
      <c r="C512" s="19" t="s">
        <v>203</v>
      </c>
      <c r="D512" s="19">
        <f>(3*4.75+2.25*2.85+2.75*2.75+3.35*2.9+2.1*0.6+1.25*1.6+2*1.25+1.25*1+1.25*1)*10.764</f>
        <v>497.29679999999991</v>
      </c>
      <c r="E512" s="19">
        <f>(32.44+2.5*1)*10.764</f>
        <v>376.09415999999993</v>
      </c>
      <c r="F512" s="19">
        <f>D512*(($F$368)+1)++(IF(E512&lt;101,E512,IF(E512&lt;201,E512/2,IF(E512&lt;=301,E512/3,E512/4))))</f>
        <v>839.96873999999991</v>
      </c>
      <c r="G512" s="93"/>
      <c r="H512" s="94"/>
      <c r="I512" s="36"/>
      <c r="N512" s="36"/>
    </row>
    <row r="513" spans="1:16" s="2" customFormat="1" ht="15.75" customHeight="1" x14ac:dyDescent="0.35">
      <c r="A513" s="90">
        <f>A512+1</f>
        <v>4</v>
      </c>
      <c r="B513" s="90"/>
      <c r="C513" s="106" t="s">
        <v>249</v>
      </c>
      <c r="D513" s="107"/>
      <c r="E513" s="107"/>
      <c r="F513" s="108"/>
      <c r="G513" s="93"/>
      <c r="H513" s="94"/>
      <c r="I513" s="36"/>
      <c r="N513" s="36"/>
    </row>
    <row r="514" spans="1:16" s="2" customFormat="1" ht="15.75" customHeight="1" x14ac:dyDescent="0.35">
      <c r="A514" s="90">
        <v>5</v>
      </c>
      <c r="B514" s="90"/>
      <c r="C514" s="19" t="s">
        <v>204</v>
      </c>
      <c r="D514" s="19">
        <f>(3*4.75+2.25*2.15+3.25*2.9+1.55*0.6+1.25*1.75+1.25*1.37+0.98*1.25+2.25*1)*10.764</f>
        <v>396.30356999999992</v>
      </c>
      <c r="E514" s="19">
        <f>(28.46+2.5*1)*10.764</f>
        <v>333.25344000000001</v>
      </c>
      <c r="F514" s="19">
        <f>D514*(($F$368)+1)++(IF(E514&lt;101,E514,IF(E514&lt;201,E514/2,IF(E514&lt;=301,E514/3,E514/4))))</f>
        <v>677.76871499999982</v>
      </c>
      <c r="G514" s="93"/>
      <c r="H514" s="94"/>
      <c r="I514" s="36"/>
      <c r="N514" s="36"/>
    </row>
    <row r="515" spans="1:16" s="2" customFormat="1" ht="15.75" customHeight="1" x14ac:dyDescent="0.35">
      <c r="A515" s="90">
        <f t="shared" ref="A515:A517" si="125">A514+1</f>
        <v>6</v>
      </c>
      <c r="B515" s="90"/>
      <c r="C515" s="19" t="s">
        <v>203</v>
      </c>
      <c r="D515" s="19">
        <f>(3*4.75+2.25*2.85+2.75*2.75+3.35*2.9+2.1*0.6+1.25*1.6+2*1.25+1.25*1+1.25*1)*10.764</f>
        <v>497.29679999999991</v>
      </c>
      <c r="E515" s="19">
        <f>(45.62+2.6*1)*10.764</f>
        <v>519.04007999999999</v>
      </c>
      <c r="F515" s="19">
        <f>D515*(($F$368)+1)++(IF(E515&lt;101,E515,IF(E515&lt;201,E515/2,IF(E515&lt;=301,E515/3,E515/4))))</f>
        <v>875.70521999999983</v>
      </c>
      <c r="G515" s="93"/>
      <c r="H515" s="94"/>
      <c r="I515" s="36"/>
      <c r="N515" s="36"/>
    </row>
    <row r="516" spans="1:16" s="2" customFormat="1" ht="15.75" customHeight="1" x14ac:dyDescent="0.35">
      <c r="A516" s="90">
        <f t="shared" si="125"/>
        <v>7</v>
      </c>
      <c r="B516" s="90"/>
      <c r="C516" s="19" t="s">
        <v>203</v>
      </c>
      <c r="D516" s="19">
        <f>(3*4.75+2.25*2.85+2.75*2.75+3.35*2.9+2.1*0.6+1.25*1.6+2*1.25+1.25*1+1.25*1)*10.764</f>
        <v>497.29679999999991</v>
      </c>
      <c r="E516" s="19">
        <f>(45.62+2.6*1)*10.764</f>
        <v>519.04007999999999</v>
      </c>
      <c r="F516" s="19">
        <f>D516*(($F$368)+1)++(IF(E516&lt;101,E516,IF(E516&lt;201,E516/2,IF(E516&lt;=301,E516/3,E516/4))))</f>
        <v>875.70521999999983</v>
      </c>
      <c r="G516" s="93"/>
      <c r="H516" s="94"/>
      <c r="I516" s="36"/>
      <c r="N516" s="36"/>
    </row>
    <row r="517" spans="1:16" s="2" customFormat="1" ht="15.75" customHeight="1" x14ac:dyDescent="0.35">
      <c r="A517" s="90">
        <f t="shared" si="125"/>
        <v>8</v>
      </c>
      <c r="B517" s="90"/>
      <c r="C517" s="19" t="s">
        <v>231</v>
      </c>
      <c r="D517" s="19">
        <f>(1.75*1.21+1.25*2+3*3.79+3.25*5.6+2.97*3.5+4*3.25+2.25*1.1+3*3.35+1.25*2+1.65*0.6+2.1*1+2.25*1.5+1.25*1)*10.764</f>
        <v>864.59138999999982</v>
      </c>
      <c r="E517" s="19">
        <f>(47.57+3.23*1.25+1.25*5.55)*10.764</f>
        <v>630.17837999999995</v>
      </c>
      <c r="F517" s="19">
        <f>D517*(($F$368)+1)++(IF(E517&lt;101,E517,IF(E517&lt;201,E517/2,IF(E517&lt;=301,E517/3,E517/4))))</f>
        <v>1454.4316799999999</v>
      </c>
      <c r="G517" s="95"/>
      <c r="H517" s="96"/>
      <c r="I517" s="36"/>
      <c r="N517" s="36"/>
    </row>
    <row r="518" spans="1:16" s="2" customFormat="1" ht="33.75" customHeight="1" x14ac:dyDescent="0.35">
      <c r="A518" s="103" t="s">
        <v>250</v>
      </c>
      <c r="B518" s="104"/>
      <c r="C518" s="104"/>
      <c r="D518" s="104"/>
      <c r="E518" s="104"/>
      <c r="F518" s="104"/>
      <c r="G518" s="104"/>
      <c r="H518" s="105"/>
      <c r="I518" s="36"/>
    </row>
    <row r="519" spans="1:16" s="2" customFormat="1" ht="15.75" customHeight="1" x14ac:dyDescent="0.35">
      <c r="A519" s="90">
        <v>1</v>
      </c>
      <c r="B519" s="90"/>
      <c r="C519" s="19" t="s">
        <v>203</v>
      </c>
      <c r="D519" s="19">
        <f>(5.1*2.9+3.11*2.25+3.1*2.9+3*3.75+2.25*0.6+2*1.25+1.6*1.25+1.25*1.4+1*1.25+1.6*1+0.9*3+2.9*1)*10.764</f>
        <v>625.14621</v>
      </c>
      <c r="E519" s="19">
        <v>0</v>
      </c>
      <c r="F519" s="19">
        <f t="shared" ref="F519:F526" si="126">D519*(($F$368)+1)++(IF(E519&lt;101,E519,IF(E519&lt;201,E519/2,IF(E519&lt;=301,E519/3,E519/4))))</f>
        <v>937.71931500000005</v>
      </c>
      <c r="G519" s="91" t="str">
        <f>A518</f>
        <v>5th, 6th, 8th to 11th, 13th to 16th, 18th to 21st, 23rd to 26th, 28th to 31st, 33rd, 34th &amp; 35th Floor</v>
      </c>
      <c r="H519" s="92"/>
      <c r="I519" s="36"/>
      <c r="N519" s="36"/>
    </row>
    <row r="520" spans="1:16" s="2" customFormat="1" ht="15.75" customHeight="1" x14ac:dyDescent="0.35">
      <c r="A520" s="90">
        <f>A519+1</f>
        <v>2</v>
      </c>
      <c r="B520" s="90"/>
      <c r="C520" s="19" t="s">
        <v>203</v>
      </c>
      <c r="D520" s="19">
        <f>(5.1*2.9+3.11*2.25+3.1*2.9+3*3.75+2.25*0.6+2*1.25+1.6*1.25+1.25*1.4+1*1.25+1.6*1+0.9*3+2.9*1)*10.764</f>
        <v>625.14621</v>
      </c>
      <c r="E520" s="19">
        <v>0</v>
      </c>
      <c r="F520" s="19">
        <f t="shared" si="126"/>
        <v>937.71931500000005</v>
      </c>
      <c r="G520" s="93"/>
      <c r="H520" s="94"/>
      <c r="I520" s="36"/>
      <c r="N520" s="36"/>
    </row>
    <row r="521" spans="1:16" s="2" customFormat="1" ht="15.75" customHeight="1" x14ac:dyDescent="0.35">
      <c r="A521" s="90">
        <f>A520+1</f>
        <v>3</v>
      </c>
      <c r="B521" s="90"/>
      <c r="C521" s="19" t="s">
        <v>203</v>
      </c>
      <c r="D521" s="19">
        <f>(3*4.75+2.25*2.85+2.75*2.75+3.35*2.9+2.1*0.6+1.25*1.6+2*1.25+1.25*1+1.25*1+2.6*1)*10.764</f>
        <v>525.28319999999997</v>
      </c>
      <c r="E521" s="19">
        <v>0</v>
      </c>
      <c r="F521" s="19">
        <f t="shared" si="126"/>
        <v>787.9248</v>
      </c>
      <c r="G521" s="93"/>
      <c r="H521" s="94"/>
      <c r="I521" s="36"/>
      <c r="N521" s="36"/>
    </row>
    <row r="522" spans="1:16" s="2" customFormat="1" ht="15.75" customHeight="1" x14ac:dyDescent="0.35">
      <c r="A522" s="90">
        <f t="shared" ref="A522:A523" si="127">A521+1</f>
        <v>4</v>
      </c>
      <c r="B522" s="90"/>
      <c r="C522" s="19" t="s">
        <v>204</v>
      </c>
      <c r="D522" s="19">
        <f>(3*4.75+2.25*2.15+3.25*2.9+1.55*0.6+1.25*1.75+1.25*1.37+0.98*1.25+2.25*1+2.6*1)*10.764</f>
        <v>424.28996999999993</v>
      </c>
      <c r="E522" s="19">
        <v>0</v>
      </c>
      <c r="F522" s="19">
        <f t="shared" si="126"/>
        <v>636.43495499999995</v>
      </c>
      <c r="G522" s="93"/>
      <c r="H522" s="94"/>
      <c r="I522" s="36"/>
      <c r="N522" s="36"/>
    </row>
    <row r="523" spans="1:16" s="2" customFormat="1" ht="15.75" customHeight="1" x14ac:dyDescent="0.35">
      <c r="A523" s="90">
        <f t="shared" si="127"/>
        <v>5</v>
      </c>
      <c r="B523" s="90"/>
      <c r="C523" s="19" t="s">
        <v>204</v>
      </c>
      <c r="D523" s="19">
        <f>(3*4.75+2.25*2.15+3.25*2.9+1.55*0.6+1.25*1.75+1.25*1.37+0.98*1.25+2.25*1+2.6*1)*10.764</f>
        <v>424.28996999999993</v>
      </c>
      <c r="E523" s="19">
        <v>0</v>
      </c>
      <c r="F523" s="19">
        <f t="shared" si="126"/>
        <v>636.43495499999995</v>
      </c>
      <c r="G523" s="93"/>
      <c r="H523" s="94"/>
      <c r="I523" s="36"/>
      <c r="N523" s="36"/>
    </row>
    <row r="524" spans="1:16" s="2" customFormat="1" ht="15.75" customHeight="1" x14ac:dyDescent="0.35">
      <c r="A524" s="90">
        <v>6</v>
      </c>
      <c r="B524" s="90"/>
      <c r="C524" s="19" t="s">
        <v>203</v>
      </c>
      <c r="D524" s="19">
        <f>(3*4.75+2.25*2.85+2.75*2.75+3.35*2.9+2.1*0.6+1.25*1.6+2*1.25+1.25*1+1.25*1+2.6*1)*10.764</f>
        <v>525.28319999999997</v>
      </c>
      <c r="E524" s="19">
        <v>0</v>
      </c>
      <c r="F524" s="19">
        <f t="shared" si="126"/>
        <v>787.9248</v>
      </c>
      <c r="G524" s="93"/>
      <c r="H524" s="94"/>
      <c r="I524" s="36"/>
      <c r="N524" s="36"/>
    </row>
    <row r="525" spans="1:16" s="2" customFormat="1" ht="15.75" customHeight="1" x14ac:dyDescent="0.35">
      <c r="A525" s="90">
        <v>7</v>
      </c>
      <c r="B525" s="90"/>
      <c r="C525" s="19" t="s">
        <v>203</v>
      </c>
      <c r="D525" s="19">
        <f>(3*4.75+2.25*2.85+2.75*2.75+3.35*2.9+2.1*0.6+1.25*1.6+2*1.25+1.25*1+1.25*1+2.6*1)*10.764</f>
        <v>525.28319999999997</v>
      </c>
      <c r="E525" s="19">
        <v>0</v>
      </c>
      <c r="F525" s="19">
        <f t="shared" si="126"/>
        <v>787.9248</v>
      </c>
      <c r="G525" s="93"/>
      <c r="H525" s="94"/>
      <c r="I525" s="36"/>
      <c r="N525" s="2" t="str">
        <f t="shared" ref="N525:N526" ca="1" si="128">O525&amp;""&amp;",..,"&amp;""&amp;P525</f>
        <v>301,..,3501</v>
      </c>
      <c r="O525" s="2">
        <v>301</v>
      </c>
      <c r="P525" s="2">
        <f ca="1">(SUMPRODUCT(MID(0&amp;(--TRIM(RIGHT(SUBSTITUTE(LEFT(A518,_xlfn.AGGREGATE(16,6,FIND({0,1,2,3,4,5,6,7,8,9},A518,ROW(INDIRECT("1:"&amp;LEN(A518)))),1))," ",REPT(" ",LEN(A518))),LEN(A518)))), LARGE(INDEX(ISNUMBER(--MID((--TRIM(RIGHT(SUBSTITUTE(LEFT(A518,_xlfn.AGGREGATE(16,6,FIND({0,1,2,3,4,5,6,7,8,9},A518,ROW(INDIRECT("1:"&amp;LEN(A518)))),1))," ",REPT(" ",LEN(A518))),LEN(A518)))), ROW(INDIRECT("1:"&amp;LEN((--TRIM(RIGHT(SUBSTITUTE(LEFT(A518,_xlfn.AGGREGATE(16,6,FIND({0,1,2,3,4,5,6,7,8,9},A518,ROW(INDIRECT("1:"&amp;LEN(A518)))),1))," ",REPT(" ",LEN(A518))),LEN(A518))))))), 1)) * ROW(INDIRECT("1:"&amp;LEN((--TRIM(RIGHT(SUBSTITUTE(LEFT(A518,_xlfn.AGGREGATE(16,6,FIND({0,1,2,3,4,5,6,7,8,9},A518,ROW(INDIRECT("1:"&amp;LEN(A518)))),1))," ",REPT(" ",LEN(A518))),LEN(A518))))))), 0), ROW(INDIRECT("1:"&amp;LEN((--TRIM(RIGHT(SUBSTITUTE(LEFT(A518,_xlfn.AGGREGATE(16,6,FIND({0,1,2,3,4,5,6,7,8,9},A518,ROW(INDIRECT("1:"&amp;LEN(A518)))),1))," ",REPT(" ",LEN(A518))),LEN(A518))))))))+1, 1) * 10^ROW(INDIRECT("1:"&amp;LEN((--TRIM(RIGHT(SUBSTITUTE(LEFT(A518,_xlfn.AGGREGATE(16,6,FIND({0,1,2,3,4,5,6,7,8,9},A518,ROW(INDIRECT("1:"&amp;LEN(A518)))),1))," ",REPT(" ",LEN(A518))),LEN(A518)))))))/10))*100+1</f>
        <v>3501</v>
      </c>
    </row>
    <row r="526" spans="1:16" s="2" customFormat="1" ht="15.75" customHeight="1" x14ac:dyDescent="0.35">
      <c r="A526" s="90">
        <v>8</v>
      </c>
      <c r="B526" s="90"/>
      <c r="C526" s="19" t="s">
        <v>231</v>
      </c>
      <c r="D526" s="19">
        <f>(1.75*1.21+1.25*2+3*3.79+3.25*5.6+2.97*3.5+4*3.25+2.25*1.1+3*3.35+1.25*2+1.65*0.6+2.1*1+2.25*1.5+1.25*1+1.25*5.55+3.23*1.25)*10.764</f>
        <v>982.72628999999984</v>
      </c>
      <c r="E526" s="19">
        <v>0</v>
      </c>
      <c r="F526" s="19">
        <f t="shared" si="126"/>
        <v>1474.0894349999999</v>
      </c>
      <c r="G526" s="93"/>
      <c r="H526" s="94"/>
      <c r="I526" s="36"/>
      <c r="N526" s="2" t="str">
        <f t="shared" ca="1" si="128"/>
        <v>302,..,3502</v>
      </c>
      <c r="O526" s="2">
        <f t="shared" ref="O526:P526" si="129">O525+1</f>
        <v>302</v>
      </c>
      <c r="P526" s="2">
        <f t="shared" ca="1" si="129"/>
        <v>3502</v>
      </c>
    </row>
    <row r="527" spans="1:16" s="2" customFormat="1" ht="15.75" customHeight="1" x14ac:dyDescent="0.35">
      <c r="A527" s="102" t="s">
        <v>251</v>
      </c>
      <c r="B527" s="102"/>
      <c r="C527" s="102"/>
      <c r="D527" s="102"/>
      <c r="E527" s="102"/>
      <c r="F527" s="102"/>
      <c r="G527" s="102"/>
      <c r="H527" s="102"/>
      <c r="I527" s="36"/>
    </row>
    <row r="528" spans="1:16" s="2" customFormat="1" ht="15.75" customHeight="1" x14ac:dyDescent="0.35">
      <c r="A528" s="90">
        <v>1</v>
      </c>
      <c r="B528" s="90"/>
      <c r="C528" s="68" t="s">
        <v>203</v>
      </c>
      <c r="D528" s="68">
        <f>(5.1*2.9+3.11*2.25+3.1*2.9+3*3.75+2.25*0.6+2*1.25+1.6*1.25+1.25*1.4+1*1.25+1.6*1+0.9*3+2.9*1)*10.764</f>
        <v>625.14621</v>
      </c>
      <c r="E528" s="68">
        <v>0</v>
      </c>
      <c r="F528" s="68">
        <f t="shared" ref="F528:F534" si="130">D528*(($F$368)+1)++(IF(E528&lt;101,E528,IF(E528&lt;201,E528/2,IF(E528&lt;=301,E528/3,E528/4))))</f>
        <v>937.71931500000005</v>
      </c>
      <c r="G528" s="90" t="str">
        <f>A527</f>
        <v>7th, 12th, 17th, 22nd, 27th &amp; 32nd Floor (Part Refuge Area)</v>
      </c>
      <c r="H528" s="90"/>
      <c r="I528" s="36"/>
      <c r="N528" s="36"/>
    </row>
    <row r="529" spans="1:16" s="2" customFormat="1" ht="15.75" customHeight="1" x14ac:dyDescent="0.35">
      <c r="A529" s="90">
        <f>A528+1</f>
        <v>2</v>
      </c>
      <c r="B529" s="90"/>
      <c r="C529" s="68" t="s">
        <v>203</v>
      </c>
      <c r="D529" s="68">
        <f>(5.1*2.9+3.11*2.25+3.1*2.9+3*3.75+2.25*0.6+2*1.25+1.6*1.25+1.25*1.4+1*1.25+1.6*1+0.9*3+2.9*1)*10.764</f>
        <v>625.14621</v>
      </c>
      <c r="E529" s="68">
        <v>0</v>
      </c>
      <c r="F529" s="68">
        <f t="shared" si="130"/>
        <v>937.71931500000005</v>
      </c>
      <c r="G529" s="90"/>
      <c r="H529" s="90"/>
      <c r="I529" s="36"/>
      <c r="N529" s="36"/>
    </row>
    <row r="530" spans="1:16" s="2" customFormat="1" ht="15.75" customHeight="1" x14ac:dyDescent="0.35">
      <c r="A530" s="90">
        <f>A529+1</f>
        <v>3</v>
      </c>
      <c r="B530" s="90"/>
      <c r="C530" s="68" t="s">
        <v>203</v>
      </c>
      <c r="D530" s="68">
        <f>(3*4.75+2.25*2.85+2.75*2.75+3.35*2.9+2.1*0.6+1.25*1.6+2*1.25+1.25*1+1.25*1+2.6*1)*10.764</f>
        <v>525.28319999999997</v>
      </c>
      <c r="E530" s="68">
        <v>0</v>
      </c>
      <c r="F530" s="68">
        <f t="shared" si="130"/>
        <v>787.9248</v>
      </c>
      <c r="G530" s="90"/>
      <c r="H530" s="90"/>
      <c r="I530" s="36"/>
      <c r="N530" s="36"/>
    </row>
    <row r="531" spans="1:16" s="2" customFormat="1" ht="15.75" customHeight="1" x14ac:dyDescent="0.35">
      <c r="A531" s="90">
        <f t="shared" ref="A531:A532" si="131">A530+1</f>
        <v>4</v>
      </c>
      <c r="B531" s="90"/>
      <c r="C531" s="68" t="s">
        <v>204</v>
      </c>
      <c r="D531" s="68">
        <f>(3*4.75+2.25*2.15+3.25*2.9+1.55*0.6+1.25*1.75+1.25*1.37+0.98*1.25+2.25*1+2.6*1)*10.764</f>
        <v>424.28996999999993</v>
      </c>
      <c r="E531" s="68">
        <v>0</v>
      </c>
      <c r="F531" s="68">
        <f t="shared" si="130"/>
        <v>636.43495499999995</v>
      </c>
      <c r="G531" s="90"/>
      <c r="H531" s="90"/>
      <c r="I531" s="36"/>
      <c r="N531" s="36"/>
    </row>
    <row r="532" spans="1:16" s="2" customFormat="1" ht="15.75" customHeight="1" x14ac:dyDescent="0.35">
      <c r="A532" s="90">
        <f t="shared" si="131"/>
        <v>5</v>
      </c>
      <c r="B532" s="90"/>
      <c r="C532" s="68" t="s">
        <v>204</v>
      </c>
      <c r="D532" s="68">
        <f>(3*4.75+2.25*2.15+3.25*2.9+1.55*0.6+1.25*1.75+1.25*1.37+0.98*1.25+2.25*1+2.6*1)*10.764</f>
        <v>424.28996999999993</v>
      </c>
      <c r="E532" s="68">
        <v>0</v>
      </c>
      <c r="F532" s="68">
        <f t="shared" si="130"/>
        <v>636.43495499999995</v>
      </c>
      <c r="G532" s="90"/>
      <c r="H532" s="90"/>
      <c r="I532" s="36"/>
      <c r="N532" s="36"/>
    </row>
    <row r="533" spans="1:16" s="2" customFormat="1" ht="15.75" customHeight="1" x14ac:dyDescent="0.35">
      <c r="A533" s="90">
        <v>6</v>
      </c>
      <c r="B533" s="90"/>
      <c r="C533" s="68" t="s">
        <v>203</v>
      </c>
      <c r="D533" s="68">
        <f>(3*4.75+2.25*2.85+2.75*2.75+3.35*2.9+2.1*0.6+1.25*1.6+2*1.25+1.25*1+1.25*1+2.6*1)*10.764</f>
        <v>525.28319999999997</v>
      </c>
      <c r="E533" s="68">
        <v>0</v>
      </c>
      <c r="F533" s="68">
        <f t="shared" si="130"/>
        <v>787.9248</v>
      </c>
      <c r="G533" s="90"/>
      <c r="H533" s="90"/>
      <c r="I533" s="36"/>
      <c r="N533" s="36"/>
    </row>
    <row r="534" spans="1:16" s="2" customFormat="1" ht="15.75" customHeight="1" x14ac:dyDescent="0.35">
      <c r="A534" s="90">
        <v>7</v>
      </c>
      <c r="B534" s="90"/>
      <c r="C534" s="68" t="s">
        <v>203</v>
      </c>
      <c r="D534" s="68">
        <f>(3*4.75+2.25*2.85+2.75*2.75+3.35*2.9+2.1*0.6+1.25*1.6+2*1.25+1.25*1+1.25*1+2.6*1)*10.764</f>
        <v>525.28319999999997</v>
      </c>
      <c r="E534" s="68">
        <v>0</v>
      </c>
      <c r="F534" s="68">
        <f t="shared" si="130"/>
        <v>787.9248</v>
      </c>
      <c r="G534" s="90"/>
      <c r="H534" s="90"/>
      <c r="I534" s="36"/>
      <c r="N534" s="2" t="str">
        <f t="shared" ref="N534:N535" ca="1" si="132">O534&amp;""&amp;",..,"&amp;""&amp;P534</f>
        <v>301,..,3201</v>
      </c>
      <c r="O534" s="2">
        <v>301</v>
      </c>
      <c r="P534" s="2">
        <f ca="1">(SUMPRODUCT(MID(0&amp;(--TRIM(RIGHT(SUBSTITUTE(LEFT(A527,_xlfn.AGGREGATE(16,6,FIND({0,1,2,3,4,5,6,7,8,9},A527,ROW(INDIRECT("1:"&amp;LEN(A527)))),1))," ",REPT(" ",LEN(A527))),LEN(A527)))), LARGE(INDEX(ISNUMBER(--MID((--TRIM(RIGHT(SUBSTITUTE(LEFT(A527,_xlfn.AGGREGATE(16,6,FIND({0,1,2,3,4,5,6,7,8,9},A527,ROW(INDIRECT("1:"&amp;LEN(A527)))),1))," ",REPT(" ",LEN(A527))),LEN(A527)))), ROW(INDIRECT("1:"&amp;LEN((--TRIM(RIGHT(SUBSTITUTE(LEFT(A527,_xlfn.AGGREGATE(16,6,FIND({0,1,2,3,4,5,6,7,8,9},A527,ROW(INDIRECT("1:"&amp;LEN(A527)))),1))," ",REPT(" ",LEN(A527))),LEN(A527))))))), 1)) * ROW(INDIRECT("1:"&amp;LEN((--TRIM(RIGHT(SUBSTITUTE(LEFT(A527,_xlfn.AGGREGATE(16,6,FIND({0,1,2,3,4,5,6,7,8,9},A527,ROW(INDIRECT("1:"&amp;LEN(A527)))),1))," ",REPT(" ",LEN(A527))),LEN(A527))))))), 0), ROW(INDIRECT("1:"&amp;LEN((--TRIM(RIGHT(SUBSTITUTE(LEFT(A527,_xlfn.AGGREGATE(16,6,FIND({0,1,2,3,4,5,6,7,8,9},A527,ROW(INDIRECT("1:"&amp;LEN(A527)))),1))," ",REPT(" ",LEN(A527))),LEN(A527))))))))+1, 1) * 10^ROW(INDIRECT("1:"&amp;LEN((--TRIM(RIGHT(SUBSTITUTE(LEFT(A527,_xlfn.AGGREGATE(16,6,FIND({0,1,2,3,4,5,6,7,8,9},A527,ROW(INDIRECT("1:"&amp;LEN(A527)))),1))," ",REPT(" ",LEN(A527))),LEN(A527)))))))/10))*100+1</f>
        <v>3201</v>
      </c>
    </row>
    <row r="535" spans="1:16" s="2" customFormat="1" ht="15.75" customHeight="1" x14ac:dyDescent="0.35">
      <c r="A535" s="90">
        <v>8</v>
      </c>
      <c r="B535" s="90"/>
      <c r="C535" s="90" t="s">
        <v>206</v>
      </c>
      <c r="D535" s="90"/>
      <c r="E535" s="90"/>
      <c r="F535" s="90"/>
      <c r="G535" s="90"/>
      <c r="H535" s="90"/>
      <c r="I535" s="36"/>
      <c r="N535" s="2" t="str">
        <f t="shared" ca="1" si="132"/>
        <v>302,..,3202</v>
      </c>
      <c r="O535" s="2">
        <f t="shared" ref="O535:P535" si="133">O534+1</f>
        <v>302</v>
      </c>
      <c r="P535" s="2">
        <f t="shared" ca="1" si="133"/>
        <v>3202</v>
      </c>
    </row>
    <row r="536" spans="1:16" s="2" customFormat="1" x14ac:dyDescent="0.35">
      <c r="A536" s="102" t="s">
        <v>272</v>
      </c>
      <c r="B536" s="102"/>
      <c r="C536" s="102"/>
      <c r="D536" s="102"/>
      <c r="E536" s="102"/>
      <c r="F536" s="102"/>
      <c r="G536" s="102"/>
      <c r="H536" s="102"/>
      <c r="I536" s="36"/>
      <c r="L536" s="109"/>
      <c r="M536" s="109"/>
    </row>
    <row r="537" spans="1:16" s="2" customFormat="1" x14ac:dyDescent="0.35">
      <c r="A537" s="102" t="s">
        <v>202</v>
      </c>
      <c r="B537" s="102"/>
      <c r="C537" s="102"/>
      <c r="D537" s="102"/>
      <c r="E537" s="102"/>
      <c r="F537" s="102"/>
      <c r="G537" s="102"/>
      <c r="H537" s="102"/>
      <c r="I537" s="36"/>
      <c r="L537" s="109"/>
      <c r="M537" s="109"/>
    </row>
    <row r="538" spans="1:16" s="2" customFormat="1" ht="15.75" customHeight="1" x14ac:dyDescent="0.35">
      <c r="A538" s="90">
        <v>1</v>
      </c>
      <c r="B538" s="90"/>
      <c r="C538" s="19" t="s">
        <v>204</v>
      </c>
      <c r="D538" s="19">
        <f>((2.75*4.15+1.9*2.15+0.9*1.9+2.75*3.15+1.25*1.55+1.02*1.25+1.25*1.55)+(2.75*1.25))*10.764</f>
        <v>370.90053</v>
      </c>
      <c r="E538" s="19">
        <f>(5.35*2+2.75*1.5)*10.764</f>
        <v>159.57629999999997</v>
      </c>
      <c r="F538" s="19">
        <f t="shared" ref="F538:F544" si="134">D538*(($F$368)+1)++(IF(E538&lt;101,E538,IF(E538&lt;201,E538/2,IF(E538&lt;=301,E538/3,E538/4))))</f>
        <v>636.13894500000004</v>
      </c>
      <c r="G538" s="91" t="str">
        <f>A537</f>
        <v>2nd Floor for Residential</v>
      </c>
      <c r="H538" s="92"/>
      <c r="I538" s="36"/>
      <c r="N538" s="36"/>
    </row>
    <row r="539" spans="1:16" s="2" customFormat="1" ht="15.75" customHeight="1" x14ac:dyDescent="0.35">
      <c r="A539" s="90">
        <f>A538+1</f>
        <v>2</v>
      </c>
      <c r="B539" s="90"/>
      <c r="C539" s="19" t="s">
        <v>204</v>
      </c>
      <c r="D539" s="19">
        <f>((2.75*4.15+1.9*2.15+0.9*1.9+2.75*3.15+1.25*1.55+1.02*1.25+1.25*1.55)+(2.75*1.25))*10.764</f>
        <v>370.90053</v>
      </c>
      <c r="E539" s="19">
        <f t="shared" ref="E539:E544" si="135">(5.35*2+2.75*1.5)*10.764</f>
        <v>159.57629999999997</v>
      </c>
      <c r="F539" s="19">
        <f t="shared" si="134"/>
        <v>636.13894500000004</v>
      </c>
      <c r="G539" s="93"/>
      <c r="H539" s="94"/>
      <c r="I539" s="36"/>
      <c r="N539" s="36"/>
    </row>
    <row r="540" spans="1:16" s="2" customFormat="1" ht="15.75" customHeight="1" x14ac:dyDescent="0.35">
      <c r="A540" s="90">
        <f>A539+1</f>
        <v>3</v>
      </c>
      <c r="B540" s="90"/>
      <c r="C540" s="19" t="s">
        <v>204</v>
      </c>
      <c r="D540" s="19">
        <f>((2.75*4.15+1.9*2.15+0.9*1.9+2.75*3.15+1.25*1.55+1.02*1.25+1.25*1.55)+(2.75*1.25))*10.764</f>
        <v>370.90053</v>
      </c>
      <c r="E540" s="19">
        <f t="shared" si="135"/>
        <v>159.57629999999997</v>
      </c>
      <c r="F540" s="19">
        <f t="shared" si="134"/>
        <v>636.13894500000004</v>
      </c>
      <c r="G540" s="93"/>
      <c r="H540" s="94"/>
      <c r="I540" s="36"/>
      <c r="N540" s="36"/>
    </row>
    <row r="541" spans="1:16" s="2" customFormat="1" ht="15.75" customHeight="1" x14ac:dyDescent="0.35">
      <c r="A541" s="90">
        <f t="shared" ref="A541:A544" si="136">A540+1</f>
        <v>4</v>
      </c>
      <c r="B541" s="90"/>
      <c r="C541" s="19" t="s">
        <v>204</v>
      </c>
      <c r="D541" s="19">
        <f>((2.75*4.15+1.9*2.15+0.9*1.9+2.75*3.15+1.25*1.55+1.02*1.25+1.25*1.55)+(2.75*1.25))*10.764</f>
        <v>370.90053</v>
      </c>
      <c r="E541" s="19">
        <f t="shared" si="135"/>
        <v>159.57629999999997</v>
      </c>
      <c r="F541" s="19">
        <f t="shared" si="134"/>
        <v>636.13894500000004</v>
      </c>
      <c r="G541" s="93"/>
      <c r="H541" s="94"/>
      <c r="I541" s="36"/>
      <c r="N541" s="36"/>
    </row>
    <row r="542" spans="1:16" s="2" customFormat="1" ht="15.75" customHeight="1" x14ac:dyDescent="0.35">
      <c r="A542" s="90">
        <f t="shared" si="136"/>
        <v>5</v>
      </c>
      <c r="B542" s="90"/>
      <c r="C542" s="19" t="s">
        <v>204</v>
      </c>
      <c r="D542" s="19">
        <f t="shared" ref="D542:D544" si="137">((2.75*4.15+1.9*2.15+0.9*1.9+2.75*3.15+1.25*1.55+1.02*1.25+1.25*1.55)+(2.75*1.25))*10.764</f>
        <v>370.90053</v>
      </c>
      <c r="E542" s="19">
        <f t="shared" si="135"/>
        <v>159.57629999999997</v>
      </c>
      <c r="F542" s="19">
        <f t="shared" si="134"/>
        <v>636.13894500000004</v>
      </c>
      <c r="G542" s="93"/>
      <c r="H542" s="94"/>
      <c r="I542" s="36"/>
      <c r="N542" s="36"/>
    </row>
    <row r="543" spans="1:16" s="2" customFormat="1" ht="15.75" customHeight="1" x14ac:dyDescent="0.35">
      <c r="A543" s="90">
        <f t="shared" si="136"/>
        <v>6</v>
      </c>
      <c r="B543" s="90"/>
      <c r="C543" s="19" t="s">
        <v>204</v>
      </c>
      <c r="D543" s="19">
        <f t="shared" si="137"/>
        <v>370.90053</v>
      </c>
      <c r="E543" s="19">
        <f t="shared" si="135"/>
        <v>159.57629999999997</v>
      </c>
      <c r="F543" s="19">
        <f t="shared" si="134"/>
        <v>636.13894500000004</v>
      </c>
      <c r="G543" s="93"/>
      <c r="H543" s="94"/>
      <c r="I543" s="36"/>
      <c r="N543" s="36"/>
    </row>
    <row r="544" spans="1:16" s="2" customFormat="1" ht="15.75" customHeight="1" x14ac:dyDescent="0.35">
      <c r="A544" s="90">
        <f t="shared" si="136"/>
        <v>7</v>
      </c>
      <c r="B544" s="90"/>
      <c r="C544" s="19" t="s">
        <v>204</v>
      </c>
      <c r="D544" s="19">
        <f t="shared" si="137"/>
        <v>370.90053</v>
      </c>
      <c r="E544" s="19">
        <f t="shared" si="135"/>
        <v>159.57629999999997</v>
      </c>
      <c r="F544" s="19">
        <f t="shared" si="134"/>
        <v>636.13894500000004</v>
      </c>
      <c r="G544" s="95"/>
      <c r="H544" s="96"/>
      <c r="I544" s="36"/>
      <c r="N544" s="36"/>
    </row>
    <row r="545" spans="1:14" s="2" customFormat="1" ht="15.75" customHeight="1" x14ac:dyDescent="0.35">
      <c r="A545" s="103" t="s">
        <v>235</v>
      </c>
      <c r="B545" s="104"/>
      <c r="C545" s="104"/>
      <c r="D545" s="104"/>
      <c r="E545" s="104"/>
      <c r="F545" s="104"/>
      <c r="G545" s="104"/>
      <c r="H545" s="105"/>
      <c r="I545" s="36"/>
    </row>
    <row r="546" spans="1:14" s="2" customFormat="1" ht="15.75" customHeight="1" x14ac:dyDescent="0.35">
      <c r="A546" s="90">
        <v>1</v>
      </c>
      <c r="B546" s="90"/>
      <c r="C546" s="19" t="s">
        <v>204</v>
      </c>
      <c r="D546" s="19">
        <f>((2.75*4.15+1.9*2.15+0.9*1.9+2.75*3.15+1.25*1.55+1.02*1.25+1.25*1.55)+(2.75*1.25))*10.764</f>
        <v>370.90053</v>
      </c>
      <c r="E546" s="19">
        <v>0</v>
      </c>
      <c r="F546" s="19">
        <f t="shared" ref="F546:F552" si="138">D546*(($F$368)+1)++(IF(E546&lt;101,E546,IF(E546&lt;201,E546/2,IF(E546&lt;=301,E546/3,E546/4))))</f>
        <v>556.35079500000006</v>
      </c>
      <c r="G546" s="91" t="str">
        <f>A545</f>
        <v>3rd to 33rd Floor</v>
      </c>
      <c r="H546" s="92"/>
      <c r="I546" s="36"/>
      <c r="N546" s="36"/>
    </row>
    <row r="547" spans="1:14" s="2" customFormat="1" ht="15.75" customHeight="1" x14ac:dyDescent="0.35">
      <c r="A547" s="90">
        <f>A546+1</f>
        <v>2</v>
      </c>
      <c r="B547" s="90"/>
      <c r="C547" s="19" t="s">
        <v>204</v>
      </c>
      <c r="D547" s="19">
        <f>((2.75*4.15+1.9*2.15+0.9*1.9+2.75*3.15+1.25*1.55+1.02*1.25+1.25*1.55)+(2.75*1.25))*10.764</f>
        <v>370.90053</v>
      </c>
      <c r="E547" s="19">
        <v>0</v>
      </c>
      <c r="F547" s="19">
        <f t="shared" si="138"/>
        <v>556.35079500000006</v>
      </c>
      <c r="G547" s="93"/>
      <c r="H547" s="94"/>
      <c r="I547" s="36"/>
      <c r="N547" s="36"/>
    </row>
    <row r="548" spans="1:14" s="2" customFormat="1" ht="15.75" customHeight="1" x14ac:dyDescent="0.35">
      <c r="A548" s="90">
        <f>A547+1</f>
        <v>3</v>
      </c>
      <c r="B548" s="90"/>
      <c r="C548" s="19" t="s">
        <v>204</v>
      </c>
      <c r="D548" s="19">
        <f>((2.75*4.15+1.9*2.15+0.9*1.9+2.75*3.15+1.25*1.55+1.02*1.25+1.25*1.55)+(2.75*1.25))*10.764</f>
        <v>370.90053</v>
      </c>
      <c r="E548" s="19">
        <v>0</v>
      </c>
      <c r="F548" s="19">
        <f t="shared" si="138"/>
        <v>556.35079500000006</v>
      </c>
      <c r="G548" s="93"/>
      <c r="H548" s="94"/>
      <c r="I548" s="36"/>
      <c r="N548" s="36"/>
    </row>
    <row r="549" spans="1:14" s="2" customFormat="1" ht="15.75" customHeight="1" x14ac:dyDescent="0.35">
      <c r="A549" s="90">
        <f t="shared" ref="A549:A552" si="139">A548+1</f>
        <v>4</v>
      </c>
      <c r="B549" s="90"/>
      <c r="C549" s="19" t="s">
        <v>204</v>
      </c>
      <c r="D549" s="19">
        <f>((2.75*4.15+1.9*2.15+0.9*1.9+2.75*3.15+1.25*1.55+1.02*1.25+1.25*1.55)+(2.75*1.25))*10.764</f>
        <v>370.90053</v>
      </c>
      <c r="E549" s="19">
        <v>0</v>
      </c>
      <c r="F549" s="19">
        <f t="shared" si="138"/>
        <v>556.35079500000006</v>
      </c>
      <c r="G549" s="93"/>
      <c r="H549" s="94"/>
      <c r="I549" s="36"/>
      <c r="N549" s="36"/>
    </row>
    <row r="550" spans="1:14" s="2" customFormat="1" ht="15.75" customHeight="1" x14ac:dyDescent="0.35">
      <c r="A550" s="90">
        <f t="shared" si="139"/>
        <v>5</v>
      </c>
      <c r="B550" s="90"/>
      <c r="C550" s="19" t="s">
        <v>204</v>
      </c>
      <c r="D550" s="19">
        <f>((2.75*4.15+1.9*2.15+0.9*1.9+2.75*3.15+1.25*1.55+1.02*1.25+1.25*1.55)+(2.75*1.25))*10.764</f>
        <v>370.90053</v>
      </c>
      <c r="E550" s="19">
        <v>0</v>
      </c>
      <c r="F550" s="19">
        <f t="shared" si="138"/>
        <v>556.35079500000006</v>
      </c>
      <c r="G550" s="93"/>
      <c r="H550" s="94"/>
      <c r="I550" s="36"/>
      <c r="N550" s="36"/>
    </row>
    <row r="551" spans="1:14" s="2" customFormat="1" ht="15.75" customHeight="1" x14ac:dyDescent="0.35">
      <c r="A551" s="90">
        <f t="shared" si="139"/>
        <v>6</v>
      </c>
      <c r="B551" s="90"/>
      <c r="C551" s="19" t="s">
        <v>204</v>
      </c>
      <c r="D551" s="19">
        <f t="shared" ref="D551:D552" si="140">((2.75*4.15+1.9*2.15+0.9*1.9+2.75*3.15+1.25*1.55+1.02*1.25+1.25*1.55)+(2.75*1.25))*10.764</f>
        <v>370.90053</v>
      </c>
      <c r="E551" s="19">
        <v>0</v>
      </c>
      <c r="F551" s="19">
        <f t="shared" si="138"/>
        <v>556.35079500000006</v>
      </c>
      <c r="G551" s="93"/>
      <c r="H551" s="94"/>
      <c r="I551" s="36"/>
      <c r="N551" s="36"/>
    </row>
    <row r="552" spans="1:14" s="2" customFormat="1" ht="15.75" customHeight="1" x14ac:dyDescent="0.35">
      <c r="A552" s="90">
        <f t="shared" si="139"/>
        <v>7</v>
      </c>
      <c r="B552" s="90"/>
      <c r="C552" s="19" t="s">
        <v>204</v>
      </c>
      <c r="D552" s="19">
        <f t="shared" si="140"/>
        <v>370.90053</v>
      </c>
      <c r="E552" s="19">
        <v>0</v>
      </c>
      <c r="F552" s="19">
        <f t="shared" si="138"/>
        <v>556.35079500000006</v>
      </c>
      <c r="G552" s="95"/>
      <c r="H552" s="96"/>
      <c r="I552" s="36"/>
      <c r="N552" s="36"/>
    </row>
    <row r="553" spans="1:14" s="2" customFormat="1" x14ac:dyDescent="0.35">
      <c r="A553" s="102" t="s">
        <v>273</v>
      </c>
      <c r="B553" s="102"/>
      <c r="C553" s="102"/>
      <c r="D553" s="102"/>
      <c r="E553" s="102"/>
      <c r="F553" s="102"/>
      <c r="G553" s="102"/>
      <c r="H553" s="102"/>
      <c r="I553" s="36"/>
      <c r="L553" s="109"/>
      <c r="M553" s="109"/>
    </row>
    <row r="554" spans="1:14" s="2" customFormat="1" x14ac:dyDescent="0.35">
      <c r="A554" s="102" t="s">
        <v>236</v>
      </c>
      <c r="B554" s="102"/>
      <c r="C554" s="102"/>
      <c r="D554" s="102"/>
      <c r="E554" s="102"/>
      <c r="F554" s="102"/>
      <c r="G554" s="102"/>
      <c r="H554" s="102"/>
      <c r="I554" s="36"/>
      <c r="L554" s="109"/>
      <c r="M554" s="109"/>
    </row>
    <row r="555" spans="1:14" s="2" customFormat="1" ht="15.75" customHeight="1" x14ac:dyDescent="0.35">
      <c r="A555" s="90">
        <v>1</v>
      </c>
      <c r="B555" s="90"/>
      <c r="C555" s="91" t="s">
        <v>239</v>
      </c>
      <c r="D555" s="119"/>
      <c r="E555" s="119"/>
      <c r="F555" s="92"/>
      <c r="G555" s="91" t="str">
        <f>A554</f>
        <v>2nd Floor for Residential &amp; Parking</v>
      </c>
      <c r="H555" s="92"/>
      <c r="I555" s="36"/>
      <c r="N555" s="36"/>
    </row>
    <row r="556" spans="1:14" s="2" customFormat="1" ht="15.75" customHeight="1" x14ac:dyDescent="0.35">
      <c r="A556" s="90">
        <f>A555+1</f>
        <v>2</v>
      </c>
      <c r="B556" s="90"/>
      <c r="C556" s="93"/>
      <c r="D556" s="120"/>
      <c r="E556" s="120"/>
      <c r="F556" s="94"/>
      <c r="G556" s="93"/>
      <c r="H556" s="94"/>
      <c r="I556" s="36"/>
      <c r="N556" s="36"/>
    </row>
    <row r="557" spans="1:14" s="2" customFormat="1" ht="15.75" customHeight="1" x14ac:dyDescent="0.35">
      <c r="A557" s="90">
        <f>A556+1</f>
        <v>3</v>
      </c>
      <c r="B557" s="90"/>
      <c r="C557" s="93"/>
      <c r="D557" s="120"/>
      <c r="E557" s="120"/>
      <c r="F557" s="94"/>
      <c r="G557" s="93"/>
      <c r="H557" s="94"/>
      <c r="I557" s="36"/>
      <c r="N557" s="36"/>
    </row>
    <row r="558" spans="1:14" s="2" customFormat="1" ht="15.75" customHeight="1" x14ac:dyDescent="0.35">
      <c r="A558" s="90">
        <f t="shared" ref="A558:A562" si="141">A557+1</f>
        <v>4</v>
      </c>
      <c r="B558" s="90"/>
      <c r="C558" s="95"/>
      <c r="D558" s="121"/>
      <c r="E558" s="121"/>
      <c r="F558" s="96"/>
      <c r="G558" s="93"/>
      <c r="H558" s="94"/>
      <c r="I558" s="36"/>
      <c r="N558" s="36"/>
    </row>
    <row r="559" spans="1:14" s="2" customFormat="1" ht="15.75" customHeight="1" x14ac:dyDescent="0.35">
      <c r="A559" s="90">
        <f t="shared" si="141"/>
        <v>5</v>
      </c>
      <c r="B559" s="90"/>
      <c r="C559" s="19" t="s">
        <v>203</v>
      </c>
      <c r="D559" s="19">
        <f>((2.89*4.73+1.5*0.72+2.42*2.31+2.74*3.16+3.5*2.97+0.6*2.4+1.23*2.13+1.91*1.4+0.9*2.42+0.9*1.23+2.19*0.9)+(2.89*1.44)+0.75*(2.42+2.74+2.3))*10.764</f>
        <v>658.1088072</v>
      </c>
      <c r="E559" s="19">
        <f>(150)</f>
        <v>150</v>
      </c>
      <c r="F559" s="19">
        <f>D559*(($F$368)+1)++(IF(E559&lt;101,E559,IF(E559&lt;201,E559/2,IF(E559&lt;=301,E559/3,E559/4))))</f>
        <v>1062.1632107999999</v>
      </c>
      <c r="G559" s="93"/>
      <c r="H559" s="94"/>
      <c r="I559" s="36"/>
      <c r="N559" s="36"/>
    </row>
    <row r="560" spans="1:14" s="2" customFormat="1" ht="15.75" customHeight="1" x14ac:dyDescent="0.35">
      <c r="A560" s="90">
        <f t="shared" si="141"/>
        <v>6</v>
      </c>
      <c r="B560" s="90"/>
      <c r="C560" s="19" t="s">
        <v>204</v>
      </c>
      <c r="D560" s="19">
        <f>((2.75*4.04+2.21*2.15+2.75*3.05+1.29*2.35+0.98*1.5+1.25*1.58+0.9*2.21)+(2.75*1.21)+0.75*(2.21+2.75))*10.764</f>
        <v>427.99816799999996</v>
      </c>
      <c r="E560" s="19">
        <f>31</f>
        <v>31</v>
      </c>
      <c r="F560" s="19">
        <f>D560*(($F$368)+1)++(IF(E560&lt;101,E560,IF(E560&lt;201,E560/2,IF(E560&lt;=301,E560/3,E560/4))))</f>
        <v>672.99725199999989</v>
      </c>
      <c r="G560" s="93"/>
      <c r="H560" s="94"/>
      <c r="I560" s="36"/>
      <c r="N560" s="36"/>
    </row>
    <row r="561" spans="1:14" s="2" customFormat="1" ht="15.75" customHeight="1" x14ac:dyDescent="0.35">
      <c r="A561" s="90">
        <f t="shared" si="141"/>
        <v>7</v>
      </c>
      <c r="B561" s="90"/>
      <c r="C561" s="19" t="s">
        <v>204</v>
      </c>
      <c r="D561" s="19">
        <f>((2.75*4.04+2.21*2.15+2.75*3.05+1.29*2.35+0.98*1.5+1.25*1.58+0.9*2.21)+(2.75*1.21)+0.75*(2.21+2.75))*10.764</f>
        <v>427.99816799999996</v>
      </c>
      <c r="E561" s="19">
        <f>31</f>
        <v>31</v>
      </c>
      <c r="F561" s="19">
        <f>D561*(($F$368)+1)++(IF(E561&lt;101,E561,IF(E561&lt;201,E561/2,IF(E561&lt;=301,E561/3,E561/4))))</f>
        <v>672.99725199999989</v>
      </c>
      <c r="G561" s="93"/>
      <c r="H561" s="94"/>
      <c r="I561" s="36"/>
      <c r="N561" s="36"/>
    </row>
    <row r="562" spans="1:14" s="2" customFormat="1" ht="15.75" customHeight="1" x14ac:dyDescent="0.35">
      <c r="A562" s="90">
        <f t="shared" si="141"/>
        <v>8</v>
      </c>
      <c r="B562" s="90"/>
      <c r="C562" s="19" t="s">
        <v>203</v>
      </c>
      <c r="D562" s="19">
        <f>((2.89*4.73+1.5*0.72+2.42*2.31+2.74*3.16+3.5*2.97+0.6*2.4+1.23*2.13+1.91*1.4+0.9*2.42+0.9*1.23+2.19*0.9)+(2.89*1.44)+0.75*(2.42+2.74+2.3))*10.764</f>
        <v>658.1088072</v>
      </c>
      <c r="E562" s="19">
        <f>(150)</f>
        <v>150</v>
      </c>
      <c r="F562" s="19">
        <f>D562*(($F$368)+1)++(IF(E562&lt;101,E562,IF(E562&lt;201,E562/2,IF(E562&lt;=301,E562/3,E562/4))))</f>
        <v>1062.1632107999999</v>
      </c>
      <c r="G562" s="95"/>
      <c r="H562" s="96"/>
      <c r="I562" s="36"/>
      <c r="N562" s="36"/>
    </row>
    <row r="563" spans="1:14" s="2" customFormat="1" ht="15.75" customHeight="1" x14ac:dyDescent="0.35">
      <c r="A563" s="103" t="s">
        <v>237</v>
      </c>
      <c r="B563" s="104"/>
      <c r="C563" s="104"/>
      <c r="D563" s="104"/>
      <c r="E563" s="104"/>
      <c r="F563" s="104"/>
      <c r="G563" s="104"/>
      <c r="H563" s="105"/>
      <c r="I563" s="36"/>
      <c r="J563" s="2">
        <f>18*8+7*4+4</f>
        <v>176</v>
      </c>
    </row>
    <row r="564" spans="1:14" s="2" customFormat="1" ht="15.75" customHeight="1" x14ac:dyDescent="0.35">
      <c r="A564" s="90">
        <v>1</v>
      </c>
      <c r="B564" s="90"/>
      <c r="C564" s="19" t="s">
        <v>203</v>
      </c>
      <c r="D564" s="19">
        <f>((2.89*4.73+1.5*0.72+2.42*2.31+2.74*3.16+3.5*2.97+0.6*2.4+1.23*2.13+1.91*1.4+0.9*2.42+0.9*1.23+2.19*0.9)+(2.89*1.44)+0.75*(2.42+2.74+2.3))*10.764</f>
        <v>658.1088072</v>
      </c>
      <c r="E564" s="19">
        <v>0</v>
      </c>
      <c r="F564" s="19">
        <f t="shared" ref="F564:F571" si="142">D564*(($F$368)+1)++(IF(E564&lt;101,E564,IF(E564&lt;201,E564/2,IF(E564&lt;=301,E564/3,E564/4))))</f>
        <v>987.1632108</v>
      </c>
      <c r="G564" s="91" t="str">
        <f>A563</f>
        <v>3rd to 6th 8th to 11th 13th to 16th, 18th to 21st, 23rd &amp; 24th Floor</v>
      </c>
      <c r="H564" s="92"/>
      <c r="I564" s="36"/>
      <c r="N564" s="36"/>
    </row>
    <row r="565" spans="1:14" s="2" customFormat="1" ht="15.75" customHeight="1" x14ac:dyDescent="0.35">
      <c r="A565" s="90">
        <f>A564+1</f>
        <v>2</v>
      </c>
      <c r="B565" s="90"/>
      <c r="C565" s="19" t="s">
        <v>204</v>
      </c>
      <c r="D565" s="19">
        <f>((2.75*4.04+2.21*2.15+2.75*3.05+1.29*2.35+0.98*1.5+1.25*1.58+0.9*2.21)+(2.75*1.21)+0.75*(2.21+2.75))*10.764</f>
        <v>427.99816799999996</v>
      </c>
      <c r="E565" s="19">
        <v>0</v>
      </c>
      <c r="F565" s="19">
        <f t="shared" si="142"/>
        <v>641.99725199999989</v>
      </c>
      <c r="G565" s="93"/>
      <c r="H565" s="94"/>
      <c r="I565" s="36"/>
      <c r="N565" s="36"/>
    </row>
    <row r="566" spans="1:14" s="2" customFormat="1" ht="15.75" customHeight="1" x14ac:dyDescent="0.35">
      <c r="A566" s="90">
        <f>A565+1</f>
        <v>3</v>
      </c>
      <c r="B566" s="90"/>
      <c r="C566" s="19" t="s">
        <v>204</v>
      </c>
      <c r="D566" s="19">
        <f>((2.75*4.04+2.21*2.15+2.75*3.05+1.29*2.35+0.98*1.5+1.25*1.58+0.9*2.21)+(2.75*1.21)+0.75*(2.21+2.75))*10.764</f>
        <v>427.99816799999996</v>
      </c>
      <c r="E566" s="19">
        <v>0</v>
      </c>
      <c r="F566" s="19">
        <f t="shared" si="142"/>
        <v>641.99725199999989</v>
      </c>
      <c r="G566" s="93"/>
      <c r="H566" s="94"/>
      <c r="I566" s="36"/>
      <c r="N566" s="36"/>
    </row>
    <row r="567" spans="1:14" s="2" customFormat="1" ht="15.75" customHeight="1" x14ac:dyDescent="0.35">
      <c r="A567" s="90">
        <f t="shared" ref="A567:A571" si="143">A566+1</f>
        <v>4</v>
      </c>
      <c r="B567" s="90"/>
      <c r="C567" s="19" t="s">
        <v>203</v>
      </c>
      <c r="D567" s="19">
        <f>((2.89*4.73+1.5*0.72+2.42*2.31+2.74*3.16+3.5*2.97+0.6*2.4+1.23*2.13+1.91*1.4+0.9*2.42+0.9*1.23+2.19*0.9)+(2.89*1.44)+0.75*(2.42+2.74+2.3))*10.764</f>
        <v>658.1088072</v>
      </c>
      <c r="E567" s="19">
        <v>0</v>
      </c>
      <c r="F567" s="19">
        <f t="shared" si="142"/>
        <v>987.1632108</v>
      </c>
      <c r="G567" s="93"/>
      <c r="H567" s="94"/>
      <c r="I567" s="36"/>
      <c r="N567" s="36"/>
    </row>
    <row r="568" spans="1:14" s="2" customFormat="1" ht="15.75" customHeight="1" x14ac:dyDescent="0.35">
      <c r="A568" s="90">
        <f t="shared" si="143"/>
        <v>5</v>
      </c>
      <c r="B568" s="90"/>
      <c r="C568" s="19" t="s">
        <v>203</v>
      </c>
      <c r="D568" s="19">
        <f>((2.89*4.73+1.5*0.72+2.42*2.31+2.74*3.16+3.5*2.97+0.6*2.4+1.23*2.13+1.91*1.4+0.9*2.42+0.9*1.23+2.19*0.9)+(2.89*1.44)+0.75*(2.42+2.74+2.3))*10.764</f>
        <v>658.1088072</v>
      </c>
      <c r="E568" s="19">
        <v>0</v>
      </c>
      <c r="F568" s="19">
        <f t="shared" si="142"/>
        <v>987.1632108</v>
      </c>
      <c r="G568" s="93"/>
      <c r="H568" s="94"/>
      <c r="I568" s="36"/>
      <c r="N568" s="36"/>
    </row>
    <row r="569" spans="1:14" s="2" customFormat="1" ht="15.75" customHeight="1" x14ac:dyDescent="0.35">
      <c r="A569" s="90">
        <f t="shared" si="143"/>
        <v>6</v>
      </c>
      <c r="B569" s="90"/>
      <c r="C569" s="19" t="s">
        <v>204</v>
      </c>
      <c r="D569" s="19">
        <f>((2.75*4.04+2.21*2.15+2.75*3.05+1.29*2.35+0.98*1.5+1.25*1.58+0.9*2.21)+(2.75*1.21)+0.75*(2.21+2.75))*10.764</f>
        <v>427.99816799999996</v>
      </c>
      <c r="E569" s="19">
        <v>0</v>
      </c>
      <c r="F569" s="19">
        <f t="shared" si="142"/>
        <v>641.99725199999989</v>
      </c>
      <c r="G569" s="93"/>
      <c r="H569" s="94"/>
      <c r="I569" s="36"/>
      <c r="N569" s="36"/>
    </row>
    <row r="570" spans="1:14" s="2" customFormat="1" ht="15.75" customHeight="1" x14ac:dyDescent="0.35">
      <c r="A570" s="90">
        <f t="shared" si="143"/>
        <v>7</v>
      </c>
      <c r="B570" s="90"/>
      <c r="C570" s="19" t="s">
        <v>204</v>
      </c>
      <c r="D570" s="19">
        <f>((2.75*4.04+2.21*2.15+2.75*3.05+1.29*2.35+0.98*1.5+1.25*1.58+0.9*2.21)+(2.75*1.21)+0.75*(2.21+2.75))*10.764</f>
        <v>427.99816799999996</v>
      </c>
      <c r="E570" s="19">
        <v>0</v>
      </c>
      <c r="F570" s="19">
        <f t="shared" si="142"/>
        <v>641.99725199999989</v>
      </c>
      <c r="G570" s="93"/>
      <c r="H570" s="94"/>
      <c r="I570" s="36"/>
      <c r="N570" s="36"/>
    </row>
    <row r="571" spans="1:14" s="2" customFormat="1" ht="15.75" customHeight="1" x14ac:dyDescent="0.35">
      <c r="A571" s="90">
        <f t="shared" si="143"/>
        <v>8</v>
      </c>
      <c r="B571" s="90"/>
      <c r="C571" s="19" t="s">
        <v>203</v>
      </c>
      <c r="D571" s="19">
        <f>((2.89*4.73+1.5*0.72+2.42*2.31+2.74*3.16+3.5*2.97+0.6*2.4+1.23*2.13+1.91*1.4+0.9*2.42+0.9*1.23+2.19*0.9)+(2.89*1.44)+0.75*(2.42+2.74+2.3))*10.764</f>
        <v>658.1088072</v>
      </c>
      <c r="E571" s="19">
        <v>0</v>
      </c>
      <c r="F571" s="19">
        <f t="shared" si="142"/>
        <v>987.1632108</v>
      </c>
      <c r="G571" s="95"/>
      <c r="H571" s="96"/>
      <c r="I571" s="36"/>
      <c r="N571" s="36"/>
    </row>
    <row r="572" spans="1:14" s="2" customFormat="1" ht="15.75" customHeight="1" x14ac:dyDescent="0.35">
      <c r="A572" s="102" t="s">
        <v>238</v>
      </c>
      <c r="B572" s="102"/>
      <c r="C572" s="102"/>
      <c r="D572" s="102"/>
      <c r="E572" s="102"/>
      <c r="F572" s="102"/>
      <c r="G572" s="102"/>
      <c r="H572" s="102"/>
      <c r="I572" s="36"/>
    </row>
    <row r="573" spans="1:14" s="2" customFormat="1" ht="15.75" customHeight="1" x14ac:dyDescent="0.35">
      <c r="A573" s="90">
        <v>1</v>
      </c>
      <c r="B573" s="90"/>
      <c r="C573" s="67" t="s">
        <v>203</v>
      </c>
      <c r="D573" s="67">
        <f>((2.89*4.73+1.5*0.72+2.42*2.31+2.74*3.16+3.5*2.97+0.6*2.4+1.23*2.13+1.91*1.4+0.9*2.42+0.9*1.23+2.19*0.9)+(2.89*1.44)+0.75*(2.42+2.74+2.3))*10.764</f>
        <v>658.1088072</v>
      </c>
      <c r="E573" s="67">
        <v>0</v>
      </c>
      <c r="F573" s="67">
        <f>D573*(($F$368)+1)++(IF(E573&lt;101,E573,IF(E573&lt;201,E573/2,IF(E573&lt;=301,E573/3,E573/4))))</f>
        <v>987.1632108</v>
      </c>
      <c r="G573" s="90" t="str">
        <f>A572</f>
        <v>7th, 12th, 17th &amp; 22nd Floor (Part Refuge Area)</v>
      </c>
      <c r="H573" s="90"/>
      <c r="I573" s="36"/>
      <c r="N573" s="36"/>
    </row>
    <row r="574" spans="1:14" s="2" customFormat="1" ht="15.75" customHeight="1" x14ac:dyDescent="0.35">
      <c r="A574" s="90">
        <f>A573+1</f>
        <v>2</v>
      </c>
      <c r="B574" s="90"/>
      <c r="C574" s="67" t="s">
        <v>204</v>
      </c>
      <c r="D574" s="67">
        <f>((2.75*4.04+2.21*2.15+2.75*3.05+1.29*2.35+0.98*1.5+1.25*1.58+0.9*2.21)+(2.75*1.21)+0.75*(2.21+2.75))*10.764</f>
        <v>427.99816799999996</v>
      </c>
      <c r="E574" s="67">
        <v>0</v>
      </c>
      <c r="F574" s="67">
        <f>D574*(($F$368)+1)++(IF(E574&lt;101,E574,IF(E574&lt;201,E574/2,IF(E574&lt;=301,E574/3,E574/4))))</f>
        <v>641.99725199999989</v>
      </c>
      <c r="G574" s="90"/>
      <c r="H574" s="90"/>
      <c r="I574" s="36"/>
      <c r="N574" s="36"/>
    </row>
    <row r="575" spans="1:14" s="2" customFormat="1" ht="15.75" customHeight="1" x14ac:dyDescent="0.35">
      <c r="A575" s="90">
        <f>A574+1</f>
        <v>3</v>
      </c>
      <c r="B575" s="90"/>
      <c r="C575" s="67" t="s">
        <v>204</v>
      </c>
      <c r="D575" s="67">
        <f>((2.75*4.04+2.21*2.15+2.75*3.05+1.29*2.35+0.98*1.5+1.25*1.58+0.9*2.21)+(2.75*1.21)+0.75*(2.21+2.75))*10.764</f>
        <v>427.99816799999996</v>
      </c>
      <c r="E575" s="67">
        <v>0</v>
      </c>
      <c r="F575" s="67">
        <f>D575*(($F$368)+1)++(IF(E575&lt;101,E575,IF(E575&lt;201,E575/2,IF(E575&lt;=301,E575/3,E575/4))))</f>
        <v>641.99725199999989</v>
      </c>
      <c r="G575" s="90"/>
      <c r="H575" s="90"/>
      <c r="I575" s="36"/>
      <c r="N575" s="36"/>
    </row>
    <row r="576" spans="1:14" s="2" customFormat="1" ht="15.75" customHeight="1" x14ac:dyDescent="0.35">
      <c r="A576" s="90">
        <f t="shared" ref="A576:A580" si="144">A575+1</f>
        <v>4</v>
      </c>
      <c r="B576" s="90"/>
      <c r="C576" s="67" t="s">
        <v>203</v>
      </c>
      <c r="D576" s="67">
        <f>((2.89*4.73+1.5*0.72+2.42*2.31+2.74*3.16+3.5*2.97+0.6*2.4+1.23*2.13+1.91*1.4+0.9*2.42+0.9*1.23+2.19*0.9)+(2.89*1.44)+0.75*(2.42+2.74+2.3))*10.764</f>
        <v>658.1088072</v>
      </c>
      <c r="E576" s="67">
        <v>0</v>
      </c>
      <c r="F576" s="67">
        <f>D576*(($F$368)+1)++(IF(E576&lt;101,E576,IF(E576&lt;201,E576/2,IF(E576&lt;=301,E576/3,E576/4))))</f>
        <v>987.1632108</v>
      </c>
      <c r="G576" s="90"/>
      <c r="H576" s="90"/>
      <c r="I576" s="36"/>
      <c r="N576" s="36"/>
    </row>
    <row r="577" spans="1:14" s="2" customFormat="1" ht="15.75" customHeight="1" x14ac:dyDescent="0.35">
      <c r="A577" s="90">
        <f t="shared" si="144"/>
        <v>5</v>
      </c>
      <c r="B577" s="90"/>
      <c r="C577" s="67" t="s">
        <v>203</v>
      </c>
      <c r="D577" s="67">
        <f>((2.89*4.73+1.5*0.72+2.42*2.31+2.74*3.16+3.5*2.97+0.6*2.4+1.23*2.13+1.91*1.4+0.9*2.42+0.9*1.23+2.19*0.9)+(2.89*1.44)+0.75*(2.42+2.74+2.3))*10.764</f>
        <v>658.1088072</v>
      </c>
      <c r="E577" s="67">
        <v>0</v>
      </c>
      <c r="F577" s="67">
        <f>D577*(($F$368)+1)++(IF(E577&lt;101,E577,IF(E577&lt;201,E577/2,IF(E577&lt;=301,E577/3,E577/4))))</f>
        <v>987.1632108</v>
      </c>
      <c r="G577" s="90"/>
      <c r="H577" s="90"/>
      <c r="I577" s="36"/>
      <c r="N577" s="36"/>
    </row>
    <row r="578" spans="1:14" s="2" customFormat="1" ht="15.75" customHeight="1" x14ac:dyDescent="0.35">
      <c r="A578" s="90">
        <f t="shared" si="144"/>
        <v>6</v>
      </c>
      <c r="B578" s="90"/>
      <c r="C578" s="90" t="s">
        <v>206</v>
      </c>
      <c r="D578" s="90"/>
      <c r="E578" s="90"/>
      <c r="F578" s="90"/>
      <c r="G578" s="90"/>
      <c r="H578" s="90"/>
      <c r="I578" s="36"/>
      <c r="N578" s="36"/>
    </row>
    <row r="579" spans="1:14" s="2" customFormat="1" ht="15.75" customHeight="1" x14ac:dyDescent="0.35">
      <c r="A579" s="90">
        <f t="shared" si="144"/>
        <v>7</v>
      </c>
      <c r="B579" s="90"/>
      <c r="C579" s="67" t="s">
        <v>204</v>
      </c>
      <c r="D579" s="67">
        <f>((2.75*4.04+2.21*2.15+2.75*3.05+1.29*2.35+0.98*1.5+1.25*1.58+0.9*2.21)+(2.75*1.21)+0.75*(2.21+2.75))*10.764</f>
        <v>427.99816799999996</v>
      </c>
      <c r="E579" s="67">
        <v>0</v>
      </c>
      <c r="F579" s="67">
        <f>D579*(($F$368)+1)++(IF(E579&lt;101,E579,IF(E579&lt;201,E579/2,IF(E579&lt;=301,E579/3,E579/4))))</f>
        <v>641.99725199999989</v>
      </c>
      <c r="G579" s="90"/>
      <c r="H579" s="90"/>
      <c r="I579" s="36"/>
      <c r="N579" s="36"/>
    </row>
    <row r="580" spans="1:14" s="2" customFormat="1" ht="15.75" customHeight="1" x14ac:dyDescent="0.35">
      <c r="A580" s="90">
        <f t="shared" si="144"/>
        <v>8</v>
      </c>
      <c r="B580" s="90"/>
      <c r="C580" s="67" t="s">
        <v>203</v>
      </c>
      <c r="D580" s="67">
        <f>((2.89*4.73+1.5*0.72+2.42*2.31+2.74*3.16+3.5*2.97+0.6*2.4+1.23*2.13+1.91*1.4+0.9*2.42+0.9*1.23+2.19*0.9)+(2.89*1.44)+0.75*(2.42+2.74+2.3))*10.764</f>
        <v>658.1088072</v>
      </c>
      <c r="E580" s="67">
        <v>0</v>
      </c>
      <c r="F580" s="67">
        <f>D580*(($F$368)+1)++(IF(E580&lt;101,E580,IF(E580&lt;201,E580/2,IF(E580&lt;=301,E580/3,E580/4))))</f>
        <v>987.1632108</v>
      </c>
      <c r="G580" s="90"/>
      <c r="H580" s="90"/>
      <c r="I580" s="36"/>
      <c r="N580" s="36"/>
    </row>
    <row r="581" spans="1:14" s="1" customFormat="1" x14ac:dyDescent="0.35">
      <c r="A581" s="173" t="s">
        <v>75</v>
      </c>
      <c r="B581" s="174"/>
      <c r="C581" s="174"/>
      <c r="D581" s="174"/>
      <c r="E581" s="174"/>
      <c r="F581" s="174"/>
      <c r="G581" s="174"/>
      <c r="H581" s="175"/>
    </row>
    <row r="582" spans="1:14" s="1" customFormat="1" ht="50.5" customHeight="1" x14ac:dyDescent="0.35">
      <c r="A582" s="40">
        <v>1</v>
      </c>
      <c r="B582" s="72" t="s">
        <v>296</v>
      </c>
      <c r="C582" s="73"/>
      <c r="D582" s="73"/>
      <c r="E582" s="73"/>
      <c r="F582" s="73"/>
      <c r="G582" s="73"/>
      <c r="H582" s="74"/>
    </row>
    <row r="583" spans="1:14" s="1" customFormat="1" ht="15.75" customHeight="1" x14ac:dyDescent="0.35">
      <c r="A583" s="40">
        <f>A582+1</f>
        <v>2</v>
      </c>
      <c r="B583" s="72" t="s">
        <v>213</v>
      </c>
      <c r="C583" s="73"/>
      <c r="D583" s="73"/>
      <c r="E583" s="73"/>
      <c r="F583" s="73"/>
      <c r="G583" s="73"/>
      <c r="H583" s="74"/>
    </row>
    <row r="584" spans="1:14" s="1" customFormat="1" x14ac:dyDescent="0.35">
      <c r="A584" s="40">
        <f>A583+1</f>
        <v>3</v>
      </c>
      <c r="B584" s="72" t="s">
        <v>161</v>
      </c>
      <c r="C584" s="73"/>
      <c r="D584" s="73"/>
      <c r="E584" s="73"/>
      <c r="F584" s="73"/>
      <c r="G584" s="73"/>
      <c r="H584" s="74"/>
    </row>
    <row r="585" spans="1:14" s="1" customFormat="1" x14ac:dyDescent="0.35">
      <c r="A585" s="40">
        <f t="shared" ref="A585:A592" si="145">A584+1</f>
        <v>4</v>
      </c>
      <c r="B585" s="72" t="s">
        <v>214</v>
      </c>
      <c r="C585" s="73"/>
      <c r="D585" s="73"/>
      <c r="E585" s="73"/>
      <c r="F585" s="73"/>
      <c r="G585" s="73"/>
      <c r="H585" s="74"/>
    </row>
    <row r="586" spans="1:14" s="1" customFormat="1" x14ac:dyDescent="0.35">
      <c r="A586" s="40">
        <f t="shared" si="145"/>
        <v>5</v>
      </c>
      <c r="B586" s="72" t="s">
        <v>162</v>
      </c>
      <c r="C586" s="73"/>
      <c r="D586" s="73"/>
      <c r="E586" s="73"/>
      <c r="F586" s="73"/>
      <c r="G586" s="73"/>
      <c r="H586" s="74"/>
    </row>
    <row r="587" spans="1:14" s="1" customFormat="1" x14ac:dyDescent="0.35">
      <c r="A587" s="40">
        <f t="shared" si="145"/>
        <v>6</v>
      </c>
      <c r="B587" s="72" t="s">
        <v>163</v>
      </c>
      <c r="C587" s="73"/>
      <c r="D587" s="73"/>
      <c r="E587" s="73"/>
      <c r="F587" s="73"/>
      <c r="G587" s="73"/>
      <c r="H587" s="74"/>
    </row>
    <row r="588" spans="1:14" s="1" customFormat="1" hidden="1" x14ac:dyDescent="0.35">
      <c r="A588" s="40">
        <f t="shared" si="145"/>
        <v>7</v>
      </c>
      <c r="B588" s="72" t="s">
        <v>295</v>
      </c>
      <c r="C588" s="73"/>
      <c r="D588" s="73"/>
      <c r="E588" s="73"/>
      <c r="F588" s="73"/>
      <c r="G588" s="73"/>
      <c r="H588" s="74"/>
    </row>
    <row r="589" spans="1:14" s="1" customFormat="1" ht="35.25" customHeight="1" x14ac:dyDescent="0.35">
      <c r="A589" s="40">
        <v>7</v>
      </c>
      <c r="B589" s="72" t="s">
        <v>234</v>
      </c>
      <c r="C589" s="73"/>
      <c r="D589" s="73"/>
      <c r="E589" s="73"/>
      <c r="F589" s="73"/>
      <c r="G589" s="73"/>
      <c r="H589" s="74"/>
    </row>
    <row r="590" spans="1:14" s="1" customFormat="1" ht="32.25" customHeight="1" x14ac:dyDescent="0.35">
      <c r="A590" s="40">
        <f t="shared" si="145"/>
        <v>8</v>
      </c>
      <c r="B590" s="72" t="s">
        <v>252</v>
      </c>
      <c r="C590" s="73"/>
      <c r="D590" s="73"/>
      <c r="E590" s="73"/>
      <c r="F590" s="73"/>
      <c r="G590" s="73"/>
      <c r="H590" s="74"/>
    </row>
    <row r="591" spans="1:14" s="1" customFormat="1" ht="35.25" customHeight="1" x14ac:dyDescent="0.35">
      <c r="A591" s="40">
        <f t="shared" si="145"/>
        <v>9</v>
      </c>
      <c r="B591" s="72" t="s">
        <v>254</v>
      </c>
      <c r="C591" s="73"/>
      <c r="D591" s="73"/>
      <c r="E591" s="73"/>
      <c r="F591" s="73"/>
      <c r="G591" s="73"/>
      <c r="H591" s="74"/>
    </row>
    <row r="592" spans="1:14" s="1" customFormat="1" ht="33" hidden="1" customHeight="1" x14ac:dyDescent="0.35">
      <c r="A592" s="69">
        <f t="shared" si="145"/>
        <v>10</v>
      </c>
      <c r="B592" s="72" t="s">
        <v>294</v>
      </c>
      <c r="C592" s="73"/>
      <c r="D592" s="73"/>
      <c r="E592" s="73"/>
      <c r="F592" s="73"/>
      <c r="G592" s="73"/>
      <c r="H592" s="74"/>
    </row>
    <row r="593" spans="1:8" x14ac:dyDescent="0.35">
      <c r="A593" s="153" t="s">
        <v>68</v>
      </c>
      <c r="B593" s="153"/>
      <c r="C593" s="153"/>
      <c r="D593" s="153"/>
      <c r="E593" s="153"/>
      <c r="F593" s="153"/>
      <c r="G593" s="153"/>
      <c r="H593" s="153"/>
    </row>
    <row r="594" spans="1:8" x14ac:dyDescent="0.35">
      <c r="A594" s="145" t="s">
        <v>69</v>
      </c>
      <c r="B594" s="145"/>
      <c r="C594" s="145"/>
      <c r="D594" s="145"/>
      <c r="E594" s="145"/>
      <c r="F594" s="145"/>
      <c r="G594" s="145"/>
      <c r="H594" s="145"/>
    </row>
    <row r="595" spans="1:8" ht="15.75" customHeight="1" x14ac:dyDescent="0.35">
      <c r="A595" s="163" t="s">
        <v>70</v>
      </c>
      <c r="B595" s="163"/>
      <c r="C595" s="163"/>
      <c r="D595" s="163"/>
      <c r="E595" s="163"/>
      <c r="F595" s="163"/>
      <c r="G595" s="163"/>
      <c r="H595" s="163"/>
    </row>
    <row r="596" spans="1:8" x14ac:dyDescent="0.35">
      <c r="A596" s="145" t="s">
        <v>71</v>
      </c>
      <c r="B596" s="145"/>
      <c r="C596" s="145"/>
      <c r="D596" s="145"/>
      <c r="E596" s="145"/>
      <c r="F596" s="145"/>
      <c r="G596" s="145"/>
      <c r="H596" s="145"/>
    </row>
    <row r="597" spans="1:8" x14ac:dyDescent="0.35">
      <c r="A597" s="145" t="s">
        <v>72</v>
      </c>
      <c r="B597" s="145"/>
      <c r="C597" s="145"/>
      <c r="D597" s="145"/>
      <c r="E597" s="145"/>
      <c r="F597" s="145"/>
      <c r="G597" s="145"/>
      <c r="H597" s="145"/>
    </row>
    <row r="598" spans="1:8" x14ac:dyDescent="0.35">
      <c r="A598" s="145" t="s">
        <v>164</v>
      </c>
      <c r="B598" s="145"/>
      <c r="C598" s="145"/>
      <c r="D598" s="145"/>
      <c r="E598" s="145"/>
      <c r="F598" s="145"/>
      <c r="G598" s="145"/>
      <c r="H598" s="145"/>
    </row>
    <row r="599" spans="1:8" ht="35.25" customHeight="1" x14ac:dyDescent="0.35">
      <c r="A599" s="146" t="s">
        <v>165</v>
      </c>
      <c r="B599" s="146"/>
      <c r="C599" s="146"/>
      <c r="D599" s="146"/>
      <c r="E599" s="146"/>
      <c r="F599" s="146"/>
      <c r="G599" s="146"/>
      <c r="H599" s="146"/>
    </row>
    <row r="600" spans="1:8" x14ac:dyDescent="0.35">
      <c r="A600" s="171" t="s">
        <v>107</v>
      </c>
      <c r="B600" s="171"/>
      <c r="C600" s="171" t="s">
        <v>297</v>
      </c>
      <c r="D600" s="171"/>
      <c r="E600" s="171" t="s">
        <v>142</v>
      </c>
      <c r="F600" s="171"/>
      <c r="G600" s="171" t="s">
        <v>293</v>
      </c>
      <c r="H600" s="171"/>
    </row>
    <row r="601" spans="1:8" x14ac:dyDescent="0.35">
      <c r="A601" s="170" t="s">
        <v>109</v>
      </c>
      <c r="B601" s="170"/>
      <c r="C601" s="170"/>
      <c r="D601" s="170"/>
      <c r="E601" s="170"/>
      <c r="F601" s="170"/>
      <c r="G601" s="170"/>
      <c r="H601" s="170"/>
    </row>
    <row r="602" spans="1:8" x14ac:dyDescent="0.35">
      <c r="A602" s="170"/>
      <c r="B602" s="170"/>
      <c r="C602" s="170"/>
      <c r="D602" s="170"/>
      <c r="E602" s="170"/>
      <c r="F602" s="170"/>
      <c r="G602" s="170"/>
      <c r="H602" s="170"/>
    </row>
    <row r="603" spans="1:8" ht="34.5" customHeight="1" x14ac:dyDescent="0.35">
      <c r="A603" s="170"/>
      <c r="B603" s="170"/>
      <c r="C603" s="170"/>
      <c r="D603" s="170"/>
      <c r="E603" s="170"/>
      <c r="F603" s="170"/>
      <c r="G603" s="170"/>
      <c r="H603" s="170"/>
    </row>
    <row r="604" spans="1:8" x14ac:dyDescent="0.35">
      <c r="A604" s="14" t="s">
        <v>73</v>
      </c>
      <c r="B604" s="15"/>
      <c r="C604" s="15"/>
      <c r="D604" s="14" t="str">
        <f>E8</f>
        <v>Swaminarayan City Phase 1, 1A, 1B &amp; 1C</v>
      </c>
      <c r="F604" s="15"/>
      <c r="G604" s="15"/>
      <c r="H604" s="15"/>
    </row>
    <row r="605" spans="1:8" x14ac:dyDescent="0.35">
      <c r="A605" s="15"/>
      <c r="B605" s="15"/>
      <c r="C605" s="15"/>
      <c r="D605" s="15"/>
      <c r="E605" s="15"/>
      <c r="F605" s="15"/>
      <c r="G605" s="15"/>
      <c r="H605" s="15"/>
    </row>
    <row r="606" spans="1:8" x14ac:dyDescent="0.35">
      <c r="A606" s="15"/>
      <c r="B606" s="15"/>
      <c r="C606" s="15"/>
      <c r="D606" s="15"/>
      <c r="E606" s="15"/>
      <c r="F606" s="15"/>
      <c r="G606" s="15"/>
      <c r="H606" s="15"/>
    </row>
    <row r="607" spans="1:8" ht="15" customHeight="1" x14ac:dyDescent="0.35"/>
    <row r="646" spans="1:8" x14ac:dyDescent="0.35">
      <c r="A646" s="14"/>
      <c r="B646" s="15"/>
      <c r="C646" s="15"/>
      <c r="D646" s="14"/>
      <c r="F646" s="15"/>
      <c r="G646" s="15"/>
      <c r="H646" s="15"/>
    </row>
    <row r="647" spans="1:8" x14ac:dyDescent="0.35">
      <c r="A647" s="15"/>
      <c r="B647" s="15"/>
      <c r="C647" s="15"/>
      <c r="D647" s="15"/>
      <c r="E647" s="15"/>
      <c r="F647" s="15"/>
      <c r="G647" s="15"/>
      <c r="H647" s="15"/>
    </row>
    <row r="648" spans="1:8" x14ac:dyDescent="0.35">
      <c r="A648" s="15"/>
      <c r="B648" s="15"/>
      <c r="C648" s="15"/>
      <c r="D648" s="15"/>
      <c r="E648" s="15"/>
      <c r="F648" s="15"/>
      <c r="G648" s="15"/>
      <c r="H648" s="15"/>
    </row>
    <row r="649" spans="1:8" ht="15" customHeight="1" x14ac:dyDescent="0.35">
      <c r="A649" s="14" t="s">
        <v>73</v>
      </c>
      <c r="B649" s="15"/>
      <c r="C649" s="15"/>
      <c r="D649" s="14" t="str">
        <f>E8</f>
        <v>Swaminarayan City Phase 1, 1A, 1B &amp; 1C</v>
      </c>
    </row>
    <row r="688" spans="1:8" x14ac:dyDescent="0.35">
      <c r="A688" s="14" t="s">
        <v>242</v>
      </c>
      <c r="B688" s="15"/>
      <c r="C688" s="15"/>
      <c r="D688" s="14"/>
      <c r="F688" s="15"/>
      <c r="G688" s="15"/>
      <c r="H688" s="15"/>
    </row>
    <row r="689" spans="1:8" x14ac:dyDescent="0.35">
      <c r="A689" s="15"/>
      <c r="B689" s="15"/>
      <c r="C689" s="15"/>
      <c r="D689" s="15"/>
      <c r="E689" s="15"/>
      <c r="F689" s="15"/>
      <c r="G689" s="15"/>
      <c r="H689" s="15"/>
    </row>
    <row r="690" spans="1:8" x14ac:dyDescent="0.35">
      <c r="A690" s="15"/>
      <c r="B690" s="15"/>
      <c r="C690" s="15"/>
      <c r="D690" s="15"/>
      <c r="E690" s="15"/>
      <c r="F690" s="15"/>
      <c r="G690" s="15"/>
      <c r="H690" s="15"/>
    </row>
    <row r="691" spans="1:8" ht="15" customHeight="1" x14ac:dyDescent="0.35"/>
    <row r="723" spans="1:1" x14ac:dyDescent="0.35">
      <c r="A723" s="17" t="s">
        <v>74</v>
      </c>
    </row>
  </sheetData>
  <mergeCells count="988">
    <mergeCell ref="L369:M369"/>
    <mergeCell ref="A87:B87"/>
    <mergeCell ref="C87:H87"/>
    <mergeCell ref="A89:B89"/>
    <mergeCell ref="C89:H89"/>
    <mergeCell ref="A90:B90"/>
    <mergeCell ref="E90:F90"/>
    <mergeCell ref="G90:H90"/>
    <mergeCell ref="A91:B91"/>
    <mergeCell ref="E91:F100"/>
    <mergeCell ref="G91:H100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L358:M358"/>
    <mergeCell ref="A359:B359"/>
    <mergeCell ref="L359:M359"/>
    <mergeCell ref="A360:B360"/>
    <mergeCell ref="L360:M360"/>
    <mergeCell ref="A361:B361"/>
    <mergeCell ref="L361:M361"/>
    <mergeCell ref="A362:B362"/>
    <mergeCell ref="L362:M362"/>
    <mergeCell ref="L363:M363"/>
    <mergeCell ref="A364:B364"/>
    <mergeCell ref="L364:M364"/>
    <mergeCell ref="A365:B365"/>
    <mergeCell ref="L365:M365"/>
    <mergeCell ref="G350:H365"/>
    <mergeCell ref="A352:B352"/>
    <mergeCell ref="L352:M352"/>
    <mergeCell ref="A353:B353"/>
    <mergeCell ref="L353:M353"/>
    <mergeCell ref="A354:B354"/>
    <mergeCell ref="L354:M354"/>
    <mergeCell ref="A355:B355"/>
    <mergeCell ref="A358:B358"/>
    <mergeCell ref="L355:M355"/>
    <mergeCell ref="A356:B356"/>
    <mergeCell ref="L356:M356"/>
    <mergeCell ref="A357:B357"/>
    <mergeCell ref="L357:M357"/>
    <mergeCell ref="L347:M347"/>
    <mergeCell ref="A348:B348"/>
    <mergeCell ref="L348:M348"/>
    <mergeCell ref="G341:H348"/>
    <mergeCell ref="A349:H349"/>
    <mergeCell ref="A350:B350"/>
    <mergeCell ref="L350:M350"/>
    <mergeCell ref="A351:B351"/>
    <mergeCell ref="L351:M351"/>
    <mergeCell ref="A341:B341"/>
    <mergeCell ref="L341:M341"/>
    <mergeCell ref="A342:B342"/>
    <mergeCell ref="L342:M342"/>
    <mergeCell ref="A343:B343"/>
    <mergeCell ref="L343:M343"/>
    <mergeCell ref="A344:B344"/>
    <mergeCell ref="L344:M344"/>
    <mergeCell ref="A345:B345"/>
    <mergeCell ref="L345:M345"/>
    <mergeCell ref="A346:B346"/>
    <mergeCell ref="L346:M346"/>
    <mergeCell ref="L338:M338"/>
    <mergeCell ref="A339:B339"/>
    <mergeCell ref="L339:M339"/>
    <mergeCell ref="G334:H339"/>
    <mergeCell ref="A340:H340"/>
    <mergeCell ref="A332:H332"/>
    <mergeCell ref="A333:H333"/>
    <mergeCell ref="A334:B334"/>
    <mergeCell ref="L334:M334"/>
    <mergeCell ref="A335:B335"/>
    <mergeCell ref="L335:M335"/>
    <mergeCell ref="A336:B336"/>
    <mergeCell ref="L336:M336"/>
    <mergeCell ref="A337:B337"/>
    <mergeCell ref="L337:M337"/>
    <mergeCell ref="A338:B338"/>
    <mergeCell ref="A138:B138"/>
    <mergeCell ref="A139:B139"/>
    <mergeCell ref="A140:B140"/>
    <mergeCell ref="A141:B141"/>
    <mergeCell ref="A142:B142"/>
    <mergeCell ref="A115:B115"/>
    <mergeCell ref="C115:H115"/>
    <mergeCell ref="A117:B117"/>
    <mergeCell ref="C117:H117"/>
    <mergeCell ref="A118:B118"/>
    <mergeCell ref="E118:F118"/>
    <mergeCell ref="G118:H118"/>
    <mergeCell ref="A119:B119"/>
    <mergeCell ref="E119:F128"/>
    <mergeCell ref="G119:H128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L235:M235"/>
    <mergeCell ref="G213:H235"/>
    <mergeCell ref="A371:H371"/>
    <mergeCell ref="L371:M371"/>
    <mergeCell ref="A198:B198"/>
    <mergeCell ref="C198:D198"/>
    <mergeCell ref="E198:F198"/>
    <mergeCell ref="G198:H198"/>
    <mergeCell ref="A199:B199"/>
    <mergeCell ref="C199:D199"/>
    <mergeCell ref="E199:F199"/>
    <mergeCell ref="G199:H199"/>
    <mergeCell ref="A205:B205"/>
    <mergeCell ref="C205:D205"/>
    <mergeCell ref="E205:F205"/>
    <mergeCell ref="G205:H205"/>
    <mergeCell ref="A232:B232"/>
    <mergeCell ref="L232:M232"/>
    <mergeCell ref="A233:B233"/>
    <mergeCell ref="L233:M233"/>
    <mergeCell ref="A234:B234"/>
    <mergeCell ref="L234:M234"/>
    <mergeCell ref="L228:M228"/>
    <mergeCell ref="L229:M229"/>
    <mergeCell ref="L230:M230"/>
    <mergeCell ref="A231:B231"/>
    <mergeCell ref="L231:M231"/>
    <mergeCell ref="L224:M224"/>
    <mergeCell ref="A225:B225"/>
    <mergeCell ref="L225:M225"/>
    <mergeCell ref="A226:B226"/>
    <mergeCell ref="L226:M226"/>
    <mergeCell ref="A227:B227"/>
    <mergeCell ref="L227:M227"/>
    <mergeCell ref="A228:B228"/>
    <mergeCell ref="A229:B229"/>
    <mergeCell ref="A224:B224"/>
    <mergeCell ref="A441:B441"/>
    <mergeCell ref="A442:B442"/>
    <mergeCell ref="A443:B443"/>
    <mergeCell ref="A444:B444"/>
    <mergeCell ref="A445:B445"/>
    <mergeCell ref="G438:H445"/>
    <mergeCell ref="A436:B436"/>
    <mergeCell ref="A437:H437"/>
    <mergeCell ref="A438:B438"/>
    <mergeCell ref="A439:B439"/>
    <mergeCell ref="A440:B440"/>
    <mergeCell ref="G429:H436"/>
    <mergeCell ref="A432:B432"/>
    <mergeCell ref="A433:B433"/>
    <mergeCell ref="A434:B434"/>
    <mergeCell ref="A435:B435"/>
    <mergeCell ref="C434:F434"/>
    <mergeCell ref="A431:B431"/>
    <mergeCell ref="A453:B453"/>
    <mergeCell ref="A454:B454"/>
    <mergeCell ref="G447:H454"/>
    <mergeCell ref="A446:H446"/>
    <mergeCell ref="A447:B447"/>
    <mergeCell ref="A448:B448"/>
    <mergeCell ref="A449:B449"/>
    <mergeCell ref="A450:B450"/>
    <mergeCell ref="A451:B451"/>
    <mergeCell ref="A452:B452"/>
    <mergeCell ref="C406:F406"/>
    <mergeCell ref="A399:H399"/>
    <mergeCell ref="A408:B408"/>
    <mergeCell ref="A409:H409"/>
    <mergeCell ref="L427:M427"/>
    <mergeCell ref="A428:H428"/>
    <mergeCell ref="L428:M428"/>
    <mergeCell ref="A429:B429"/>
    <mergeCell ref="A430:B430"/>
    <mergeCell ref="A423:B423"/>
    <mergeCell ref="A424:B424"/>
    <mergeCell ref="A425:B425"/>
    <mergeCell ref="A426:B426"/>
    <mergeCell ref="A427:H427"/>
    <mergeCell ref="G419:H426"/>
    <mergeCell ref="A420:B420"/>
    <mergeCell ref="C420:F420"/>
    <mergeCell ref="A421:B421"/>
    <mergeCell ref="A422:B422"/>
    <mergeCell ref="A391:B391"/>
    <mergeCell ref="A392:B392"/>
    <mergeCell ref="A393:B393"/>
    <mergeCell ref="A394:B394"/>
    <mergeCell ref="A418:H418"/>
    <mergeCell ref="A419:B419"/>
    <mergeCell ref="G410:H417"/>
    <mergeCell ref="A407:B407"/>
    <mergeCell ref="L399:M399"/>
    <mergeCell ref="A400:H400"/>
    <mergeCell ref="L400:M400"/>
    <mergeCell ref="A401:B401"/>
    <mergeCell ref="A402:B402"/>
    <mergeCell ref="A403:B403"/>
    <mergeCell ref="A413:B413"/>
    <mergeCell ref="A414:B414"/>
    <mergeCell ref="A415:B415"/>
    <mergeCell ref="A416:B416"/>
    <mergeCell ref="A417:B417"/>
    <mergeCell ref="A412:B412"/>
    <mergeCell ref="G401:H408"/>
    <mergeCell ref="A404:B404"/>
    <mergeCell ref="A405:B405"/>
    <mergeCell ref="A406:B406"/>
    <mergeCell ref="A389:B389"/>
    <mergeCell ref="G373:H380"/>
    <mergeCell ref="G382:H389"/>
    <mergeCell ref="L372:M372"/>
    <mergeCell ref="A374:B374"/>
    <mergeCell ref="A375:B375"/>
    <mergeCell ref="A370:H370"/>
    <mergeCell ref="A379:B379"/>
    <mergeCell ref="A390:H390"/>
    <mergeCell ref="A377:B377"/>
    <mergeCell ref="A387:B387"/>
    <mergeCell ref="A386:B386"/>
    <mergeCell ref="A385:B385"/>
    <mergeCell ref="A382:B382"/>
    <mergeCell ref="A378:B378"/>
    <mergeCell ref="A380:B380"/>
    <mergeCell ref="C378:F378"/>
    <mergeCell ref="L222:M222"/>
    <mergeCell ref="A223:B223"/>
    <mergeCell ref="L223:M223"/>
    <mergeCell ref="A218:B218"/>
    <mergeCell ref="A219:B219"/>
    <mergeCell ref="A214:B214"/>
    <mergeCell ref="A215:B215"/>
    <mergeCell ref="A216:B216"/>
    <mergeCell ref="A217:B217"/>
    <mergeCell ref="L219:M219"/>
    <mergeCell ref="L218:M218"/>
    <mergeCell ref="L217:M217"/>
    <mergeCell ref="L216:M216"/>
    <mergeCell ref="L215:M215"/>
    <mergeCell ref="A363:B363"/>
    <mergeCell ref="A260:H260"/>
    <mergeCell ref="A331:H331"/>
    <mergeCell ref="A369:H369"/>
    <mergeCell ref="A347:B347"/>
    <mergeCell ref="C367:C368"/>
    <mergeCell ref="A376:B376"/>
    <mergeCell ref="A245:B245"/>
    <mergeCell ref="A258:B258"/>
    <mergeCell ref="A253:B253"/>
    <mergeCell ref="A288:B288"/>
    <mergeCell ref="A297:B297"/>
    <mergeCell ref="F175:H175"/>
    <mergeCell ref="L214:M214"/>
    <mergeCell ref="L220:M220"/>
    <mergeCell ref="A221:B221"/>
    <mergeCell ref="L221:M221"/>
    <mergeCell ref="A220:B220"/>
    <mergeCell ref="G197:H197"/>
    <mergeCell ref="F181:H181"/>
    <mergeCell ref="A175:E175"/>
    <mergeCell ref="A212:H212"/>
    <mergeCell ref="E208:E209"/>
    <mergeCell ref="G208:H209"/>
    <mergeCell ref="A211:H211"/>
    <mergeCell ref="F176:H176"/>
    <mergeCell ref="A176:E176"/>
    <mergeCell ref="A185:E185"/>
    <mergeCell ref="A177:E177"/>
    <mergeCell ref="C196:D196"/>
    <mergeCell ref="G196:H196"/>
    <mergeCell ref="A179:E179"/>
    <mergeCell ref="L213:M213"/>
    <mergeCell ref="A213:B213"/>
    <mergeCell ref="A210:H210"/>
    <mergeCell ref="C197:D197"/>
    <mergeCell ref="D59:H59"/>
    <mergeCell ref="A59:C59"/>
    <mergeCell ref="F33:H33"/>
    <mergeCell ref="A35:B35"/>
    <mergeCell ref="C35:H35"/>
    <mergeCell ref="G47:H47"/>
    <mergeCell ref="A48:B49"/>
    <mergeCell ref="F179:H179"/>
    <mergeCell ref="F184:H184"/>
    <mergeCell ref="A172:H172"/>
    <mergeCell ref="A129:B129"/>
    <mergeCell ref="C129:H129"/>
    <mergeCell ref="A131:B131"/>
    <mergeCell ref="C131:H131"/>
    <mergeCell ref="A132:B132"/>
    <mergeCell ref="E132:F132"/>
    <mergeCell ref="G132:H132"/>
    <mergeCell ref="A133:B133"/>
    <mergeCell ref="E133:F142"/>
    <mergeCell ref="G133:H142"/>
    <mergeCell ref="A134:B134"/>
    <mergeCell ref="A135:B135"/>
    <mergeCell ref="A136:B136"/>
    <mergeCell ref="A137:B13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34:H34"/>
    <mergeCell ref="A33:B33"/>
    <mergeCell ref="C33:E33"/>
    <mergeCell ref="A38:D38"/>
    <mergeCell ref="E38:H38"/>
    <mergeCell ref="F30:H30"/>
    <mergeCell ref="F31:H31"/>
    <mergeCell ref="A37:H37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F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1:H61"/>
    <mergeCell ref="A67:C67"/>
    <mergeCell ref="A68:C68"/>
    <mergeCell ref="D67:H67"/>
    <mergeCell ref="A45:H45"/>
    <mergeCell ref="A50:H50"/>
    <mergeCell ref="D62:H62"/>
    <mergeCell ref="D66:H66"/>
    <mergeCell ref="A60:C66"/>
    <mergeCell ref="D65:H65"/>
    <mergeCell ref="D58:H58"/>
    <mergeCell ref="G55:H55"/>
    <mergeCell ref="C49:H49"/>
    <mergeCell ref="A51:B51"/>
    <mergeCell ref="C51:E51"/>
    <mergeCell ref="G51:H51"/>
    <mergeCell ref="A52:B52"/>
    <mergeCell ref="C52:E52"/>
    <mergeCell ref="G52:H52"/>
    <mergeCell ref="A53:B54"/>
    <mergeCell ref="C53:E53"/>
    <mergeCell ref="G53:H53"/>
    <mergeCell ref="C54:H54"/>
    <mergeCell ref="D68:H68"/>
    <mergeCell ref="A73:B73"/>
    <mergeCell ref="A71:B71"/>
    <mergeCell ref="C71:H71"/>
    <mergeCell ref="A79:B79"/>
    <mergeCell ref="A69:C69"/>
    <mergeCell ref="D69:H69"/>
    <mergeCell ref="C73:H73"/>
    <mergeCell ref="A76:B76"/>
    <mergeCell ref="A78:B78"/>
    <mergeCell ref="E74:F74"/>
    <mergeCell ref="G75:H84"/>
    <mergeCell ref="A83:B83"/>
    <mergeCell ref="A84:B84"/>
    <mergeCell ref="A81:B81"/>
    <mergeCell ref="A74:B74"/>
    <mergeCell ref="A77:B77"/>
    <mergeCell ref="A70:C70"/>
    <mergeCell ref="D70:H70"/>
    <mergeCell ref="A75:B75"/>
    <mergeCell ref="G74:H74"/>
    <mergeCell ref="E75:F84"/>
    <mergeCell ref="A80:B80"/>
    <mergeCell ref="A82:B82"/>
    <mergeCell ref="A601:H603"/>
    <mergeCell ref="A600:B600"/>
    <mergeCell ref="E600:F600"/>
    <mergeCell ref="C600:D600"/>
    <mergeCell ref="G600:H600"/>
    <mergeCell ref="A188:H188"/>
    <mergeCell ref="A186:E186"/>
    <mergeCell ref="F186:H186"/>
    <mergeCell ref="A187:E187"/>
    <mergeCell ref="F187:H187"/>
    <mergeCell ref="A372:H372"/>
    <mergeCell ref="A197:B197"/>
    <mergeCell ref="A384:B384"/>
    <mergeCell ref="A190:B190"/>
    <mergeCell ref="A596:H596"/>
    <mergeCell ref="A195:H195"/>
    <mergeCell ref="A599:H599"/>
    <mergeCell ref="A597:H597"/>
    <mergeCell ref="A581:H581"/>
    <mergeCell ref="C208:C209"/>
    <mergeCell ref="B367:B368"/>
    <mergeCell ref="A381:H381"/>
    <mergeCell ref="A222:B222"/>
    <mergeCell ref="A366:H366"/>
    <mergeCell ref="A598:H598"/>
    <mergeCell ref="A595:H595"/>
    <mergeCell ref="A373:B373"/>
    <mergeCell ref="A196:B196"/>
    <mergeCell ref="D367:D368"/>
    <mergeCell ref="E367:E368"/>
    <mergeCell ref="G367:H368"/>
    <mergeCell ref="A593:H593"/>
    <mergeCell ref="A594:H594"/>
    <mergeCell ref="C449:F449"/>
    <mergeCell ref="A283:B283"/>
    <mergeCell ref="A289:H289"/>
    <mergeCell ref="A290:B290"/>
    <mergeCell ref="G290:H290"/>
    <mergeCell ref="A308:B308"/>
    <mergeCell ref="A298:B298"/>
    <mergeCell ref="A367:A368"/>
    <mergeCell ref="A251:B251"/>
    <mergeCell ref="A252:B252"/>
    <mergeCell ref="A236:H236"/>
    <mergeCell ref="D208:D209"/>
    <mergeCell ref="A235:B235"/>
    <mergeCell ref="A383:B383"/>
    <mergeCell ref="A230:B230"/>
    <mergeCell ref="A173:B173"/>
    <mergeCell ref="A174:H174"/>
    <mergeCell ref="G190:H190"/>
    <mergeCell ref="E196:F196"/>
    <mergeCell ref="E189:F189"/>
    <mergeCell ref="B208:B209"/>
    <mergeCell ref="A208:A209"/>
    <mergeCell ref="C173:H173"/>
    <mergeCell ref="F177:H177"/>
    <mergeCell ref="C189:D189"/>
    <mergeCell ref="F178:H178"/>
    <mergeCell ref="F185:H185"/>
    <mergeCell ref="F183:H183"/>
    <mergeCell ref="A207:H207"/>
    <mergeCell ref="G189:H189"/>
    <mergeCell ref="A184:E184"/>
    <mergeCell ref="C190:D190"/>
    <mergeCell ref="E190:F190"/>
    <mergeCell ref="F180:H180"/>
    <mergeCell ref="A181:E181"/>
    <mergeCell ref="A183:E183"/>
    <mergeCell ref="A182:E182"/>
    <mergeCell ref="A178:E178"/>
    <mergeCell ref="A180:E180"/>
    <mergeCell ref="E197:F197"/>
    <mergeCell ref="A171:E171"/>
    <mergeCell ref="F171:H171"/>
    <mergeCell ref="A206:H206"/>
    <mergeCell ref="A189:B189"/>
    <mergeCell ref="A248:B248"/>
    <mergeCell ref="A157:B157"/>
    <mergeCell ref="C157:H157"/>
    <mergeCell ref="A159:B159"/>
    <mergeCell ref="C159:H159"/>
    <mergeCell ref="A160:B160"/>
    <mergeCell ref="E160:F160"/>
    <mergeCell ref="G160:H160"/>
    <mergeCell ref="A161:B161"/>
    <mergeCell ref="A194:B194"/>
    <mergeCell ref="C194:D194"/>
    <mergeCell ref="E194:F194"/>
    <mergeCell ref="G194:H194"/>
    <mergeCell ref="F182:H182"/>
    <mergeCell ref="E161:F170"/>
    <mergeCell ref="G161:H170"/>
    <mergeCell ref="A162:B162"/>
    <mergeCell ref="A166:B166"/>
    <mergeCell ref="A167:B167"/>
    <mergeCell ref="L245:M245"/>
    <mergeCell ref="A246:B246"/>
    <mergeCell ref="L246:M246"/>
    <mergeCell ref="A247:B247"/>
    <mergeCell ref="L247:M247"/>
    <mergeCell ref="L250:M250"/>
    <mergeCell ref="L237:M237"/>
    <mergeCell ref="A238:B238"/>
    <mergeCell ref="L238:M238"/>
    <mergeCell ref="A239:B239"/>
    <mergeCell ref="L239:M239"/>
    <mergeCell ref="A240:B240"/>
    <mergeCell ref="L240:M240"/>
    <mergeCell ref="A241:B241"/>
    <mergeCell ref="L241:M241"/>
    <mergeCell ref="A242:B242"/>
    <mergeCell ref="L242:M242"/>
    <mergeCell ref="A243:B243"/>
    <mergeCell ref="L243:M243"/>
    <mergeCell ref="A244:B244"/>
    <mergeCell ref="L244:M244"/>
    <mergeCell ref="L251:M251"/>
    <mergeCell ref="L252:M252"/>
    <mergeCell ref="E39:H39"/>
    <mergeCell ref="A39:D39"/>
    <mergeCell ref="A46:B46"/>
    <mergeCell ref="C46:E46"/>
    <mergeCell ref="G46:H46"/>
    <mergeCell ref="G48:H48"/>
    <mergeCell ref="D57:H57"/>
    <mergeCell ref="C48:E48"/>
    <mergeCell ref="D60:H60"/>
    <mergeCell ref="C47:E47"/>
    <mergeCell ref="A55:B55"/>
    <mergeCell ref="C55:E55"/>
    <mergeCell ref="A47:B47"/>
    <mergeCell ref="A56:H56"/>
    <mergeCell ref="A57:C57"/>
    <mergeCell ref="A58:C58"/>
    <mergeCell ref="L248:M248"/>
    <mergeCell ref="A249:B249"/>
    <mergeCell ref="L249:M249"/>
    <mergeCell ref="A250:B250"/>
    <mergeCell ref="A237:B237"/>
    <mergeCell ref="G237:H259"/>
    <mergeCell ref="L253:M253"/>
    <mergeCell ref="A254:B254"/>
    <mergeCell ref="L254:M254"/>
    <mergeCell ref="A255:B255"/>
    <mergeCell ref="L255:M255"/>
    <mergeCell ref="A256:B256"/>
    <mergeCell ref="L256:M256"/>
    <mergeCell ref="A257:B257"/>
    <mergeCell ref="L257:M257"/>
    <mergeCell ref="L258:M258"/>
    <mergeCell ref="A259:B259"/>
    <mergeCell ref="L259:M259"/>
    <mergeCell ref="A410:B410"/>
    <mergeCell ref="A411:B411"/>
    <mergeCell ref="C392:F392"/>
    <mergeCell ref="G391:H398"/>
    <mergeCell ref="A395:B395"/>
    <mergeCell ref="A396:B396"/>
    <mergeCell ref="A397:B397"/>
    <mergeCell ref="A398:B398"/>
    <mergeCell ref="L370:M370"/>
    <mergeCell ref="A388:B388"/>
    <mergeCell ref="A274:B274"/>
    <mergeCell ref="L274:M274"/>
    <mergeCell ref="A275:B275"/>
    <mergeCell ref="A273:B273"/>
    <mergeCell ref="L273:M273"/>
    <mergeCell ref="L275:M275"/>
    <mergeCell ref="A276:B276"/>
    <mergeCell ref="L276:M276"/>
    <mergeCell ref="A277:B277"/>
    <mergeCell ref="L277:M277"/>
    <mergeCell ref="A278:B278"/>
    <mergeCell ref="A168:B168"/>
    <mergeCell ref="A169:B169"/>
    <mergeCell ref="A170:B170"/>
    <mergeCell ref="C145:H145"/>
    <mergeCell ref="A146:B146"/>
    <mergeCell ref="E146:F146"/>
    <mergeCell ref="G146:H146"/>
    <mergeCell ref="A147:B147"/>
    <mergeCell ref="E147:F156"/>
    <mergeCell ref="G147:H156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63:B163"/>
    <mergeCell ref="A164:B164"/>
    <mergeCell ref="A165:B165"/>
    <mergeCell ref="A101:B101"/>
    <mergeCell ref="C101:H101"/>
    <mergeCell ref="A103:B103"/>
    <mergeCell ref="C103:H103"/>
    <mergeCell ref="A104:B104"/>
    <mergeCell ref="E104:F104"/>
    <mergeCell ref="G104:H104"/>
    <mergeCell ref="A105:B105"/>
    <mergeCell ref="E105:F114"/>
    <mergeCell ref="G105:H114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L281:M281"/>
    <mergeCell ref="A282:B282"/>
    <mergeCell ref="L282:M282"/>
    <mergeCell ref="A143:B143"/>
    <mergeCell ref="C143:H143"/>
    <mergeCell ref="A269:B269"/>
    <mergeCell ref="L269:M269"/>
    <mergeCell ref="A270:B270"/>
    <mergeCell ref="L270:M270"/>
    <mergeCell ref="A271:B271"/>
    <mergeCell ref="L271:M271"/>
    <mergeCell ref="A272:B272"/>
    <mergeCell ref="L272:M272"/>
    <mergeCell ref="A261:H261"/>
    <mergeCell ref="A262:H262"/>
    <mergeCell ref="A265:B265"/>
    <mergeCell ref="L265:M265"/>
    <mergeCell ref="A266:B266"/>
    <mergeCell ref="L266:M266"/>
    <mergeCell ref="A267:B267"/>
    <mergeCell ref="L267:M267"/>
    <mergeCell ref="A268:B268"/>
    <mergeCell ref="L268:M268"/>
    <mergeCell ref="A145:B145"/>
    <mergeCell ref="L290:M290"/>
    <mergeCell ref="A263:B263"/>
    <mergeCell ref="L263:M263"/>
    <mergeCell ref="A264:B264"/>
    <mergeCell ref="L264:M264"/>
    <mergeCell ref="A291:H291"/>
    <mergeCell ref="A292:B292"/>
    <mergeCell ref="L292:M292"/>
    <mergeCell ref="G263:H288"/>
    <mergeCell ref="L283:M283"/>
    <mergeCell ref="A284:B284"/>
    <mergeCell ref="L284:M284"/>
    <mergeCell ref="A285:B285"/>
    <mergeCell ref="L285:M285"/>
    <mergeCell ref="A286:B286"/>
    <mergeCell ref="L286:M286"/>
    <mergeCell ref="A287:B287"/>
    <mergeCell ref="L287:M287"/>
    <mergeCell ref="L278:M278"/>
    <mergeCell ref="A279:B279"/>
    <mergeCell ref="L279:M279"/>
    <mergeCell ref="A280:B280"/>
    <mergeCell ref="L280:M280"/>
    <mergeCell ref="A281:B281"/>
    <mergeCell ref="L315:M315"/>
    <mergeCell ref="L308:M308"/>
    <mergeCell ref="A303:B303"/>
    <mergeCell ref="L303:M303"/>
    <mergeCell ref="A304:B304"/>
    <mergeCell ref="L304:M304"/>
    <mergeCell ref="A305:B305"/>
    <mergeCell ref="L305:M305"/>
    <mergeCell ref="A306:B306"/>
    <mergeCell ref="L306:M306"/>
    <mergeCell ref="A307:B307"/>
    <mergeCell ref="L307:M307"/>
    <mergeCell ref="L288:M288"/>
    <mergeCell ref="A309:B309"/>
    <mergeCell ref="L309:M309"/>
    <mergeCell ref="A310:B310"/>
    <mergeCell ref="L310:M310"/>
    <mergeCell ref="A311:B311"/>
    <mergeCell ref="L311:M311"/>
    <mergeCell ref="A312:B312"/>
    <mergeCell ref="L312:M312"/>
    <mergeCell ref="A300:B300"/>
    <mergeCell ref="L300:M300"/>
    <mergeCell ref="A301:B301"/>
    <mergeCell ref="L301:M301"/>
    <mergeCell ref="A302:B302"/>
    <mergeCell ref="L302:M302"/>
    <mergeCell ref="A293:B293"/>
    <mergeCell ref="L293:M293"/>
    <mergeCell ref="A294:B294"/>
    <mergeCell ref="L294:M294"/>
    <mergeCell ref="A295:B295"/>
    <mergeCell ref="L295:M295"/>
    <mergeCell ref="L298:M298"/>
    <mergeCell ref="A299:B299"/>
    <mergeCell ref="L296:M296"/>
    <mergeCell ref="L297:M297"/>
    <mergeCell ref="L324:M324"/>
    <mergeCell ref="A325:B325"/>
    <mergeCell ref="L325:M325"/>
    <mergeCell ref="A326:B326"/>
    <mergeCell ref="L326:M326"/>
    <mergeCell ref="A317:B317"/>
    <mergeCell ref="L317:M317"/>
    <mergeCell ref="A318:B318"/>
    <mergeCell ref="L318:M318"/>
    <mergeCell ref="A319:B319"/>
    <mergeCell ref="L319:M319"/>
    <mergeCell ref="A320:B320"/>
    <mergeCell ref="L320:M320"/>
    <mergeCell ref="A321:B321"/>
    <mergeCell ref="L321:M321"/>
    <mergeCell ref="A316:B316"/>
    <mergeCell ref="L316:M316"/>
    <mergeCell ref="L299:M299"/>
    <mergeCell ref="A313:B313"/>
    <mergeCell ref="L313:M313"/>
    <mergeCell ref="A314:B314"/>
    <mergeCell ref="L314:M314"/>
    <mergeCell ref="A315:B315"/>
    <mergeCell ref="A475:H475"/>
    <mergeCell ref="L475:M475"/>
    <mergeCell ref="A476:B476"/>
    <mergeCell ref="A477:B477"/>
    <mergeCell ref="A478:B478"/>
    <mergeCell ref="A479:B479"/>
    <mergeCell ref="A480:B480"/>
    <mergeCell ref="A327:B327"/>
    <mergeCell ref="L327:M327"/>
    <mergeCell ref="A328:B328"/>
    <mergeCell ref="L328:M328"/>
    <mergeCell ref="A329:B329"/>
    <mergeCell ref="L329:M329"/>
    <mergeCell ref="A330:B330"/>
    <mergeCell ref="L330:M330"/>
    <mergeCell ref="A474:H474"/>
    <mergeCell ref="L474:M474"/>
    <mergeCell ref="G292:H330"/>
    <mergeCell ref="A322:B322"/>
    <mergeCell ref="L322:M322"/>
    <mergeCell ref="A323:B323"/>
    <mergeCell ref="L323:M323"/>
    <mergeCell ref="A324:B324"/>
    <mergeCell ref="A296:B296"/>
    <mergeCell ref="B589:H589"/>
    <mergeCell ref="B590:H590"/>
    <mergeCell ref="A555:B555"/>
    <mergeCell ref="A556:B556"/>
    <mergeCell ref="A553:H553"/>
    <mergeCell ref="B587:H587"/>
    <mergeCell ref="B588:H588"/>
    <mergeCell ref="B582:H582"/>
    <mergeCell ref="B583:H583"/>
    <mergeCell ref="B584:H584"/>
    <mergeCell ref="B585:H585"/>
    <mergeCell ref="B586:H586"/>
    <mergeCell ref="A554:H554"/>
    <mergeCell ref="A566:B566"/>
    <mergeCell ref="A567:B567"/>
    <mergeCell ref="A568:B568"/>
    <mergeCell ref="A569:B569"/>
    <mergeCell ref="A570:B570"/>
    <mergeCell ref="C555:F558"/>
    <mergeCell ref="A562:B562"/>
    <mergeCell ref="A557:B557"/>
    <mergeCell ref="A558:B558"/>
    <mergeCell ref="A571:B571"/>
    <mergeCell ref="A572:H572"/>
    <mergeCell ref="A462:H462"/>
    <mergeCell ref="A463:B463"/>
    <mergeCell ref="L554:M554"/>
    <mergeCell ref="A559:B559"/>
    <mergeCell ref="A560:B560"/>
    <mergeCell ref="A561:B561"/>
    <mergeCell ref="A563:H563"/>
    <mergeCell ref="A564:B564"/>
    <mergeCell ref="A565:B565"/>
    <mergeCell ref="G555:H562"/>
    <mergeCell ref="L553:M553"/>
    <mergeCell ref="A497:H497"/>
    <mergeCell ref="A486:H486"/>
    <mergeCell ref="A493:B493"/>
    <mergeCell ref="A494:B494"/>
    <mergeCell ref="A495:B495"/>
    <mergeCell ref="A496:B496"/>
    <mergeCell ref="A492:B492"/>
    <mergeCell ref="A498:B498"/>
    <mergeCell ref="G498:H507"/>
    <mergeCell ref="A499:B499"/>
    <mergeCell ref="A500:B500"/>
    <mergeCell ref="A501:B501"/>
    <mergeCell ref="A502:B502"/>
    <mergeCell ref="A573:B573"/>
    <mergeCell ref="A574:B574"/>
    <mergeCell ref="A575:B575"/>
    <mergeCell ref="A576:B576"/>
    <mergeCell ref="A577:B577"/>
    <mergeCell ref="A578:B578"/>
    <mergeCell ref="A579:B579"/>
    <mergeCell ref="D63:H63"/>
    <mergeCell ref="D64:H64"/>
    <mergeCell ref="A465:B465"/>
    <mergeCell ref="A466:B466"/>
    <mergeCell ref="A467:B467"/>
    <mergeCell ref="A468:H468"/>
    <mergeCell ref="A469:B469"/>
    <mergeCell ref="G469:H473"/>
    <mergeCell ref="A470:B470"/>
    <mergeCell ref="A471:B471"/>
    <mergeCell ref="A472:B472"/>
    <mergeCell ref="C472:F472"/>
    <mergeCell ref="A473:B473"/>
    <mergeCell ref="A490:B490"/>
    <mergeCell ref="A491:B491"/>
    <mergeCell ref="G487:H496"/>
    <mergeCell ref="A545:H545"/>
    <mergeCell ref="A580:B580"/>
    <mergeCell ref="C578:F578"/>
    <mergeCell ref="A191:B191"/>
    <mergeCell ref="C191:D191"/>
    <mergeCell ref="E191:F191"/>
    <mergeCell ref="G191:H191"/>
    <mergeCell ref="A200:B200"/>
    <mergeCell ref="C200:D200"/>
    <mergeCell ref="E200:F200"/>
    <mergeCell ref="G200:H200"/>
    <mergeCell ref="A203:B203"/>
    <mergeCell ref="C203:D203"/>
    <mergeCell ref="E203:F203"/>
    <mergeCell ref="G203:H203"/>
    <mergeCell ref="A204:B204"/>
    <mergeCell ref="C204:D204"/>
    <mergeCell ref="E204:F204"/>
    <mergeCell ref="G204:H204"/>
    <mergeCell ref="A193:B193"/>
    <mergeCell ref="C193:D193"/>
    <mergeCell ref="E193:F193"/>
    <mergeCell ref="G193:H193"/>
    <mergeCell ref="G463:H467"/>
    <mergeCell ref="A464:B464"/>
    <mergeCell ref="L455:M455"/>
    <mergeCell ref="A456:H456"/>
    <mergeCell ref="L456:M456"/>
    <mergeCell ref="A457:B457"/>
    <mergeCell ref="G457:H461"/>
    <mergeCell ref="A458:B458"/>
    <mergeCell ref="A459:B459"/>
    <mergeCell ref="A460:B460"/>
    <mergeCell ref="A461:B461"/>
    <mergeCell ref="A455:H455"/>
    <mergeCell ref="L536:M536"/>
    <mergeCell ref="A537:H537"/>
    <mergeCell ref="L537:M537"/>
    <mergeCell ref="A538:B538"/>
    <mergeCell ref="G538:H544"/>
    <mergeCell ref="A539:B539"/>
    <mergeCell ref="A540:B540"/>
    <mergeCell ref="A541:B541"/>
    <mergeCell ref="A542:B542"/>
    <mergeCell ref="A543:B543"/>
    <mergeCell ref="A544:B544"/>
    <mergeCell ref="A546:B546"/>
    <mergeCell ref="G546:H552"/>
    <mergeCell ref="A547:B547"/>
    <mergeCell ref="A548:B548"/>
    <mergeCell ref="A549:B549"/>
    <mergeCell ref="A550:B550"/>
    <mergeCell ref="A551:B551"/>
    <mergeCell ref="A552:B552"/>
    <mergeCell ref="A536:H536"/>
    <mergeCell ref="A481:B481"/>
    <mergeCell ref="A482:B482"/>
    <mergeCell ref="A483:B483"/>
    <mergeCell ref="A484:B484"/>
    <mergeCell ref="A485:B485"/>
    <mergeCell ref="C482:F482"/>
    <mergeCell ref="A487:B487"/>
    <mergeCell ref="A488:B488"/>
    <mergeCell ref="A489:B489"/>
    <mergeCell ref="A515:B515"/>
    <mergeCell ref="A513:B513"/>
    <mergeCell ref="C513:F513"/>
    <mergeCell ref="A505:B505"/>
    <mergeCell ref="A506:B506"/>
    <mergeCell ref="A507:B507"/>
    <mergeCell ref="C498:F498"/>
    <mergeCell ref="A508:H508"/>
    <mergeCell ref="L508:M508"/>
    <mergeCell ref="A509:H509"/>
    <mergeCell ref="L509:M509"/>
    <mergeCell ref="A510:B510"/>
    <mergeCell ref="A503:B503"/>
    <mergeCell ref="A504:B504"/>
    <mergeCell ref="A530:B530"/>
    <mergeCell ref="A531:B531"/>
    <mergeCell ref="A532:B532"/>
    <mergeCell ref="A533:B533"/>
    <mergeCell ref="A534:B534"/>
    <mergeCell ref="A535:B535"/>
    <mergeCell ref="C535:F535"/>
    <mergeCell ref="A527:H527"/>
    <mergeCell ref="A516:B516"/>
    <mergeCell ref="A517:B517"/>
    <mergeCell ref="A518:H518"/>
    <mergeCell ref="A519:B519"/>
    <mergeCell ref="G519:H526"/>
    <mergeCell ref="A520:B520"/>
    <mergeCell ref="A521:B521"/>
    <mergeCell ref="A522:B522"/>
    <mergeCell ref="A523:B523"/>
    <mergeCell ref="A524:B524"/>
    <mergeCell ref="A525:B525"/>
    <mergeCell ref="A526:B526"/>
    <mergeCell ref="G510:H517"/>
    <mergeCell ref="A511:B511"/>
    <mergeCell ref="A512:B512"/>
    <mergeCell ref="A514:B514"/>
    <mergeCell ref="B592:H592"/>
    <mergeCell ref="G85:H86"/>
    <mergeCell ref="A85:B86"/>
    <mergeCell ref="C85:D86"/>
    <mergeCell ref="E85:F86"/>
    <mergeCell ref="B591:H591"/>
    <mergeCell ref="G573:H580"/>
    <mergeCell ref="G564:H571"/>
    <mergeCell ref="G476:H485"/>
    <mergeCell ref="A192:B192"/>
    <mergeCell ref="C192:D192"/>
    <mergeCell ref="E192:F192"/>
    <mergeCell ref="G192:H192"/>
    <mergeCell ref="A201:B201"/>
    <mergeCell ref="C201:D201"/>
    <mergeCell ref="E201:F201"/>
    <mergeCell ref="G201:H201"/>
    <mergeCell ref="A202:B202"/>
    <mergeCell ref="C202:D202"/>
    <mergeCell ref="E202:F202"/>
    <mergeCell ref="G202:H202"/>
    <mergeCell ref="A528:B528"/>
    <mergeCell ref="G528:H535"/>
    <mergeCell ref="A529:B529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                                         &amp;P</oddFooter>
  </headerFooter>
  <rowBreaks count="5" manualBreakCount="5">
    <brk id="59" max="16383" man="1"/>
    <brk id="603" max="16383" man="1"/>
    <brk id="648" max="16383" man="1"/>
    <brk id="687" max="16383" man="1"/>
    <brk id="7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9"/>
  <sheetViews>
    <sheetView topLeftCell="A19" workbookViewId="0">
      <selection activeCell="N38" sqref="N38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76</v>
      </c>
      <c r="C2" s="217"/>
      <c r="D2" s="217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77</v>
      </c>
      <c r="B4" s="5" t="s">
        <v>78</v>
      </c>
      <c r="C4" s="218" t="s">
        <v>79</v>
      </c>
      <c r="D4" s="218"/>
      <c r="E4" s="218"/>
      <c r="F4" s="6"/>
      <c r="G4" s="218" t="s">
        <v>80</v>
      </c>
      <c r="H4" s="218"/>
      <c r="I4" s="218"/>
      <c r="J4" s="218" t="s">
        <v>81</v>
      </c>
      <c r="K4" s="218"/>
      <c r="L4" s="218"/>
    </row>
    <row r="5" spans="1:12" x14ac:dyDescent="0.35">
      <c r="A5" s="3">
        <v>202</v>
      </c>
      <c r="B5" s="5"/>
      <c r="C5" s="5" t="s">
        <v>82</v>
      </c>
      <c r="D5" s="5" t="s">
        <v>83</v>
      </c>
      <c r="E5" s="5" t="s">
        <v>60</v>
      </c>
      <c r="F5" s="5"/>
      <c r="G5" s="5" t="s">
        <v>82</v>
      </c>
      <c r="H5" s="5" t="s">
        <v>83</v>
      </c>
      <c r="I5" s="5" t="s">
        <v>60</v>
      </c>
      <c r="J5" s="5" t="s">
        <v>82</v>
      </c>
      <c r="K5" s="5" t="s">
        <v>83</v>
      </c>
      <c r="L5" s="5" t="s">
        <v>60</v>
      </c>
    </row>
    <row r="6" spans="1:12" x14ac:dyDescent="0.35">
      <c r="B6" s="7" t="s">
        <v>84</v>
      </c>
      <c r="C6" s="7">
        <v>2.9</v>
      </c>
      <c r="D6" s="7">
        <v>4.9400000000000004</v>
      </c>
      <c r="E6" s="7">
        <f>C6*D6</f>
        <v>14.326000000000001</v>
      </c>
      <c r="F6" s="7" t="s">
        <v>85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>
        <v>1.25</v>
      </c>
      <c r="D7" s="7">
        <v>2.0499999999999998</v>
      </c>
      <c r="E7" s="7">
        <f t="shared" ref="E7:E33" si="0">C7*D7</f>
        <v>2.5625</v>
      </c>
      <c r="F7" s="7" t="s">
        <v>86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87</v>
      </c>
      <c r="C9" s="7">
        <v>2.13</v>
      </c>
      <c r="D9" s="7">
        <v>2.9</v>
      </c>
      <c r="E9" s="7">
        <f t="shared" si="0"/>
        <v>6.1769999999999996</v>
      </c>
      <c r="F9" s="7" t="s">
        <v>85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88</v>
      </c>
      <c r="C13" s="7">
        <v>2.76</v>
      </c>
      <c r="D13" s="7">
        <v>3.2</v>
      </c>
      <c r="E13" s="7">
        <f t="shared" si="0"/>
        <v>8.831999999999999</v>
      </c>
      <c r="F13" s="7" t="s">
        <v>85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89</v>
      </c>
      <c r="C17" s="7">
        <v>3.05</v>
      </c>
      <c r="D17" s="7">
        <v>3.2</v>
      </c>
      <c r="E17" s="7">
        <f t="shared" si="0"/>
        <v>9.76</v>
      </c>
      <c r="F17" s="7" t="s">
        <v>85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89</v>
      </c>
      <c r="C20" s="7"/>
      <c r="D20" s="7"/>
      <c r="E20" s="7">
        <f t="shared" si="0"/>
        <v>0</v>
      </c>
      <c r="F20" s="7" t="s">
        <v>85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90</v>
      </c>
      <c r="C23" s="7">
        <v>1.35</v>
      </c>
      <c r="D23" s="7">
        <v>1.82</v>
      </c>
      <c r="E23" s="7">
        <f t="shared" si="0"/>
        <v>2.4570000000000003</v>
      </c>
      <c r="F23" s="7" t="s">
        <v>91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92</v>
      </c>
      <c r="C24" s="7">
        <v>1.23</v>
      </c>
      <c r="D24" s="7">
        <v>2.15</v>
      </c>
      <c r="E24" s="7">
        <f t="shared" si="0"/>
        <v>2.6444999999999999</v>
      </c>
      <c r="F24" s="7" t="s">
        <v>91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93</v>
      </c>
      <c r="C25" s="7"/>
      <c r="D25" s="7"/>
      <c r="E25" s="7">
        <f t="shared" si="0"/>
        <v>0</v>
      </c>
      <c r="F25" s="7" t="s">
        <v>91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94</v>
      </c>
      <c r="C27" s="7">
        <v>2.13</v>
      </c>
      <c r="D27" s="7">
        <v>0.9</v>
      </c>
      <c r="E27" s="7">
        <f t="shared" si="0"/>
        <v>1.917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95</v>
      </c>
      <c r="C28" s="7">
        <v>1</v>
      </c>
      <c r="D28" s="7">
        <v>0.9</v>
      </c>
      <c r="E28" s="7">
        <f t="shared" si="0"/>
        <v>0.9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96</v>
      </c>
      <c r="C29" s="7">
        <v>1.95</v>
      </c>
      <c r="D29" s="7">
        <v>0.6</v>
      </c>
      <c r="E29" s="7">
        <f t="shared" si="0"/>
        <v>1.17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>
        <v>2.9</v>
      </c>
      <c r="H32" s="7">
        <v>1.52</v>
      </c>
      <c r="I32" s="7">
        <f>G32*H32</f>
        <v>4.4079999999999995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61</v>
      </c>
      <c r="C34" s="7"/>
      <c r="D34" s="7">
        <f>E34*10.764</f>
        <v>546.22994400000005</v>
      </c>
      <c r="E34" s="7">
        <f>SUM(E6:E33)</f>
        <v>50.746000000000002</v>
      </c>
      <c r="F34" s="7"/>
      <c r="G34" s="7"/>
      <c r="H34" s="7">
        <f>I34*10.764</f>
        <v>47.447711999999989</v>
      </c>
      <c r="I34" s="7">
        <f>SUM(I6:I33)</f>
        <v>4.4079999999999995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593.67765600000007</v>
      </c>
      <c r="E36">
        <f>E34+I34</f>
        <v>55.154000000000003</v>
      </c>
    </row>
    <row r="38" spans="2:12" x14ac:dyDescent="0.35">
      <c r="H38">
        <f>(2.9*7.5)</f>
        <v>21.75</v>
      </c>
    </row>
    <row r="39" spans="2:12" x14ac:dyDescent="0.35">
      <c r="H39">
        <f>(2.9*1.2)</f>
        <v>3.48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G5" sqref="G5:G8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/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219" t="s">
        <v>143</v>
      </c>
      <c r="C3" s="219"/>
      <c r="D3" s="219"/>
      <c r="E3" s="219"/>
      <c r="F3" s="219"/>
      <c r="G3" s="219"/>
      <c r="H3" s="219"/>
    </row>
    <row r="4" spans="1:9" x14ac:dyDescent="0.35">
      <c r="A4" s="24"/>
      <c r="B4" s="25" t="s">
        <v>144</v>
      </c>
      <c r="C4" s="25" t="s">
        <v>145</v>
      </c>
      <c r="D4" s="25" t="s">
        <v>77</v>
      </c>
      <c r="E4" s="25" t="s">
        <v>146</v>
      </c>
      <c r="F4" s="25" t="s">
        <v>151</v>
      </c>
      <c r="G4" s="25" t="s">
        <v>152</v>
      </c>
      <c r="H4" s="25" t="s">
        <v>147</v>
      </c>
    </row>
    <row r="5" spans="1:9" ht="15" customHeight="1" x14ac:dyDescent="0.35">
      <c r="A5" s="24"/>
      <c r="B5" s="27" t="s">
        <v>148</v>
      </c>
      <c r="C5" s="49" t="s">
        <v>188</v>
      </c>
      <c r="D5" s="50" t="s">
        <v>203</v>
      </c>
      <c r="E5" s="27">
        <f>51.47*10.764</f>
        <v>554.02307999999994</v>
      </c>
      <c r="F5" s="29">
        <f>E5*1.6</f>
        <v>886.43692799999997</v>
      </c>
      <c r="G5" s="29">
        <f>H5/F5</f>
        <v>8460.8388516954928</v>
      </c>
      <c r="H5" s="30">
        <v>7500000</v>
      </c>
    </row>
    <row r="6" spans="1:9" x14ac:dyDescent="0.35">
      <c r="A6" s="24"/>
      <c r="B6" s="27" t="s">
        <v>148</v>
      </c>
      <c r="C6" s="49" t="s">
        <v>188</v>
      </c>
      <c r="D6" s="50" t="s">
        <v>204</v>
      </c>
      <c r="E6" s="27">
        <v>0</v>
      </c>
      <c r="F6" s="29">
        <v>620</v>
      </c>
      <c r="G6" s="29">
        <f t="shared" ref="G6:G11" si="0">H6/F6</f>
        <v>6290.322580645161</v>
      </c>
      <c r="H6" s="30">
        <v>3900000</v>
      </c>
    </row>
    <row r="7" spans="1:9" ht="15" customHeight="1" x14ac:dyDescent="0.35">
      <c r="A7" s="24"/>
      <c r="B7" s="27" t="s">
        <v>148</v>
      </c>
      <c r="C7" s="49" t="s">
        <v>188</v>
      </c>
      <c r="D7" s="50" t="s">
        <v>204</v>
      </c>
      <c r="E7" s="27">
        <v>390</v>
      </c>
      <c r="F7" s="29">
        <f t="shared" ref="F7:F11" si="1">E7*1.6</f>
        <v>624</v>
      </c>
      <c r="G7" s="29">
        <f t="shared" si="0"/>
        <v>5368.5897435897432</v>
      </c>
      <c r="H7" s="30">
        <v>3350000</v>
      </c>
    </row>
    <row r="8" spans="1:9" x14ac:dyDescent="0.35">
      <c r="A8" s="24"/>
      <c r="B8" s="27" t="s">
        <v>148</v>
      </c>
      <c r="C8" s="49" t="s">
        <v>188</v>
      </c>
      <c r="D8" s="50" t="s">
        <v>204</v>
      </c>
      <c r="E8" s="27">
        <v>458</v>
      </c>
      <c r="F8" s="29">
        <f t="shared" si="1"/>
        <v>732.80000000000007</v>
      </c>
      <c r="G8" s="29">
        <f t="shared" si="0"/>
        <v>5867.903930131004</v>
      </c>
      <c r="H8" s="30">
        <v>4300000</v>
      </c>
    </row>
    <row r="9" spans="1:9" ht="15" customHeight="1" x14ac:dyDescent="0.35">
      <c r="A9" s="24"/>
      <c r="B9" s="27" t="s">
        <v>148</v>
      </c>
      <c r="C9" s="49" t="s">
        <v>188</v>
      </c>
      <c r="D9" s="27"/>
      <c r="E9" s="27"/>
      <c r="F9" s="29">
        <f t="shared" si="1"/>
        <v>0</v>
      </c>
      <c r="G9" s="29" t="e">
        <f t="shared" si="0"/>
        <v>#DIV/0!</v>
      </c>
      <c r="H9" s="30"/>
    </row>
    <row r="10" spans="1:9" ht="15" customHeight="1" x14ac:dyDescent="0.35">
      <c r="A10" s="24"/>
      <c r="B10" s="27" t="s">
        <v>148</v>
      </c>
      <c r="C10" s="28"/>
      <c r="D10" s="27"/>
      <c r="E10" s="27"/>
      <c r="F10" s="29">
        <f t="shared" si="1"/>
        <v>0</v>
      </c>
      <c r="G10" s="29" t="e">
        <f t="shared" si="0"/>
        <v>#DIV/0!</v>
      </c>
      <c r="H10" s="30"/>
    </row>
    <row r="11" spans="1:9" ht="15" customHeight="1" x14ac:dyDescent="0.35">
      <c r="A11" s="24"/>
      <c r="B11" s="27" t="s">
        <v>148</v>
      </c>
      <c r="C11" s="28"/>
      <c r="D11" s="27"/>
      <c r="E11" s="27"/>
      <c r="F11" s="29">
        <f t="shared" si="1"/>
        <v>0</v>
      </c>
      <c r="G11" s="29" t="e">
        <f t="shared" si="0"/>
        <v>#DIV/0!</v>
      </c>
      <c r="H11" s="30"/>
    </row>
    <row r="12" spans="1:9" ht="15" customHeight="1" x14ac:dyDescent="0.35">
      <c r="A12" s="24"/>
      <c r="B12" s="31" t="s">
        <v>149</v>
      </c>
      <c r="C12" s="27"/>
      <c r="D12" s="27"/>
      <c r="E12" s="27"/>
      <c r="F12" s="27"/>
      <c r="G12" s="32" t="e">
        <f>AVERAGE(G5:G11)</f>
        <v>#DIV/0!</v>
      </c>
      <c r="H12" s="27"/>
    </row>
    <row r="13" spans="1:9" ht="15" customHeight="1" x14ac:dyDescent="0.35">
      <c r="B13" s="31" t="s">
        <v>150</v>
      </c>
      <c r="C13" s="27"/>
      <c r="D13" s="27"/>
      <c r="E13" s="27"/>
      <c r="F13" s="33"/>
      <c r="G13" s="31"/>
      <c r="H13" s="31"/>
      <c r="I13" s="26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2025-10-04T07:12:23Z</cp:lastPrinted>
  <dcterms:created xsi:type="dcterms:W3CDTF">2019-07-16T09:29:46Z</dcterms:created>
  <dcterms:modified xsi:type="dcterms:W3CDTF">2025-10-04T07:13:36Z</dcterms:modified>
</cp:coreProperties>
</file>