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hruti\Oct 25\Old\"/>
    </mc:Choice>
  </mc:AlternateContent>
  <bookViews>
    <workbookView xWindow="0" yWindow="0" windowWidth="20490" windowHeight="7755"/>
  </bookViews>
  <sheets>
    <sheet name="Report" sheetId="1" r:id="rId1"/>
    <sheet name="C%" sheetId="4" r:id="rId2"/>
  </sheets>
  <definedNames>
    <definedName name="_xlnm.Print_Area" localSheetId="0">Report!$A$1:$H$364</definedName>
  </definedNames>
  <calcPr calcId="152511"/>
</workbook>
</file>

<file path=xl/calcChain.xml><?xml version="1.0" encoding="utf-8"?>
<calcChain xmlns="http://schemas.openxmlformats.org/spreadsheetml/2006/main">
  <c r="A204" i="1" l="1"/>
  <c r="J84" i="1" l="1"/>
  <c r="J83" i="1"/>
  <c r="J82" i="1"/>
  <c r="J81" i="1"/>
  <c r="H74" i="1"/>
  <c r="J79" i="1" l="1"/>
  <c r="J80" i="1" s="1"/>
  <c r="J85" i="1" s="1"/>
  <c r="J86" i="1" s="1"/>
  <c r="E78" i="1" s="1"/>
  <c r="F85" i="1"/>
  <c r="F83" i="1"/>
  <c r="F81" i="1"/>
  <c r="F79" i="1"/>
  <c r="J77" i="1"/>
  <c r="J76" i="1"/>
  <c r="J78" i="1"/>
  <c r="E77" i="1" s="1"/>
  <c r="F77" i="1" s="1"/>
  <c r="F86" i="1"/>
  <c r="F84" i="1"/>
  <c r="F82" i="1"/>
  <c r="F80" i="1"/>
  <c r="G77" i="1" l="1"/>
  <c r="I73" i="1" s="1"/>
  <c r="C75" i="1" s="1"/>
  <c r="F78" i="1"/>
  <c r="E157" i="1" l="1"/>
  <c r="E188" i="1" l="1"/>
  <c r="D188" i="1"/>
  <c r="E190" i="1"/>
  <c r="D190" i="1"/>
  <c r="E189" i="1"/>
  <c r="D189" i="1"/>
  <c r="E186" i="1"/>
  <c r="D186" i="1"/>
  <c r="E185" i="1"/>
  <c r="D185" i="1"/>
  <c r="E184" i="1"/>
  <c r="D184" i="1"/>
  <c r="E181" i="1"/>
  <c r="D181" i="1"/>
  <c r="E180" i="1"/>
  <c r="D180" i="1"/>
  <c r="E178" i="1"/>
  <c r="D178" i="1"/>
  <c r="E177" i="1"/>
  <c r="D177" i="1"/>
  <c r="E176" i="1"/>
  <c r="D176" i="1"/>
  <c r="E179" i="1"/>
  <c r="D179" i="1"/>
  <c r="D137" i="1"/>
  <c r="D170" i="1"/>
  <c r="D145" i="1"/>
  <c r="E170" i="1" l="1"/>
  <c r="F170" i="1"/>
  <c r="H170" i="1" s="1"/>
  <c r="E169" i="1"/>
  <c r="D169" i="1"/>
  <c r="E168" i="1"/>
  <c r="D168" i="1"/>
  <c r="E135" i="1"/>
  <c r="D135" i="1"/>
  <c r="E134" i="1"/>
  <c r="D134" i="1"/>
  <c r="E137" i="1"/>
  <c r="E133" i="1"/>
  <c r="D133" i="1"/>
  <c r="E136" i="1"/>
  <c r="D136" i="1"/>
  <c r="D157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5" i="1"/>
  <c r="D155" i="1"/>
  <c r="I155" i="1"/>
  <c r="E153" i="1"/>
  <c r="D153" i="1"/>
  <c r="E152" i="1"/>
  <c r="D152" i="1"/>
  <c r="E149" i="1"/>
  <c r="E148" i="1"/>
  <c r="E147" i="1"/>
  <c r="E151" i="1"/>
  <c r="D151" i="1"/>
  <c r="E150" i="1"/>
  <c r="D150" i="1"/>
  <c r="D149" i="1"/>
  <c r="D148" i="1"/>
  <c r="E146" i="1"/>
  <c r="D146" i="1"/>
  <c r="E145" i="1"/>
  <c r="E144" i="1"/>
  <c r="D144" i="1"/>
  <c r="F136" i="1" l="1"/>
  <c r="H136" i="1" s="1"/>
  <c r="F169" i="1"/>
  <c r="H169" i="1" s="1"/>
  <c r="F168" i="1"/>
  <c r="F137" i="1"/>
  <c r="H137" i="1" s="1"/>
  <c r="F135" i="1"/>
  <c r="H135" i="1" s="1"/>
  <c r="H168" i="1" l="1"/>
  <c r="J150" i="1"/>
  <c r="D147" i="1"/>
  <c r="I146" i="1"/>
  <c r="I145" i="1"/>
  <c r="I144" i="1"/>
  <c r="J140" i="1"/>
  <c r="J134" i="1"/>
  <c r="J133" i="1"/>
  <c r="K134" i="1"/>
  <c r="I27" i="1" l="1"/>
  <c r="I182" i="1" l="1"/>
  <c r="I178" i="1"/>
  <c r="I172" i="1"/>
  <c r="I176" i="1"/>
  <c r="I134" i="1"/>
  <c r="I141" i="1"/>
  <c r="G28" i="1" l="1"/>
  <c r="F188" i="1"/>
  <c r="H188" i="1" s="1"/>
  <c r="F190" i="1"/>
  <c r="H190" i="1" s="1"/>
  <c r="K190" i="1" s="1"/>
  <c r="F186" i="1"/>
  <c r="H186" i="1" s="1"/>
  <c r="F185" i="1"/>
  <c r="H185" i="1" s="1"/>
  <c r="F184" i="1"/>
  <c r="H184" i="1" s="1"/>
  <c r="A185" i="1"/>
  <c r="A186" i="1" s="1"/>
  <c r="A187" i="1" s="1"/>
  <c r="A188" i="1" s="1"/>
  <c r="A189" i="1" s="1"/>
  <c r="A190" i="1" s="1"/>
  <c r="E182" i="1"/>
  <c r="D182" i="1"/>
  <c r="F180" i="1"/>
  <c r="H180" i="1" s="1"/>
  <c r="A177" i="1"/>
  <c r="A178" i="1" s="1"/>
  <c r="A179" i="1" s="1"/>
  <c r="A180" i="1" s="1"/>
  <c r="A181" i="1" s="1"/>
  <c r="A182" i="1" s="1"/>
  <c r="A169" i="1"/>
  <c r="A170" i="1" s="1"/>
  <c r="A171" i="1" s="1"/>
  <c r="A172" i="1" s="1"/>
  <c r="A173" i="1" s="1"/>
  <c r="A174" i="1" s="1"/>
  <c r="F155" i="1"/>
  <c r="H155" i="1" s="1"/>
  <c r="K156" i="1" s="1"/>
  <c r="F164" i="1"/>
  <c r="H164" i="1" s="1"/>
  <c r="F163" i="1"/>
  <c r="H163" i="1" s="1"/>
  <c r="F162" i="1"/>
  <c r="H162" i="1" s="1"/>
  <c r="F161" i="1"/>
  <c r="H161" i="1" s="1"/>
  <c r="F160" i="1"/>
  <c r="H160" i="1" s="1"/>
  <c r="F159" i="1"/>
  <c r="H159" i="1" s="1"/>
  <c r="F158" i="1"/>
  <c r="H158" i="1" s="1"/>
  <c r="F157" i="1"/>
  <c r="H157" i="1" s="1"/>
  <c r="K157" i="1" s="1"/>
  <c r="A156" i="1"/>
  <c r="A157" i="1" s="1"/>
  <c r="A158" i="1" s="1"/>
  <c r="A159" i="1" s="1"/>
  <c r="A160" i="1" s="1"/>
  <c r="A161" i="1" s="1"/>
  <c r="A162" i="1" s="1"/>
  <c r="A163" i="1" s="1"/>
  <c r="A164" i="1" s="1"/>
  <c r="F146" i="1"/>
  <c r="H146" i="1" s="1"/>
  <c r="I147" i="1"/>
  <c r="I133" i="1"/>
  <c r="F151" i="1"/>
  <c r="H151" i="1" s="1"/>
  <c r="A145" i="1"/>
  <c r="A146" i="1" s="1"/>
  <c r="A147" i="1" s="1"/>
  <c r="A148" i="1" s="1"/>
  <c r="A149" i="1" s="1"/>
  <c r="A150" i="1" s="1"/>
  <c r="A151" i="1" s="1"/>
  <c r="A152" i="1" s="1"/>
  <c r="A153" i="1" s="1"/>
  <c r="F189" i="1" l="1"/>
  <c r="H189" i="1" s="1"/>
  <c r="F145" i="1"/>
  <c r="H145" i="1" s="1"/>
  <c r="F179" i="1"/>
  <c r="H179" i="1" s="1"/>
  <c r="F147" i="1"/>
  <c r="H147" i="1" s="1"/>
  <c r="F149" i="1"/>
  <c r="H149" i="1" s="1"/>
  <c r="F181" i="1"/>
  <c r="H181" i="1" s="1"/>
  <c r="F176" i="1"/>
  <c r="F177" i="1"/>
  <c r="H177" i="1" s="1"/>
  <c r="F178" i="1"/>
  <c r="H178" i="1" s="1"/>
  <c r="F182" i="1"/>
  <c r="H182" i="1" s="1"/>
  <c r="F144" i="1"/>
  <c r="H144" i="1" s="1"/>
  <c r="F150" i="1"/>
  <c r="H150" i="1" s="1"/>
  <c r="F148" i="1"/>
  <c r="H148" i="1" s="1"/>
  <c r="K149" i="1" s="1"/>
  <c r="F152" i="1"/>
  <c r="H152" i="1" s="1"/>
  <c r="F153" i="1"/>
  <c r="H153" i="1" s="1"/>
  <c r="F134" i="1"/>
  <c r="H134" i="1" s="1"/>
  <c r="A134" i="1"/>
  <c r="A135" i="1" s="1"/>
  <c r="A136" i="1" s="1"/>
  <c r="A137" i="1" s="1"/>
  <c r="A138" i="1" s="1"/>
  <c r="A139" i="1" s="1"/>
  <c r="A140" i="1" s="1"/>
  <c r="A141" i="1" s="1"/>
  <c r="A142" i="1" s="1"/>
  <c r="F133" i="1"/>
  <c r="E104" i="1" l="1"/>
  <c r="C104" i="1"/>
  <c r="H176" i="1"/>
  <c r="G105" i="1" s="1"/>
  <c r="C105" i="1"/>
  <c r="E105" i="1"/>
  <c r="K144" i="1"/>
  <c r="L130" i="1"/>
  <c r="H133" i="1"/>
  <c r="G104" i="1" s="1"/>
  <c r="G41" i="1"/>
  <c r="C106" i="1" l="1"/>
  <c r="F200" i="1"/>
  <c r="A196" i="1"/>
  <c r="A197" i="1" s="1"/>
  <c r="A198" i="1" s="1"/>
  <c r="A199" i="1" s="1"/>
  <c r="A200" i="1" s="1"/>
  <c r="A201" i="1" s="1"/>
  <c r="A202" i="1" s="1"/>
  <c r="A203" i="1" s="1"/>
  <c r="A115" i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F115" i="1"/>
  <c r="H115" i="1" s="1"/>
  <c r="F116" i="1"/>
  <c r="F117" i="1"/>
  <c r="H117" i="1" s="1"/>
  <c r="F118" i="1"/>
  <c r="F119" i="1"/>
  <c r="F120" i="1"/>
  <c r="F121" i="1"/>
  <c r="F122" i="1"/>
  <c r="F123" i="1"/>
  <c r="F124" i="1"/>
  <c r="F125" i="1"/>
  <c r="F114" i="1"/>
  <c r="H114" i="1" s="1"/>
  <c r="E101" i="1" l="1"/>
  <c r="C101" i="1"/>
  <c r="C107" i="1" s="1"/>
  <c r="E106" i="1" l="1"/>
  <c r="E107" i="1" s="1"/>
  <c r="C8" i="1"/>
  <c r="J70" i="1" l="1"/>
  <c r="J69" i="1"/>
  <c r="J68" i="1"/>
  <c r="J67" i="1"/>
  <c r="H60" i="1"/>
  <c r="J64" i="1" l="1"/>
  <c r="E63" i="1" s="1"/>
  <c r="F63" i="1" s="1"/>
  <c r="J62" i="1"/>
  <c r="F67" i="1"/>
  <c r="F72" i="1"/>
  <c r="F66" i="1"/>
  <c r="J65" i="1"/>
  <c r="J66" i="1" s="1"/>
  <c r="J71" i="1" s="1"/>
  <c r="J72" i="1" s="1"/>
  <c r="E64" i="1" s="1"/>
  <c r="F64" i="1" s="1"/>
  <c r="F68" i="1"/>
  <c r="F71" i="1"/>
  <c r="F65" i="1"/>
  <c r="F69" i="1"/>
  <c r="F70" i="1"/>
  <c r="J63" i="1"/>
  <c r="G63" i="1" l="1"/>
  <c r="I59" i="1" s="1"/>
  <c r="C61" i="1" s="1"/>
  <c r="H116" i="1" l="1"/>
  <c r="H118" i="1"/>
  <c r="H119" i="1"/>
  <c r="H120" i="1"/>
  <c r="H121" i="1"/>
  <c r="H122" i="1"/>
  <c r="H123" i="1"/>
  <c r="H124" i="1"/>
  <c r="H125" i="1"/>
  <c r="G101" i="1" l="1"/>
  <c r="G42" i="1"/>
  <c r="G106" i="1" l="1"/>
  <c r="G107" i="1" s="1"/>
  <c r="G5" i="1"/>
  <c r="G43" i="1" l="1"/>
  <c r="H11" i="4" l="1"/>
  <c r="H10" i="4"/>
  <c r="H9" i="4"/>
  <c r="H8" i="4"/>
  <c r="F2" i="4"/>
  <c r="C12" i="4" l="1"/>
  <c r="C8" i="4"/>
  <c r="C11" i="4"/>
  <c r="C7" i="4"/>
  <c r="H6" i="4"/>
  <c r="H7" i="4" s="1"/>
  <c r="H12" i="4" s="1"/>
  <c r="H13" i="4" s="1"/>
  <c r="B5" i="4" s="1"/>
  <c r="C13" i="4"/>
  <c r="H3" i="4"/>
  <c r="H4" i="4"/>
  <c r="C10" i="4"/>
  <c r="D12" i="4"/>
  <c r="C9" i="4"/>
  <c r="H5" i="4"/>
  <c r="B4" i="4" s="1"/>
  <c r="C4" i="4" l="1"/>
  <c r="D9" i="4" s="1"/>
  <c r="C6" i="4"/>
  <c r="D13" i="4"/>
  <c r="D8" i="4"/>
  <c r="C5" i="4"/>
  <c r="D10" i="4" l="1"/>
  <c r="D11" i="4" l="1"/>
  <c r="D4" i="4" s="1"/>
  <c r="E4" i="4" s="1"/>
  <c r="C206" i="1" l="1"/>
</calcChain>
</file>

<file path=xl/comments1.xml><?xml version="1.0" encoding="utf-8"?>
<comments xmlns="http://schemas.openxmlformats.org/spreadsheetml/2006/main">
  <authors>
    <author>SACHIN</author>
    <author>Windows User</author>
  </authors>
  <commentList>
    <comment ref="A9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As per CC</t>
        </r>
      </text>
    </comment>
    <comment ref="C9" authorId="0" shapeId="0">
      <text>
        <r>
          <rPr>
            <b/>
            <sz val="9"/>
            <color indexed="81"/>
            <rFont val="Tahoma"/>
            <family val="2"/>
          </rPr>
          <t>Take address from CC</t>
        </r>
      </text>
    </comment>
    <comment ref="C21" authorId="0" shapeId="0">
      <text>
        <r>
          <rPr>
            <b/>
            <sz val="9"/>
            <color indexed="81"/>
            <rFont val="Tahoma"/>
            <family val="2"/>
          </rPr>
          <t>Builder's office address from RERA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4" authorId="0" shapeId="0">
      <text>
        <r>
          <rPr>
            <b/>
            <sz val="9"/>
            <color indexed="81"/>
            <rFont val="Tahoma"/>
            <family val="2"/>
          </rPr>
          <t>Provided during initiation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5" authorId="1" shapeId="0">
      <text>
        <r>
          <rPr>
            <b/>
            <sz val="11"/>
            <color indexed="81"/>
            <rFont val="Tahoma"/>
            <family val="2"/>
          </rPr>
          <t xml:space="preserve">Authority
</t>
        </r>
      </text>
    </comment>
    <comment ref="C26" authorId="0" shapeId="0">
      <text>
        <r>
          <rPr>
            <b/>
            <sz val="9"/>
            <color indexed="81"/>
            <rFont val="Tahoma"/>
            <family val="2"/>
          </rPr>
          <t>Apartments or 
Apartments + Shops</t>
        </r>
      </text>
    </comment>
    <comment ref="G28" authorId="0" shapeId="0">
      <text>
        <r>
          <rPr>
            <b/>
            <sz val="9"/>
            <color indexed="81"/>
            <rFont val="Tahoma"/>
            <family val="2"/>
          </rPr>
          <t>15% of Total No of Flats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</rPr>
          <t>If Sale deed is provided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</rPr>
          <t>If Sale deed is provided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</rPr>
          <t>If Sale deed is provided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</rPr>
          <t>If Sale deed is provided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8" authorId="0" shapeId="0">
      <text>
        <r>
          <rPr>
            <b/>
            <sz val="9"/>
            <color indexed="81"/>
            <rFont val="Tahoma"/>
            <family val="2"/>
          </rPr>
          <t>height should also be mentioned</t>
        </r>
      </text>
    </comment>
    <comment ref="C57" authorId="0" shapeId="0">
      <text>
        <r>
          <rPr>
            <b/>
            <sz val="9"/>
            <color indexed="81"/>
            <rFont val="Tahoma"/>
            <family val="2"/>
          </rPr>
          <t>RERA Start date</t>
        </r>
      </text>
    </comment>
    <comment ref="F57" authorId="0" shapeId="0">
      <text>
        <r>
          <rPr>
            <b/>
            <sz val="9"/>
            <color indexed="81"/>
            <rFont val="Tahoma"/>
            <family val="2"/>
          </rPr>
          <t>RERA completion date</t>
        </r>
      </text>
    </comment>
    <comment ref="H89" authorId="0" shapeId="0">
      <text>
        <r>
          <rPr>
            <b/>
            <sz val="9"/>
            <color indexed="81"/>
            <rFont val="Tahoma"/>
            <family val="2"/>
          </rPr>
          <t>if multiple buildings are in project and are connected internally</t>
        </r>
      </text>
    </comment>
    <comment ref="C91" authorId="0" shapeId="0">
      <text>
        <r>
          <rPr>
            <b/>
            <sz val="9"/>
            <color indexed="81"/>
            <rFont val="Tahoma"/>
            <family val="2"/>
          </rPr>
          <t>AAC Block or Brick</t>
        </r>
      </text>
    </comment>
    <comment ref="H93" authorId="0" shapeId="0">
      <text>
        <r>
          <rPr>
            <b/>
            <sz val="9"/>
            <color indexed="81"/>
            <rFont val="Tahoma"/>
            <family val="2"/>
          </rPr>
          <t>If present on slopy area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<sst xmlns="http://schemas.openxmlformats.org/spreadsheetml/2006/main" count="452" uniqueCount="304">
  <si>
    <t>Name of the project</t>
  </si>
  <si>
    <t xml:space="preserve">Address </t>
  </si>
  <si>
    <t>Name of the builder / developer</t>
  </si>
  <si>
    <t xml:space="preserve">Office address (agreement) </t>
  </si>
  <si>
    <t>Builder Bank Details</t>
  </si>
  <si>
    <t>Contact No.</t>
  </si>
  <si>
    <t>Village</t>
  </si>
  <si>
    <t>Other HFC's Approval / Funding</t>
  </si>
  <si>
    <t>No. of Tenements / Units in Project</t>
  </si>
  <si>
    <t>Verification of the schedule of the property</t>
  </si>
  <si>
    <t>Sale deed</t>
  </si>
  <si>
    <t>Physical on site</t>
  </si>
  <si>
    <t>North</t>
  </si>
  <si>
    <t>South</t>
  </si>
  <si>
    <t>East</t>
  </si>
  <si>
    <t>West</t>
  </si>
  <si>
    <t>Verification of survey No. (Title document)</t>
  </si>
  <si>
    <t xml:space="preserve">Approach road </t>
  </si>
  <si>
    <t>Yes/No</t>
  </si>
  <si>
    <t>Layout approval if applicable</t>
  </si>
  <si>
    <t>Building height / No. of Floors</t>
  </si>
  <si>
    <t>Construction/Building Permission</t>
  </si>
  <si>
    <t>NA / Land conversion</t>
  </si>
  <si>
    <t>CONSTRUCTION PROGRESS</t>
  </si>
  <si>
    <t>Baseline start date</t>
  </si>
  <si>
    <t>Baseline finish date</t>
  </si>
  <si>
    <t>General comment on progress</t>
  </si>
  <si>
    <t>QUALITY/NDMC Parameters</t>
  </si>
  <si>
    <t>Type of Structure</t>
  </si>
  <si>
    <t>Expansion Joint Available</t>
  </si>
  <si>
    <t>Mortar Type</t>
  </si>
  <si>
    <t>Flood Prone Area</t>
  </si>
  <si>
    <t>Masonry Type</t>
  </si>
  <si>
    <t>Projected Parts Available</t>
  </si>
  <si>
    <t>Footing Type</t>
  </si>
  <si>
    <t>Fire Exit Available</t>
  </si>
  <si>
    <t>Soil Type</t>
  </si>
  <si>
    <t>Ground Slope &gt;20%</t>
  </si>
  <si>
    <t>Concrete Grade</t>
  </si>
  <si>
    <t>Ground Slope Vulnerable to land slide</t>
  </si>
  <si>
    <t>Steel Grade</t>
  </si>
  <si>
    <t>Soil liquefiable</t>
  </si>
  <si>
    <t>Cyclone Zone-Wind speed (m/s)</t>
  </si>
  <si>
    <t>Coastal regulatory Zone</t>
  </si>
  <si>
    <t>Seismic Zone</t>
  </si>
  <si>
    <t>Environment exposure condition</t>
  </si>
  <si>
    <t>BUILDING / BLOCK - Configuration Details</t>
  </si>
  <si>
    <t>Floors</t>
  </si>
  <si>
    <t>REMARKS ON RECOMMENDATION</t>
  </si>
  <si>
    <t>RERA No.-</t>
  </si>
  <si>
    <t>Cement &amp; Sand</t>
  </si>
  <si>
    <t>RCC</t>
  </si>
  <si>
    <t>Yes</t>
  </si>
  <si>
    <t>No</t>
  </si>
  <si>
    <t>Moderate</t>
  </si>
  <si>
    <t>III</t>
  </si>
  <si>
    <t>1BHK</t>
  </si>
  <si>
    <t>Progress %</t>
  </si>
  <si>
    <t>Construction details:</t>
  </si>
  <si>
    <t>Basement</t>
  </si>
  <si>
    <t>Ground</t>
  </si>
  <si>
    <t>Podium</t>
  </si>
  <si>
    <t>Type of Work</t>
  </si>
  <si>
    <t>Slab/Floor</t>
  </si>
  <si>
    <t>Complition %</t>
  </si>
  <si>
    <t>Piling Work in process</t>
  </si>
  <si>
    <t>Excavation</t>
  </si>
  <si>
    <t>Excavation in process</t>
  </si>
  <si>
    <t>Plinth</t>
  </si>
  <si>
    <t>Excavation Completed</t>
  </si>
  <si>
    <t>RCC (Including podiums)</t>
  </si>
  <si>
    <t>Footing in Process</t>
  </si>
  <si>
    <t>Brickwork</t>
  </si>
  <si>
    <t>Footing Completed</t>
  </si>
  <si>
    <t>Internal Plaster</t>
  </si>
  <si>
    <t>Basement 1</t>
  </si>
  <si>
    <t>Ext.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</si>
  <si>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</si>
  <si>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</si>
  <si>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</si>
  <si>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</si>
  <si>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</si>
  <si>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</si>
  <si>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Plinth in process</t>
  </si>
  <si>
    <t>Possession</t>
  </si>
  <si>
    <t>Plinth completed</t>
  </si>
  <si>
    <t xml:space="preserve">APF Valuation Report </t>
  </si>
  <si>
    <t>Approved Plan</t>
  </si>
  <si>
    <t>Location of the project 
Municipal Limit :</t>
  </si>
  <si>
    <t>Geo Coordinates</t>
  </si>
  <si>
    <t>Landmark</t>
  </si>
  <si>
    <t>None</t>
  </si>
  <si>
    <t>No of Wings / Buildings</t>
  </si>
  <si>
    <t>Description</t>
  </si>
  <si>
    <t xml:space="preserve">Approval Detail : Plan approval </t>
  </si>
  <si>
    <t>Total land area of the project in Sq. Mt.</t>
  </si>
  <si>
    <t>Permissible FSI</t>
  </si>
  <si>
    <t>Permissible TDR/Paid FSI</t>
  </si>
  <si>
    <t>Total FSI availaible for the project</t>
  </si>
  <si>
    <t>Building plan approvals - Approval No :</t>
  </si>
  <si>
    <t>Project Details</t>
  </si>
  <si>
    <t xml:space="preserve">Name of Valuation Agency </t>
  </si>
  <si>
    <t>Date of
Initiation</t>
  </si>
  <si>
    <t>Date &amp; Time of Site Visit</t>
  </si>
  <si>
    <t>Date of Report
Release</t>
  </si>
  <si>
    <t xml:space="preserve">Branch Name/ID </t>
  </si>
  <si>
    <t>Name of the person met at site &amp; Contact No</t>
  </si>
  <si>
    <t>V.S.JADON &amp; CO VALUERS LLP</t>
  </si>
  <si>
    <t>Builder Office Verified</t>
  </si>
  <si>
    <t>Name of the authority :</t>
  </si>
  <si>
    <t>Reference No :</t>
  </si>
  <si>
    <t>Validity &amp; area :
mentioned</t>
  </si>
  <si>
    <t xml:space="preserve"> Building No.4 = G + 3rd Floor</t>
  </si>
  <si>
    <t xml:space="preserve">Speed of Construction is Average. </t>
  </si>
  <si>
    <t>Recommended Rates of the Property :</t>
  </si>
  <si>
    <t>Recommended rate of the flat Per Sq. Ft. ( on Saleable area)</t>
  </si>
  <si>
    <t>Recommended of Parking ( If Available)</t>
  </si>
  <si>
    <t>Name of Engineer Visited the property</t>
  </si>
  <si>
    <t xml:space="preserve">Authorized Signatory
Name &amp; Seal of the agency
                                               </t>
  </si>
  <si>
    <t>Photographs Of Property :</t>
  </si>
  <si>
    <t xml:space="preserve">Google Map : </t>
  </si>
  <si>
    <t>Isolated Footing</t>
  </si>
  <si>
    <t>FE415</t>
  </si>
  <si>
    <t>Connectivity</t>
  </si>
  <si>
    <t>Exposure Limit
(Proposed)</t>
  </si>
  <si>
    <t>44 meter per sec</t>
  </si>
  <si>
    <t>Alluvial Soil</t>
  </si>
  <si>
    <t>Total Permissible Builtup area of the project (Sq.Mt)</t>
  </si>
  <si>
    <r>
      <t>Remark (</t>
    </r>
    <r>
      <rPr>
        <sz val="10"/>
        <color rgb="FF000000"/>
        <rFont val="Times New Roman"/>
        <family val="1"/>
      </rPr>
      <t>Flat configuration /Bungalows, etc.)</t>
    </r>
  </si>
  <si>
    <t>Plot area mentioned in the sale deed (As per 7/12)</t>
  </si>
  <si>
    <t>Plot area mentioned in the approved drg. on which FSI/FAR calculations computed (Net Plot Area)</t>
  </si>
  <si>
    <t>Stage of construction</t>
  </si>
  <si>
    <t>Building No.1</t>
  </si>
  <si>
    <t>Taluka</t>
  </si>
  <si>
    <t>District</t>
  </si>
  <si>
    <t>Pincode</t>
  </si>
  <si>
    <t>Geo Link</t>
  </si>
  <si>
    <t xml:space="preserve">Stage of construction: </t>
  </si>
  <si>
    <t>All work Completed. OC Received.</t>
  </si>
  <si>
    <t>Project Progress %</t>
  </si>
  <si>
    <t>M20</t>
  </si>
  <si>
    <t>Saleable Area Sq.Ft.
Loading:</t>
  </si>
  <si>
    <t>Layout Of Property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</si>
  <si>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</si>
  <si>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 xml:space="preserve">Latitude, Longitude   </t>
  </si>
  <si>
    <t>Road</t>
  </si>
  <si>
    <t>City</t>
  </si>
  <si>
    <t xml:space="preserve">Thane </t>
  </si>
  <si>
    <t>Palghar</t>
  </si>
  <si>
    <t>Mumbai</t>
  </si>
  <si>
    <t>Raigad</t>
  </si>
  <si>
    <t>Pune</t>
  </si>
  <si>
    <t>Thane</t>
  </si>
  <si>
    <t>Mokhada</t>
  </si>
  <si>
    <t>Andheri</t>
  </si>
  <si>
    <t>Alibag</t>
  </si>
  <si>
    <t>Pune City</t>
  </si>
  <si>
    <t>Shahpur</t>
  </si>
  <si>
    <t>Talasari</t>
  </si>
  <si>
    <t>Borivali</t>
  </si>
  <si>
    <t>Panvel</t>
  </si>
  <si>
    <t>Haveli</t>
  </si>
  <si>
    <t>Kalyan</t>
  </si>
  <si>
    <t>Vasai</t>
  </si>
  <si>
    <t>Kurla</t>
  </si>
  <si>
    <t>Uran</t>
  </si>
  <si>
    <t>Khed</t>
  </si>
  <si>
    <t>Bhiwandi</t>
  </si>
  <si>
    <t>Vikramgad</t>
  </si>
  <si>
    <t>Karjat</t>
  </si>
  <si>
    <t>Baramati</t>
  </si>
  <si>
    <t>Ulhasnagar</t>
  </si>
  <si>
    <t>Khalapur</t>
  </si>
  <si>
    <t>Junnar</t>
  </si>
  <si>
    <t>Ambernath</t>
  </si>
  <si>
    <t>Dahanu</t>
  </si>
  <si>
    <t>Pen</t>
  </si>
  <si>
    <t>Shirur</t>
  </si>
  <si>
    <t>Murbad</t>
  </si>
  <si>
    <t>Wada</t>
  </si>
  <si>
    <t>Sudhagad</t>
  </si>
  <si>
    <t>Indapur</t>
  </si>
  <si>
    <t>Mahad</t>
  </si>
  <si>
    <t>Daund</t>
  </si>
  <si>
    <t>Roha</t>
  </si>
  <si>
    <t>Mawal</t>
  </si>
  <si>
    <t>Mangaon</t>
  </si>
  <si>
    <t>Ambegaon</t>
  </si>
  <si>
    <t>Poladpur</t>
  </si>
  <si>
    <t>Purandhar</t>
  </si>
  <si>
    <t>Mahasala</t>
  </si>
  <si>
    <t>Bhor</t>
  </si>
  <si>
    <t>Shriwardhan</t>
  </si>
  <si>
    <t>Mulshi</t>
  </si>
  <si>
    <t>Murud</t>
  </si>
  <si>
    <t>Velhe</t>
  </si>
  <si>
    <t>Commercial Area Details :</t>
  </si>
  <si>
    <t>Building &amp; Wing</t>
  </si>
  <si>
    <t>No. of Units</t>
  </si>
  <si>
    <t>Total Carpet Area</t>
  </si>
  <si>
    <t>Total Saleable Area</t>
  </si>
  <si>
    <t>Wing A</t>
  </si>
  <si>
    <t>Total</t>
  </si>
  <si>
    <t>Residential Area Details :</t>
  </si>
  <si>
    <t>Grand Total</t>
  </si>
  <si>
    <t>Approved No. of Floor</t>
  </si>
  <si>
    <t>Proposed No. of Floor</t>
  </si>
  <si>
    <t>Ground Floor</t>
  </si>
  <si>
    <t>Flat No.
(Approved
Plan)</t>
  </si>
  <si>
    <t>Flat No. (Sale Plan)</t>
  </si>
  <si>
    <t>Carpet area</t>
  </si>
  <si>
    <t>Gross Carpet area</t>
  </si>
  <si>
    <t>Attached Terrace area</t>
  </si>
  <si>
    <t>Attached Loft area</t>
  </si>
  <si>
    <t>Shop</t>
  </si>
  <si>
    <t>Shop No.
(Approved
Plan)</t>
  </si>
  <si>
    <t>Shop No. (Sale Plan)</t>
  </si>
  <si>
    <t xml:space="preserve">Labours found on site at the time of visit. </t>
  </si>
  <si>
    <t>We considered Carpet area as per Approved Plan.</t>
  </si>
  <si>
    <t>We have considered rate by verifying it from market inquire.</t>
  </si>
  <si>
    <t>Recommended rate should be considered as all inclusive rate if other charges are not mentioned. (Excluding GST &amp; other government Taxes)</t>
  </si>
  <si>
    <t>Car parking is subjected to authentic documentation.</t>
  </si>
  <si>
    <t>We considered  Saleable area  as per our calculation. Loading</t>
  </si>
  <si>
    <t>P52000047562</t>
  </si>
  <si>
    <t>19.082453,73.107606</t>
  </si>
  <si>
    <t>https://maps.app.goo.gl/KgMxwRQKBthrdKuW8</t>
  </si>
  <si>
    <t>Omkara Pride Phase 1</t>
  </si>
  <si>
    <t>Survey No</t>
  </si>
  <si>
    <t>43/1/1 &amp; 43/1/4</t>
  </si>
  <si>
    <t>Koynavele</t>
  </si>
  <si>
    <t>Ghot Road</t>
  </si>
  <si>
    <t>Omkara Enterprises</t>
  </si>
  <si>
    <t>909, 9th Floor, Mahavir Icon, Sector - 15, CBD Belapur 400614</t>
  </si>
  <si>
    <t>Bank of Baroda
IFSC Code - BARBOJUINAG</t>
  </si>
  <si>
    <t>Mr. Arun 8356853750</t>
  </si>
  <si>
    <t>Apartments</t>
  </si>
  <si>
    <t>Only Flats</t>
  </si>
  <si>
    <t>NA</t>
  </si>
  <si>
    <t>S No. 41(Pt) / S No. 41</t>
  </si>
  <si>
    <t>Riverside The Nest</t>
  </si>
  <si>
    <t>Total Approved Builtup area of the Building 1( Wing A &amp; B) (Sq.Mt)</t>
  </si>
  <si>
    <t>Fire NOC</t>
  </si>
  <si>
    <t>2BHK</t>
  </si>
  <si>
    <t>2nd to 7th, 9th to 12th &amp; 14th Floor</t>
  </si>
  <si>
    <t>Refuge Area</t>
  </si>
  <si>
    <t>8th &amp; 13th Floor (Part Refuge Area)</t>
  </si>
  <si>
    <t>1.5BHK</t>
  </si>
  <si>
    <t xml:space="preserve">Ground Floor For Entrance Lobby, Electric Room &amp;  Parking </t>
  </si>
  <si>
    <t>3BHK</t>
  </si>
  <si>
    <t>Flats - 225</t>
  </si>
  <si>
    <t>Yes, Approx 23ft</t>
  </si>
  <si>
    <t>1. Ajanta International School - 0.65Km
2. Radcliffe Group of Schools Ghotcamp - 1.2Km
3. Dmart Ready Taloja FC - 6.4Km
4. Town Bazaar - 2.8Km
5. Dr. Badade - Star Hospital - 3.3km
6. Apex Multi Speciality Hospital - 3.5Km
7. CIDCO Garden Phase 1 - 3.5Km
8. Owe Dam / Lake - 9.1Km
9. Pethali - Taloja Metro Station - 3.4Km
10.Taloja Panchanand Railway Station - 3.7Km</t>
  </si>
  <si>
    <t>Taloja Panchanand East</t>
  </si>
  <si>
    <t>Panvel Municipal Corporation</t>
  </si>
  <si>
    <t>Kamdhenu Lifespaces Gardenia</t>
  </si>
  <si>
    <t>Building No.1 (Wing A &amp; B)</t>
  </si>
  <si>
    <t>Building No.1 (Wing A &amp; B) = G + 1st to 14th Floor</t>
  </si>
  <si>
    <t>Open Plot</t>
  </si>
  <si>
    <t>S No. 43/1/5</t>
  </si>
  <si>
    <t>Gut No.43/1/3</t>
  </si>
  <si>
    <t>Gut No.43/1/5</t>
  </si>
  <si>
    <t xml:space="preserve">Koynavele Gaonthan </t>
  </si>
  <si>
    <t>Gut No.43/1/1</t>
  </si>
  <si>
    <t>12.00 M Wide Approved Layout Road</t>
  </si>
  <si>
    <t>S No. 43/1/2 &amp; 3
 S No.43/2</t>
  </si>
  <si>
    <t>Gut No.43 Hissa No.1/1
Gut No.43 Hissa No.1/4</t>
  </si>
  <si>
    <t>Total Proposed Builtup area of the project (Sq.Mt)</t>
  </si>
  <si>
    <t>Building No.1 (Wing A &amp; B) = Gr + 1st to 14th Floor (Height = 44.95 Mtrs)</t>
  </si>
  <si>
    <t xml:space="preserve">Date </t>
  </si>
  <si>
    <t>PMC/TP/Koynavele/43/1/1 &amp; 43/1/4/21-22/16374/1983/2022           
Valid Upto - Building No.1 Wing A &amp; B = G + 1st to 14th Floor (Total BUA = 15438.891 Sq. Mt)</t>
  </si>
  <si>
    <t xml:space="preserve"> 25/06/2024</t>
  </si>
  <si>
    <t xml:space="preserve">CARPC/RB/2024/APL/00095
</t>
  </si>
  <si>
    <t>AAC Block</t>
  </si>
  <si>
    <t>AAC block, Cement bags, aggregate, Sand, etc found on site in average quantity.</t>
  </si>
  <si>
    <t>Building No.1 (Wing A)</t>
  </si>
  <si>
    <t>Building No.1 (Wing B)</t>
  </si>
  <si>
    <t>1st Floor For Residential &amp; Part Parking Area</t>
  </si>
  <si>
    <t xml:space="preserve">Parking </t>
  </si>
  <si>
    <t>1st Floor For Residential (Part Driver Room, Society Office &amp; Parking)</t>
  </si>
  <si>
    <t>Driver Room, Society Office &amp; Parking</t>
  </si>
  <si>
    <t>Balcony Area + Chajja Area</t>
  </si>
  <si>
    <t>We considered Gross carpet area = Net carpet + Enclose Balcony + Balcony Area  + Chajja Area.</t>
  </si>
  <si>
    <t>3,00,000/-</t>
  </si>
  <si>
    <t>Mahindra Rural Housing Finance - Panvel</t>
  </si>
  <si>
    <t xml:space="preserve">Ground Floor For Entrance Lobby, Electric Room &amp; Parking </t>
  </si>
  <si>
    <t xml:space="preserve">Details of Residential in Building   </t>
  </si>
  <si>
    <t>Building No.1 (Wing A) = Gr + 1st + 14th Floor</t>
  </si>
  <si>
    <t>Building No.1 (Wing B) = Gr + 1st + 14th Floor</t>
  </si>
  <si>
    <t xml:space="preserve"> Phase 1</t>
  </si>
  <si>
    <t>PMC/Fire/2121/Ref No.1333/2024/1151                                              
Building No.1 (Wing A &amp; B) = Stilt + 1st to 14th Floor
(Height = 44.95Mtrs)</t>
  </si>
  <si>
    <t>Enviroment Clearcance Certificate No.</t>
  </si>
  <si>
    <t>Airport NOC</t>
  </si>
  <si>
    <t>Date 
Valid Upto Date</t>
  </si>
  <si>
    <t>17/01/2019
16/01/2027</t>
  </si>
  <si>
    <t>NAVI/WEST/B/122218/356874
Site Elevation in mtrs AMSL = 9.97M
Permissible Top Elevation in Mtr AMSL = 159.97M</t>
  </si>
  <si>
    <t>SIA/MH/INFRA2/413117/2023
Net Plot Area = 11840 Sq.mt
Building 1 (Wing A to D) = S + 14 (Height = 44.95M)
Building 2 (Wing E &amp; F) = S + 14 (Height = 44.95M)</t>
  </si>
  <si>
    <t>We have updated EC &amp; Airport Noc (On 25/02/2025).</t>
  </si>
  <si>
    <t>On Site, we meet Mr. Kiran 8097366852</t>
  </si>
  <si>
    <t>5400 to 5600  by rohan 21/04/2025</t>
  </si>
  <si>
    <t>Mr. Arun Kumbar 8356853750</t>
  </si>
  <si>
    <t xml:space="preserve">Wing A &amp; B = Construction work is in process at the time of Visit. Internal visit was not allowed.
</t>
  </si>
  <si>
    <t>Project Type
(Apartments/Plot/Combined)</t>
  </si>
  <si>
    <t>Mr. Sunil Peravi</t>
  </si>
  <si>
    <t>04/10/2025 at 12:56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</si>
</sst>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/mm\/yyyy"/>
    <numFmt numFmtId="165" formatCode="0.0"/>
    <numFmt numFmtId="166" formatCode="0.000"/>
  </numFmts>
  <fonts count="17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0"/>
      <color rgb="FFFF0000"/>
      <name val="Times New Roman"/>
      <family val="1"/>
    </font>
    <font>
      <sz val="10"/>
      <color rgb="FFE3F2F3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1"/>
      <name val="Tahoma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E3F2F3"/>
        <bgColor indexed="64"/>
      </patternFill>
    </fill>
    <fill>
      <patternFill patternType="solid">
        <fgColor rgb="FFE5EEF1"/>
        <bgColor indexed="64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6" fillId="0" borderId="0" applyNumberFormat="0" applyFill="0" applyBorder="0" applyAlignment="0" applyProtection="0"/>
  </cellStyleXfs>
  <cellXfs count="263">
    <xf numFmtId="0" fontId="0" fillId="0" borderId="0" xfId="0"/>
    <xf numFmtId="0" fontId="5" fillId="0" borderId="0" xfId="0" applyFont="1" applyFill="1" applyBorder="1" applyProtection="1">
      <protection hidden="1"/>
    </xf>
    <xf numFmtId="0" fontId="8" fillId="4" borderId="5" xfId="1" applyFont="1" applyFill="1" applyBorder="1" applyAlignment="1" applyProtection="1">
      <alignment horizontal="center" vertical="top" wrapText="1"/>
      <protection locked="0"/>
    </xf>
    <xf numFmtId="0" fontId="8" fillId="4" borderId="4" xfId="1" applyFont="1" applyFill="1" applyBorder="1" applyAlignment="1" applyProtection="1">
      <alignment horizontal="center" vertical="top" wrapText="1"/>
      <protection locked="0"/>
    </xf>
    <xf numFmtId="0" fontId="8" fillId="4" borderId="4" xfId="1" applyFont="1" applyFill="1" applyBorder="1" applyAlignment="1" applyProtection="1">
      <alignment horizontal="center" wrapText="1"/>
      <protection locked="0"/>
    </xf>
    <xf numFmtId="1" fontId="8" fillId="4" borderId="4" xfId="1" applyNumberFormat="1" applyFont="1" applyFill="1" applyBorder="1" applyAlignment="1" applyProtection="1">
      <alignment horizontal="center" wrapText="1"/>
      <protection locked="0"/>
    </xf>
    <xf numFmtId="0" fontId="6" fillId="0" borderId="0" xfId="0" applyFont="1"/>
    <xf numFmtId="0" fontId="8" fillId="2" borderId="4" xfId="1" applyFont="1" applyFill="1" applyBorder="1" applyAlignment="1" applyProtection="1">
      <alignment horizontal="center" vertical="center"/>
      <protection locked="0"/>
    </xf>
    <xf numFmtId="0" fontId="8" fillId="2" borderId="6" xfId="1" applyFont="1" applyFill="1" applyBorder="1" applyAlignment="1" applyProtection="1">
      <alignment horizontal="center" vertical="center"/>
      <protection locked="0"/>
    </xf>
    <xf numFmtId="0" fontId="8" fillId="2" borderId="16" xfId="1" applyFont="1" applyFill="1" applyBorder="1" applyAlignment="1" applyProtection="1">
      <alignment horizontal="center" vertical="center"/>
      <protection locked="0"/>
    </xf>
    <xf numFmtId="0" fontId="8" fillId="2" borderId="17" xfId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>
      <alignment horizontal="center" vertical="center"/>
    </xf>
    <xf numFmtId="0" fontId="6" fillId="0" borderId="0" xfId="0" applyFont="1" applyFill="1"/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top" wrapText="1"/>
    </xf>
    <xf numFmtId="9" fontId="9" fillId="2" borderId="13" xfId="0" applyNumberFormat="1" applyFont="1" applyFill="1" applyBorder="1" applyAlignment="1">
      <alignment horizontal="center" vertical="top" wrapText="1"/>
    </xf>
    <xf numFmtId="0" fontId="8" fillId="4" borderId="7" xfId="1" applyFont="1" applyFill="1" applyBorder="1" applyAlignment="1" applyProtection="1">
      <alignment horizontal="center" vertical="top" wrapText="1"/>
      <protection locked="0"/>
    </xf>
    <xf numFmtId="9" fontId="8" fillId="4" borderId="7" xfId="1" applyNumberFormat="1" applyFont="1" applyFill="1" applyBorder="1" applyAlignment="1" applyProtection="1">
      <alignment horizontal="center" vertical="center" wrapText="1"/>
      <protection hidden="1"/>
    </xf>
    <xf numFmtId="0" fontId="8" fillId="2" borderId="14" xfId="1" applyFont="1" applyFill="1" applyBorder="1" applyAlignment="1" applyProtection="1">
      <alignment horizontal="center" vertical="center"/>
      <protection locked="0"/>
    </xf>
    <xf numFmtId="0" fontId="8" fillId="4" borderId="14" xfId="1" applyFont="1" applyFill="1" applyBorder="1" applyAlignment="1" applyProtection="1">
      <alignment horizontal="center" vertical="top" wrapText="1"/>
      <protection locked="0"/>
    </xf>
    <xf numFmtId="9" fontId="8" fillId="4" borderId="26" xfId="1" applyNumberFormat="1" applyFont="1" applyFill="1" applyBorder="1" applyAlignment="1" applyProtection="1">
      <alignment horizontal="center" vertical="center"/>
      <protection hidden="1"/>
    </xf>
    <xf numFmtId="9" fontId="12" fillId="4" borderId="14" xfId="1" applyNumberFormat="1" applyFont="1" applyFill="1" applyBorder="1" applyAlignment="1" applyProtection="1">
      <alignment horizontal="left" vertical="center"/>
      <protection hidden="1"/>
    </xf>
    <xf numFmtId="9" fontId="12" fillId="4" borderId="26" xfId="1" applyNumberFormat="1" applyFont="1" applyFill="1" applyBorder="1" applyAlignment="1" applyProtection="1">
      <alignment horizontal="left" vertical="center"/>
      <protection hidden="1"/>
    </xf>
    <xf numFmtId="0" fontId="6" fillId="0" borderId="24" xfId="1" applyFont="1" applyBorder="1"/>
    <xf numFmtId="0" fontId="5" fillId="0" borderId="19" xfId="0" applyNumberFormat="1" applyFont="1" applyBorder="1" applyProtection="1">
      <protection hidden="1"/>
    </xf>
    <xf numFmtId="1" fontId="4" fillId="0" borderId="19" xfId="0" applyNumberFormat="1" applyFont="1" applyBorder="1"/>
    <xf numFmtId="1" fontId="4" fillId="0" borderId="19" xfId="0" applyNumberFormat="1" applyFont="1" applyBorder="1" applyAlignment="1">
      <alignment horizontal="right"/>
    </xf>
    <xf numFmtId="1" fontId="4" fillId="0" borderId="22" xfId="0" applyNumberFormat="1" applyFont="1" applyBorder="1"/>
    <xf numFmtId="0" fontId="5" fillId="0" borderId="25" xfId="0" applyFont="1" applyFill="1" applyBorder="1" applyProtection="1">
      <protection hidden="1"/>
    </xf>
    <xf numFmtId="0" fontId="5" fillId="0" borderId="21" xfId="0" applyFont="1" applyFill="1" applyBorder="1" applyProtection="1">
      <protection hidden="1"/>
    </xf>
    <xf numFmtId="0" fontId="8" fillId="4" borderId="11" xfId="1" applyFont="1" applyFill="1" applyBorder="1" applyAlignment="1" applyProtection="1">
      <alignment horizontal="center" vertical="top" wrapText="1"/>
      <protection locked="0"/>
    </xf>
    <xf numFmtId="0" fontId="8" fillId="4" borderId="12" xfId="1" applyFont="1" applyFill="1" applyBorder="1" applyAlignment="1" applyProtection="1">
      <alignment horizontal="center" wrapText="1"/>
      <protection locked="0"/>
    </xf>
    <xf numFmtId="9" fontId="8" fillId="4" borderId="27" xfId="1" applyNumberFormat="1" applyFont="1" applyFill="1" applyBorder="1" applyAlignment="1" applyProtection="1">
      <alignment horizontal="center" vertical="center" wrapText="1"/>
      <protection hidden="1"/>
    </xf>
    <xf numFmtId="9" fontId="12" fillId="4" borderId="28" xfId="1" applyNumberFormat="1" applyFont="1" applyFill="1" applyBorder="1" applyAlignment="1" applyProtection="1">
      <alignment horizontal="left" vertical="center"/>
      <protection hidden="1"/>
    </xf>
    <xf numFmtId="0" fontId="6" fillId="0" borderId="30" xfId="1" applyFont="1" applyFill="1" applyBorder="1" applyProtection="1">
      <protection hidden="1"/>
    </xf>
    <xf numFmtId="0" fontId="6" fillId="0" borderId="31" xfId="1" applyFont="1" applyBorder="1" applyProtection="1">
      <protection hidden="1"/>
    </xf>
    <xf numFmtId="0" fontId="6" fillId="0" borderId="0" xfId="1" applyFont="1" applyFill="1" applyBorder="1" applyProtection="1">
      <protection hidden="1"/>
    </xf>
    <xf numFmtId="0" fontId="6" fillId="0" borderId="3" xfId="1" applyFont="1" applyBorder="1" applyProtection="1">
      <protection hidden="1"/>
    </xf>
    <xf numFmtId="0" fontId="6" fillId="0" borderId="3" xfId="1" applyFont="1" applyBorder="1"/>
    <xf numFmtId="0" fontId="5" fillId="0" borderId="3" xfId="0" applyNumberFormat="1" applyFont="1" applyBorder="1" applyProtection="1">
      <protection hidden="1"/>
    </xf>
    <xf numFmtId="1" fontId="6" fillId="0" borderId="3" xfId="0" applyNumberFormat="1" applyFont="1" applyBorder="1"/>
    <xf numFmtId="1" fontId="6" fillId="0" borderId="3" xfId="0" applyNumberFormat="1" applyFont="1" applyBorder="1" applyAlignment="1">
      <alignment horizontal="right"/>
    </xf>
    <xf numFmtId="0" fontId="5" fillId="0" borderId="2" xfId="0" applyFont="1" applyFill="1" applyBorder="1" applyProtection="1">
      <protection hidden="1"/>
    </xf>
    <xf numFmtId="1" fontId="6" fillId="0" borderId="1" xfId="0" applyNumberFormat="1" applyFont="1" applyBorder="1"/>
    <xf numFmtId="0" fontId="0" fillId="0" borderId="4" xfId="0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center" wrapText="1"/>
    </xf>
    <xf numFmtId="0" fontId="11" fillId="0" borderId="0" xfId="0" applyFont="1"/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top" wrapText="1"/>
    </xf>
    <xf numFmtId="2" fontId="6" fillId="0" borderId="0" xfId="0" applyNumberFormat="1" applyFont="1"/>
    <xf numFmtId="1" fontId="6" fillId="0" borderId="0" xfId="0" applyNumberFormat="1" applyFont="1"/>
    <xf numFmtId="9" fontId="1" fillId="3" borderId="8" xfId="0" applyNumberFormat="1" applyFont="1" applyFill="1" applyBorder="1" applyAlignment="1">
      <alignment horizontal="left" vertical="top" wrapText="1"/>
    </xf>
    <xf numFmtId="0" fontId="1" fillId="3" borderId="8" xfId="0" applyFont="1" applyFill="1" applyBorder="1" applyAlignment="1">
      <alignment vertical="top" wrapText="1"/>
    </xf>
    <xf numFmtId="0" fontId="1" fillId="3" borderId="10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top" wrapText="1"/>
    </xf>
    <xf numFmtId="14" fontId="5" fillId="3" borderId="4" xfId="0" applyNumberFormat="1" applyFont="1" applyFill="1" applyBorder="1" applyAlignment="1">
      <alignment horizontal="left" vertical="top" wrapText="1"/>
    </xf>
    <xf numFmtId="14" fontId="8" fillId="3" borderId="4" xfId="0" applyNumberFormat="1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center" vertical="center" wrapText="1"/>
    </xf>
    <xf numFmtId="166" fontId="6" fillId="0" borderId="0" xfId="0" applyNumberFormat="1" applyFont="1"/>
    <xf numFmtId="0" fontId="8" fillId="3" borderId="4" xfId="1" applyFont="1" applyFill="1" applyBorder="1" applyAlignment="1" applyProtection="1">
      <alignment horizontal="center" vertical="top" wrapText="1"/>
      <protection locked="0"/>
    </xf>
    <xf numFmtId="0" fontId="8" fillId="3" borderId="4" xfId="1" applyFont="1" applyFill="1" applyBorder="1" applyAlignment="1" applyProtection="1">
      <alignment horizontal="center" wrapText="1"/>
      <protection locked="0"/>
    </xf>
    <xf numFmtId="9" fontId="8" fillId="3" borderId="4" xfId="1" applyNumberFormat="1" applyFont="1" applyFill="1" applyBorder="1" applyAlignment="1" applyProtection="1">
      <alignment horizontal="center" vertical="center" wrapText="1"/>
      <protection hidden="1"/>
    </xf>
    <xf numFmtId="1" fontId="8" fillId="3" borderId="4" xfId="1" applyNumberFormat="1" applyFont="1" applyFill="1" applyBorder="1" applyAlignment="1" applyProtection="1">
      <alignment horizontal="center" wrapText="1"/>
      <protection locked="0"/>
    </xf>
    <xf numFmtId="0" fontId="8" fillId="3" borderId="12" xfId="1" applyFont="1" applyFill="1" applyBorder="1" applyAlignment="1" applyProtection="1">
      <alignment horizontal="center" wrapText="1"/>
      <protection locked="0"/>
    </xf>
    <xf numFmtId="9" fontId="8" fillId="3" borderId="12" xfId="1" applyNumberFormat="1" applyFont="1" applyFill="1" applyBorder="1" applyAlignment="1" applyProtection="1">
      <alignment horizontal="center" vertical="center" wrapText="1"/>
      <protection hidden="1"/>
    </xf>
    <xf numFmtId="0" fontId="7" fillId="3" borderId="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5" fillId="3" borderId="29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1" fontId="5" fillId="5" borderId="7" xfId="0" applyNumberFormat="1" applyFont="1" applyFill="1" applyBorder="1" applyAlignment="1">
      <alignment horizontal="center" vertical="center" wrapText="1"/>
    </xf>
    <xf numFmtId="1" fontId="5" fillId="5" borderId="10" xfId="0" applyNumberFormat="1" applyFont="1" applyFill="1" applyBorder="1" applyAlignment="1">
      <alignment horizontal="center" vertical="center" wrapText="1"/>
    </xf>
    <xf numFmtId="0" fontId="8" fillId="3" borderId="5" xfId="1" applyFont="1" applyFill="1" applyBorder="1" applyAlignment="1" applyProtection="1">
      <alignment horizontal="center" vertical="top" wrapText="1"/>
      <protection locked="0"/>
    </xf>
    <xf numFmtId="0" fontId="8" fillId="3" borderId="4" xfId="1" applyFont="1" applyFill="1" applyBorder="1" applyAlignment="1" applyProtection="1">
      <alignment horizontal="center" vertical="top" wrapText="1"/>
      <protection locked="0"/>
    </xf>
    <xf numFmtId="9" fontId="8" fillId="3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" fontId="5" fillId="5" borderId="4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top" wrapText="1"/>
    </xf>
    <xf numFmtId="0" fontId="9" fillId="2" borderId="13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1" fontId="9" fillId="5" borderId="4" xfId="0" applyNumberFormat="1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8" fillId="3" borderId="11" xfId="1" applyFont="1" applyFill="1" applyBorder="1" applyAlignment="1" applyProtection="1">
      <alignment horizontal="center" vertical="top" wrapText="1"/>
      <protection locked="0"/>
    </xf>
    <xf numFmtId="0" fontId="8" fillId="3" borderId="12" xfId="1" applyFont="1" applyFill="1" applyBorder="1" applyAlignment="1" applyProtection="1">
      <alignment horizontal="center" vertical="top" wrapText="1"/>
      <protection locked="0"/>
    </xf>
    <xf numFmtId="9" fontId="8" fillId="3" borderId="12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left" vertical="top" wrapText="1"/>
    </xf>
    <xf numFmtId="0" fontId="7" fillId="3" borderId="0" xfId="0" applyFont="1" applyFill="1" applyBorder="1" applyAlignment="1">
      <alignment horizontal="left" vertical="top" wrapText="1"/>
    </xf>
    <xf numFmtId="0" fontId="7" fillId="3" borderId="19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horizontal="left" vertical="top" wrapText="1"/>
    </xf>
    <xf numFmtId="0" fontId="7" fillId="3" borderId="21" xfId="0" applyFont="1" applyFill="1" applyBorder="1" applyAlignment="1">
      <alignment horizontal="left" vertical="top" wrapText="1"/>
    </xf>
    <xf numFmtId="0" fontId="7" fillId="3" borderId="22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 applyAlignment="1">
      <alignment horizontal="left" vertical="top" wrapText="1"/>
    </xf>
    <xf numFmtId="0" fontId="1" fillId="3" borderId="10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7" fillId="3" borderId="29" xfId="0" applyFont="1" applyFill="1" applyBorder="1" applyAlignment="1">
      <alignment horizontal="left" vertical="top" wrapText="1"/>
    </xf>
    <xf numFmtId="0" fontId="7" fillId="3" borderId="25" xfId="0" applyFont="1" applyFill="1" applyBorder="1" applyAlignment="1">
      <alignment horizontal="left" vertical="top" wrapText="1"/>
    </xf>
    <xf numFmtId="0" fontId="7" fillId="3" borderId="24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/>
    </xf>
    <xf numFmtId="0" fontId="9" fillId="2" borderId="4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/>
    </xf>
    <xf numFmtId="1" fontId="6" fillId="3" borderId="4" xfId="0" applyNumberFormat="1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left" vertical="top"/>
    </xf>
    <xf numFmtId="0" fontId="6" fillId="3" borderId="7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/>
    </xf>
    <xf numFmtId="0" fontId="9" fillId="2" borderId="29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1" fontId="6" fillId="3" borderId="4" xfId="0" applyNumberFormat="1" applyFont="1" applyFill="1" applyBorder="1" applyAlignment="1">
      <alignment horizontal="center" vertical="center"/>
    </xf>
    <xf numFmtId="165" fontId="6" fillId="3" borderId="4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left" vertical="top" wrapText="1"/>
    </xf>
    <xf numFmtId="0" fontId="8" fillId="3" borderId="8" xfId="0" applyFont="1" applyFill="1" applyBorder="1" applyAlignment="1">
      <alignment horizontal="left" vertical="top" wrapText="1"/>
    </xf>
    <xf numFmtId="0" fontId="8" fillId="3" borderId="10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/>
    </xf>
    <xf numFmtId="0" fontId="5" fillId="3" borderId="4" xfId="0" applyFont="1" applyFill="1" applyBorder="1" applyAlignment="1">
      <alignment vertical="top" wrapText="1"/>
    </xf>
    <xf numFmtId="0" fontId="5" fillId="3" borderId="4" xfId="0" applyFont="1" applyFill="1" applyBorder="1" applyAlignment="1">
      <alignment vertical="top"/>
    </xf>
    <xf numFmtId="0" fontId="8" fillId="3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vertical="top" wrapText="1"/>
    </xf>
    <xf numFmtId="0" fontId="10" fillId="3" borderId="4" xfId="0" applyFont="1" applyFill="1" applyBorder="1" applyAlignment="1">
      <alignment vertical="top" wrapText="1"/>
    </xf>
    <xf numFmtId="0" fontId="16" fillId="3" borderId="7" xfId="2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5" fillId="3" borderId="10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10" xfId="0" applyFont="1" applyFill="1" applyBorder="1" applyAlignment="1">
      <alignment horizontal="left" vertical="top" wrapText="1"/>
    </xf>
    <xf numFmtId="1" fontId="9" fillId="2" borderId="4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left" vertical="top"/>
    </xf>
    <xf numFmtId="0" fontId="5" fillId="3" borderId="10" xfId="0" applyFont="1" applyFill="1" applyBorder="1" applyAlignment="1">
      <alignment horizontal="left" vertical="top"/>
    </xf>
    <xf numFmtId="0" fontId="9" fillId="2" borderId="29" xfId="0" applyFont="1" applyFill="1" applyBorder="1" applyAlignment="1">
      <alignment horizontal="left" vertical="center" wrapText="1"/>
    </xf>
    <xf numFmtId="0" fontId="9" fillId="2" borderId="24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left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7" fillId="3" borderId="4" xfId="1" applyFont="1" applyFill="1" applyBorder="1" applyAlignment="1" applyProtection="1">
      <alignment horizontal="left" vertical="top" wrapText="1"/>
      <protection locked="0"/>
    </xf>
    <xf numFmtId="0" fontId="7" fillId="3" borderId="6" xfId="1" applyFont="1" applyFill="1" applyBorder="1" applyAlignment="1" applyProtection="1">
      <alignment horizontal="left" vertical="top" wrapText="1"/>
      <protection locked="0"/>
    </xf>
    <xf numFmtId="0" fontId="5" fillId="3" borderId="4" xfId="0" applyFont="1" applyFill="1" applyBorder="1" applyAlignment="1">
      <alignment horizontal="left" vertical="top" wrapText="1"/>
    </xf>
    <xf numFmtId="14" fontId="6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164" fontId="6" fillId="3" borderId="4" xfId="1" applyNumberFormat="1" applyFont="1" applyFill="1" applyBorder="1" applyAlignment="1" applyProtection="1">
      <alignment horizontal="left" vertical="center" wrapText="1"/>
      <protection locked="0"/>
    </xf>
    <xf numFmtId="22" fontId="6" fillId="3" borderId="4" xfId="0" applyNumberFormat="1" applyFont="1" applyFill="1" applyBorder="1" applyAlignment="1">
      <alignment horizontal="left" vertical="center" wrapText="1"/>
    </xf>
    <xf numFmtId="164" fontId="8" fillId="3" borderId="4" xfId="1" applyNumberFormat="1" applyFont="1" applyFill="1" applyBorder="1" applyAlignment="1" applyProtection="1">
      <alignment horizontal="left" vertical="center" wrapText="1"/>
      <protection locked="0"/>
    </xf>
    <xf numFmtId="0" fontId="9" fillId="2" borderId="7" xfId="0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 vertical="top" wrapText="1"/>
    </xf>
    <xf numFmtId="0" fontId="9" fillId="2" borderId="29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9" fillId="2" borderId="19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top" wrapText="1"/>
    </xf>
    <xf numFmtId="0" fontId="9" fillId="2" borderId="22" xfId="0" applyFont="1" applyFill="1" applyBorder="1" applyAlignment="1">
      <alignment horizontal="left" vertical="top" wrapText="1"/>
    </xf>
    <xf numFmtId="14" fontId="6" fillId="3" borderId="7" xfId="0" applyNumberFormat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7" fillId="2" borderId="14" xfId="1" applyFont="1" applyFill="1" applyBorder="1" applyAlignment="1" applyProtection="1">
      <alignment horizontal="center" vertical="top" wrapText="1"/>
      <protection locked="0"/>
    </xf>
    <xf numFmtId="0" fontId="7" fillId="2" borderId="33" xfId="1" applyFont="1" applyFill="1" applyBorder="1" applyAlignment="1" applyProtection="1">
      <alignment horizontal="left" vertical="top" wrapText="1"/>
      <protection locked="0"/>
    </xf>
    <xf numFmtId="0" fontId="7" fillId="2" borderId="30" xfId="1" applyFont="1" applyFill="1" applyBorder="1" applyAlignment="1" applyProtection="1">
      <alignment horizontal="left" vertical="top" wrapText="1"/>
      <protection locked="0"/>
    </xf>
    <xf numFmtId="0" fontId="7" fillId="2" borderId="34" xfId="1" applyFont="1" applyFill="1" applyBorder="1" applyAlignment="1" applyProtection="1">
      <alignment horizontal="left" vertical="top" wrapText="1"/>
      <protection locked="0"/>
    </xf>
    <xf numFmtId="0" fontId="7" fillId="2" borderId="35" xfId="1" applyFont="1" applyFill="1" applyBorder="1" applyAlignment="1" applyProtection="1">
      <alignment horizontal="left" vertical="top" wrapText="1"/>
      <protection locked="0"/>
    </xf>
    <xf numFmtId="0" fontId="7" fillId="2" borderId="21" xfId="1" applyFont="1" applyFill="1" applyBorder="1" applyAlignment="1" applyProtection="1">
      <alignment horizontal="left" vertical="top" wrapText="1"/>
      <protection locked="0"/>
    </xf>
    <xf numFmtId="0" fontId="7" fillId="2" borderId="22" xfId="1" applyFont="1" applyFill="1" applyBorder="1" applyAlignment="1" applyProtection="1">
      <alignment horizontal="left" vertical="top" wrapText="1"/>
      <protection locked="0"/>
    </xf>
    <xf numFmtId="0" fontId="7" fillId="3" borderId="36" xfId="0" applyFont="1" applyFill="1" applyBorder="1" applyAlignment="1">
      <alignment horizontal="left" vertical="top"/>
    </xf>
    <xf numFmtId="0" fontId="7" fillId="3" borderId="10" xfId="0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center"/>
    </xf>
    <xf numFmtId="0" fontId="8" fillId="3" borderId="4" xfId="1" applyFont="1" applyFill="1" applyBorder="1" applyAlignment="1" applyProtection="1">
      <alignment horizontal="center" vertical="center" wrapText="1"/>
      <protection locked="0"/>
    </xf>
    <xf numFmtId="0" fontId="8" fillId="3" borderId="6" xfId="1" applyFont="1" applyFill="1" applyBorder="1" applyAlignment="1" applyProtection="1">
      <alignment horizontal="center" vertical="center" wrapText="1"/>
      <protection locked="0"/>
    </xf>
    <xf numFmtId="9" fontId="8" fillId="3" borderId="4" xfId="1" applyNumberFormat="1" applyFont="1" applyFill="1" applyBorder="1" applyAlignment="1" applyProtection="1">
      <alignment horizontal="center" vertical="center" wrapText="1"/>
      <protection hidden="1"/>
    </xf>
    <xf numFmtId="9" fontId="8" fillId="3" borderId="6" xfId="1" applyNumberFormat="1" applyFont="1" applyFill="1" applyBorder="1" applyAlignment="1" applyProtection="1">
      <alignment horizontal="center" vertical="center" wrapText="1"/>
      <protection hidden="1"/>
    </xf>
    <xf numFmtId="9" fontId="8" fillId="3" borderId="12" xfId="1" applyNumberFormat="1" applyFont="1" applyFill="1" applyBorder="1" applyAlignment="1" applyProtection="1">
      <alignment horizontal="center" vertical="center" wrapText="1"/>
      <protection hidden="1"/>
    </xf>
    <xf numFmtId="9" fontId="8" fillId="3" borderId="32" xfId="1" applyNumberFormat="1" applyFont="1" applyFill="1" applyBorder="1" applyAlignment="1" applyProtection="1">
      <alignment horizontal="center" vertical="center" wrapText="1"/>
      <protection hidden="1"/>
    </xf>
    <xf numFmtId="0" fontId="9" fillId="5" borderId="7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top" wrapText="1"/>
    </xf>
    <xf numFmtId="0" fontId="11" fillId="2" borderId="13" xfId="0" applyFont="1" applyFill="1" applyBorder="1" applyAlignment="1">
      <alignment horizontal="center" vertical="top" wrapText="1"/>
    </xf>
    <xf numFmtId="0" fontId="7" fillId="2" borderId="15" xfId="1" applyFont="1" applyFill="1" applyBorder="1" applyAlignment="1" applyProtection="1">
      <alignment horizontal="left" vertical="top" wrapText="1"/>
      <protection locked="0"/>
    </xf>
    <xf numFmtId="0" fontId="7" fillId="2" borderId="16" xfId="1" applyFont="1" applyFill="1" applyBorder="1" applyAlignment="1" applyProtection="1">
      <alignment horizontal="left" vertical="top" wrapText="1"/>
      <protection locked="0"/>
    </xf>
    <xf numFmtId="0" fontId="7" fillId="2" borderId="5" xfId="1" applyFont="1" applyFill="1" applyBorder="1" applyAlignment="1" applyProtection="1">
      <alignment horizontal="left" vertical="top" wrapText="1"/>
      <protection locked="0"/>
    </xf>
    <xf numFmtId="0" fontId="7" fillId="2" borderId="4" xfId="1" applyFont="1" applyFill="1" applyBorder="1" applyAlignment="1" applyProtection="1">
      <alignment horizontal="left" vertical="top" wrapText="1"/>
      <protection locked="0"/>
    </xf>
    <xf numFmtId="0" fontId="8" fillId="4" borderId="8" xfId="1" applyFont="1" applyFill="1" applyBorder="1" applyAlignment="1" applyProtection="1">
      <alignment horizontal="center" vertical="center" wrapText="1"/>
      <protection locked="0"/>
    </xf>
    <xf numFmtId="0" fontId="8" fillId="4" borderId="9" xfId="1" applyFont="1" applyFill="1" applyBorder="1" applyAlignment="1" applyProtection="1">
      <alignment horizontal="center" vertical="center" wrapText="1"/>
      <protection locked="0"/>
    </xf>
    <xf numFmtId="9" fontId="8" fillId="4" borderId="25" xfId="1" applyNumberFormat="1" applyFont="1" applyFill="1" applyBorder="1" applyAlignment="1" applyProtection="1">
      <alignment horizontal="center" vertical="center" wrapText="1"/>
      <protection hidden="1"/>
    </xf>
    <xf numFmtId="9" fontId="8" fillId="4" borderId="23" xfId="1" applyNumberFormat="1" applyFont="1" applyFill="1" applyBorder="1" applyAlignment="1" applyProtection="1">
      <alignment horizontal="center" vertical="center" wrapText="1"/>
      <protection hidden="1"/>
    </xf>
    <xf numFmtId="9" fontId="8" fillId="4" borderId="0" xfId="1" applyNumberFormat="1" applyFont="1" applyFill="1" applyBorder="1" applyAlignment="1" applyProtection="1">
      <alignment horizontal="center" vertical="center" wrapText="1"/>
      <protection hidden="1"/>
    </xf>
    <xf numFmtId="9" fontId="8" fillId="4" borderId="3" xfId="1" applyNumberFormat="1" applyFont="1" applyFill="1" applyBorder="1" applyAlignment="1" applyProtection="1">
      <alignment horizontal="center" vertical="center" wrapText="1"/>
      <protection hidden="1"/>
    </xf>
    <xf numFmtId="9" fontId="8" fillId="4" borderId="2" xfId="1" applyNumberFormat="1" applyFont="1" applyFill="1" applyBorder="1" applyAlignment="1" applyProtection="1">
      <alignment horizontal="center" vertical="center" wrapText="1"/>
      <protection hidden="1"/>
    </xf>
    <xf numFmtId="9" fontId="8" fillId="4" borderId="1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Hyperlink" xfId="2" builtinId="8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0000FF"/>
      <color rgb="FFE3F2F3"/>
      <color rgb="FFE5EEF1"/>
      <color rgb="FFBBDDBD"/>
      <color rgb="FFE1F5E7"/>
      <color rgb="FFF2FCDA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1.png"/><Relationship Id="rId2" Type="http://schemas.openxmlformats.org/officeDocument/2006/relationships/image" Target="../media/image30.png"/><Relationship Id="rId1" Type="http://schemas.openxmlformats.org/officeDocument/2006/relationships/image" Target="../media/image29.png"/><Relationship Id="rId6" Type="http://schemas.openxmlformats.org/officeDocument/2006/relationships/image" Target="../media/image34.png"/><Relationship Id="rId5" Type="http://schemas.openxmlformats.org/officeDocument/2006/relationships/image" Target="../media/image33.png"/><Relationship Id="rId4" Type="http://schemas.openxmlformats.org/officeDocument/2006/relationships/image" Target="../media/image3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394666</xdr:colOff>
      <xdr:row>39</xdr:row>
      <xdr:rowOff>95664</xdr:rowOff>
    </xdr:from>
    <xdr:to>
      <xdr:col>14</xdr:col>
      <xdr:colOff>418714</xdr:colOff>
      <xdr:row>47</xdr:row>
      <xdr:rowOff>204375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2291" y="12144789"/>
          <a:ext cx="3072048" cy="161366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447259</xdr:colOff>
      <xdr:row>48</xdr:row>
      <xdr:rowOff>37688</xdr:rowOff>
    </xdr:from>
    <xdr:to>
      <xdr:col>15</xdr:col>
      <xdr:colOff>338816</xdr:colOff>
      <xdr:row>52</xdr:row>
      <xdr:rowOff>472893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90959" y="13906088"/>
          <a:ext cx="4473082" cy="160677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802999</xdr:colOff>
      <xdr:row>51</xdr:row>
      <xdr:rowOff>187187</xdr:rowOff>
    </xdr:from>
    <xdr:to>
      <xdr:col>16</xdr:col>
      <xdr:colOff>108561</xdr:colOff>
      <xdr:row>53</xdr:row>
      <xdr:rowOff>474443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46699" y="14893787"/>
          <a:ext cx="4496687" cy="115030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13</xdr:col>
      <xdr:colOff>145774</xdr:colOff>
      <xdr:row>61</xdr:row>
      <xdr:rowOff>23606</xdr:rowOff>
    </xdr:from>
    <xdr:to>
      <xdr:col>20</xdr:col>
      <xdr:colOff>378988</xdr:colOff>
      <xdr:row>71</xdr:row>
      <xdr:rowOff>129575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51799" y="16797131"/>
          <a:ext cx="4500414" cy="172521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209550</xdr:colOff>
      <xdr:row>7</xdr:row>
      <xdr:rowOff>38100</xdr:rowOff>
    </xdr:from>
    <xdr:to>
      <xdr:col>13</xdr:col>
      <xdr:colOff>361511</xdr:colOff>
      <xdr:row>11</xdr:row>
      <xdr:rowOff>190369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953250" y="2076450"/>
          <a:ext cx="3514286" cy="104761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766326</xdr:colOff>
      <xdr:row>315</xdr:row>
      <xdr:rowOff>41413</xdr:rowOff>
    </xdr:from>
    <xdr:to>
      <xdr:col>7</xdr:col>
      <xdr:colOff>72974</xdr:colOff>
      <xdr:row>334</xdr:row>
      <xdr:rowOff>136908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66326" y="56205783"/>
          <a:ext cx="5220431" cy="324288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418930</xdr:colOff>
      <xdr:row>335</xdr:row>
      <xdr:rowOff>128139</xdr:rowOff>
    </xdr:from>
    <xdr:to>
      <xdr:col>7</xdr:col>
      <xdr:colOff>306456</xdr:colOff>
      <xdr:row>361</xdr:row>
      <xdr:rowOff>74544</xdr:rowOff>
    </xdr:to>
    <xdr:grpSp>
      <xdr:nvGrpSpPr>
        <xdr:cNvPr id="32" name="Group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GrpSpPr/>
      </xdr:nvGrpSpPr>
      <xdr:grpSpPr>
        <a:xfrm>
          <a:off x="418930" y="60905922"/>
          <a:ext cx="5801309" cy="4253361"/>
          <a:chOff x="656767" y="3138583"/>
          <a:chExt cx="5940000" cy="4137515"/>
        </a:xfrm>
      </xdr:grpSpPr>
      <xdr:pic>
        <xdr:nvPicPr>
          <xdr:cNvPr id="33" name="Picture 32">
            <a:extLst>
              <a:ext uri="{FF2B5EF4-FFF2-40B4-BE49-F238E27FC236}">
                <a16:creationId xmlns:a16="http://schemas.microsoft.com/office/drawing/2014/main" xmlns="" id="{00000000-0008-0000-0000-000021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656767" y="3138583"/>
            <a:ext cx="5940000" cy="413751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4" name="Rectangle 33">
            <a:extLst>
              <a:ext uri="{FF2B5EF4-FFF2-40B4-BE49-F238E27FC236}">
                <a16:creationId xmlns:a16="http://schemas.microsoft.com/office/drawing/2014/main" xmlns="" id="{00000000-0008-0000-0000-000022000000}"/>
              </a:ext>
            </a:extLst>
          </xdr:cNvPr>
          <xdr:cNvSpPr/>
        </xdr:nvSpPr>
        <xdr:spPr>
          <a:xfrm rot="20936114">
            <a:off x="3548605" y="4448974"/>
            <a:ext cx="332436" cy="1043011"/>
          </a:xfrm>
          <a:prstGeom prst="rect">
            <a:avLst/>
          </a:prstGeom>
          <a:noFill/>
          <a:ln w="28575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35" name="TextBox 109">
            <a:extLst>
              <a:ext uri="{FF2B5EF4-FFF2-40B4-BE49-F238E27FC236}">
                <a16:creationId xmlns:a16="http://schemas.microsoft.com/office/drawing/2014/main" xmlns="" id="{00000000-0008-0000-0000-000023000000}"/>
              </a:ext>
            </a:extLst>
          </xdr:cNvPr>
          <xdr:cNvSpPr txBox="1"/>
        </xdr:nvSpPr>
        <xdr:spPr>
          <a:xfrm>
            <a:off x="691828" y="3159483"/>
            <a:ext cx="2051587" cy="338554"/>
          </a:xfrm>
          <a:prstGeom prst="rect">
            <a:avLst/>
          </a:prstGeom>
          <a:solidFill>
            <a:schemeClr val="bg2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600" b="1"/>
              <a:t>Omkara Pride Phase 1</a:t>
            </a:r>
          </a:p>
        </xdr:txBody>
      </xdr:sp>
      <xdr:sp macro="" textlink="">
        <xdr:nvSpPr>
          <xdr:cNvPr id="36" name="TextBox 110">
            <a:extLst>
              <a:ext uri="{FF2B5EF4-FFF2-40B4-BE49-F238E27FC236}">
                <a16:creationId xmlns:a16="http://schemas.microsoft.com/office/drawing/2014/main" xmlns="" id="{00000000-0008-0000-0000-000024000000}"/>
              </a:ext>
            </a:extLst>
          </xdr:cNvPr>
          <xdr:cNvSpPr txBox="1"/>
        </xdr:nvSpPr>
        <xdr:spPr>
          <a:xfrm>
            <a:off x="3491563" y="4547385"/>
            <a:ext cx="314510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>
                <a:solidFill>
                  <a:srgbClr val="FFFF00"/>
                </a:solidFill>
              </a:rPr>
              <a:t>B</a:t>
            </a:r>
          </a:p>
        </xdr:txBody>
      </xdr:sp>
      <xdr:sp macro="" textlink="">
        <xdr:nvSpPr>
          <xdr:cNvPr id="37" name="TextBox 111">
            <a:extLst>
              <a:ext uri="{FF2B5EF4-FFF2-40B4-BE49-F238E27FC236}">
                <a16:creationId xmlns:a16="http://schemas.microsoft.com/office/drawing/2014/main" xmlns="" id="{00000000-0008-0000-0000-000025000000}"/>
              </a:ext>
            </a:extLst>
          </xdr:cNvPr>
          <xdr:cNvSpPr txBox="1"/>
        </xdr:nvSpPr>
        <xdr:spPr>
          <a:xfrm>
            <a:off x="3598299" y="4960300"/>
            <a:ext cx="324128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>
                <a:solidFill>
                  <a:srgbClr val="FFFF00"/>
                </a:solidFill>
              </a:rPr>
              <a:t>A</a:t>
            </a:r>
          </a:p>
        </xdr:txBody>
      </xdr:sp>
      <xdr:sp macro="" textlink="">
        <xdr:nvSpPr>
          <xdr:cNvPr id="38" name="TextBox 112">
            <a:extLst>
              <a:ext uri="{FF2B5EF4-FFF2-40B4-BE49-F238E27FC236}">
                <a16:creationId xmlns:a16="http://schemas.microsoft.com/office/drawing/2014/main" xmlns="" id="{00000000-0008-0000-0000-000026000000}"/>
              </a:ext>
            </a:extLst>
          </xdr:cNvPr>
          <xdr:cNvSpPr txBox="1"/>
        </xdr:nvSpPr>
        <xdr:spPr>
          <a:xfrm rot="4474922">
            <a:off x="3533366" y="4762767"/>
            <a:ext cx="930878" cy="31317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1">
                <a:solidFill>
                  <a:srgbClr val="FFFF00"/>
                </a:solidFill>
              </a:rPr>
              <a:t>Bldg No.1</a:t>
            </a:r>
          </a:p>
        </xdr:txBody>
      </xdr:sp>
      <xdr:cxnSp macro="">
        <xdr:nvCxnSpPr>
          <xdr:cNvPr id="39" name="Straight Arrow Connector 38">
            <a:extLst>
              <a:ext uri="{FF2B5EF4-FFF2-40B4-BE49-F238E27FC236}">
                <a16:creationId xmlns:a16="http://schemas.microsoft.com/office/drawing/2014/main" xmlns="" id="{00000000-0008-0000-0000-000027000000}"/>
              </a:ext>
            </a:extLst>
          </xdr:cNvPr>
          <xdr:cNvCxnSpPr>
            <a:stCxn id="35" idx="2"/>
            <a:endCxn id="36" idx="1"/>
          </xdr:cNvCxnSpPr>
        </xdr:nvCxnSpPr>
        <xdr:spPr>
          <a:xfrm>
            <a:off x="1717622" y="3498037"/>
            <a:ext cx="1773941" cy="1234014"/>
          </a:xfrm>
          <a:prstGeom prst="straightConnector1">
            <a:avLst/>
          </a:prstGeom>
          <a:ln>
            <a:solidFill>
              <a:srgbClr val="FFFF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572328</xdr:colOff>
      <xdr:row>78</xdr:row>
      <xdr:rowOff>60463</xdr:rowOff>
    </xdr:from>
    <xdr:to>
      <xdr:col>24</xdr:col>
      <xdr:colOff>374102</xdr:colOff>
      <xdr:row>92</xdr:row>
      <xdr:rowOff>109612</xdr:rowOff>
    </xdr:to>
    <xdr:grpSp>
      <xdr:nvGrpSpPr>
        <xdr:cNvPr id="40" name="Group 39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GrpSpPr/>
      </xdr:nvGrpSpPr>
      <xdr:grpSpPr>
        <a:xfrm>
          <a:off x="7347502" y="21222528"/>
          <a:ext cx="9923122" cy="2376562"/>
          <a:chOff x="6893420" y="20426423"/>
          <a:chExt cx="9805216" cy="1957560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xmlns="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6893420" y="20426423"/>
            <a:ext cx="9805216" cy="1957560"/>
          </a:xfrm>
          <a:prstGeom prst="rect">
            <a:avLst/>
          </a:prstGeom>
        </xdr:spPr>
      </xdr:pic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xmlns="" id="{00000000-0008-0000-0000-00000F000000}"/>
              </a:ext>
            </a:extLst>
          </xdr:cNvPr>
          <xdr:cNvSpPr txBox="1"/>
        </xdr:nvSpPr>
        <xdr:spPr>
          <a:xfrm>
            <a:off x="7037854" y="20576800"/>
            <a:ext cx="3484470" cy="898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 b="1">
                <a:solidFill>
                  <a:srgbClr val="FF0000"/>
                </a:solidFill>
              </a:rPr>
              <a:t>As</a:t>
            </a:r>
            <a:r>
              <a:rPr lang="en-IN" sz="1200" b="1" baseline="0">
                <a:solidFill>
                  <a:srgbClr val="FF0000"/>
                </a:solidFill>
              </a:rPr>
              <a:t> per CC 30/06/2022 Builtup Area of building no.1  is same as per plan 25/06/2024 this date of plan newly amended beacuse new phase launched on plot as per mentiond layout plan</a:t>
            </a:r>
            <a:endParaRPr lang="en-IN" sz="1200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0</xdr:col>
      <xdr:colOff>553959</xdr:colOff>
      <xdr:row>285</xdr:row>
      <xdr:rowOff>141293</xdr:rowOff>
    </xdr:from>
    <xdr:to>
      <xdr:col>7</xdr:col>
      <xdr:colOff>400176</xdr:colOff>
      <xdr:row>311</xdr:row>
      <xdr:rowOff>153298</xdr:rowOff>
    </xdr:to>
    <xdr:grpSp>
      <xdr:nvGrpSpPr>
        <xdr:cNvPr id="44" name="Group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GrpSpPr/>
      </xdr:nvGrpSpPr>
      <xdr:grpSpPr>
        <a:xfrm>
          <a:off x="553959" y="52636467"/>
          <a:ext cx="5760000" cy="4318961"/>
          <a:chOff x="553959" y="47911969"/>
          <a:chExt cx="5751717" cy="4090947"/>
        </a:xfrm>
      </xdr:grpSpPr>
      <xdr:grpSp>
        <xdr:nvGrpSpPr>
          <xdr:cNvPr id="4" name="Group 3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GrpSpPr/>
        </xdr:nvGrpSpPr>
        <xdr:grpSpPr>
          <a:xfrm>
            <a:off x="553959" y="47911969"/>
            <a:ext cx="5751717" cy="4090947"/>
            <a:chOff x="648664" y="1059861"/>
            <a:chExt cx="5760000" cy="4318963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xmlns="" id="{00000000-0008-0000-0000-000005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648664" y="1059861"/>
              <a:ext cx="5760000" cy="4318963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6" name="Rectangle 5">
              <a:extLst>
                <a:ext uri="{FF2B5EF4-FFF2-40B4-BE49-F238E27FC236}">
                  <a16:creationId xmlns:a16="http://schemas.microsoft.com/office/drawing/2014/main" xmlns="" id="{00000000-0008-0000-0000-000006000000}"/>
                </a:ext>
              </a:extLst>
            </xdr:cNvPr>
            <xdr:cNvSpPr/>
          </xdr:nvSpPr>
          <xdr:spPr>
            <a:xfrm>
              <a:off x="1295400" y="2340829"/>
              <a:ext cx="1619250" cy="850592"/>
            </a:xfrm>
            <a:prstGeom prst="rect">
              <a:avLst/>
            </a:prstGeom>
            <a:noFill/>
            <a:ln w="28575">
              <a:solidFill>
                <a:srgbClr val="C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>
                <a:solidFill>
                  <a:srgbClr val="C00000"/>
                </a:solidFill>
              </a:endParaRPr>
            </a:p>
          </xdr:txBody>
        </xdr:sp>
        <xdr:sp macro="" textlink="">
          <xdr:nvSpPr>
            <xdr:cNvPr id="7" name="Rectangle 6">
              <a:extLst>
                <a:ext uri="{FF2B5EF4-FFF2-40B4-BE49-F238E27FC236}">
                  <a16:creationId xmlns:a16="http://schemas.microsoft.com/office/drawing/2014/main" xmlns="" id="{00000000-0008-0000-0000-000007000000}"/>
                </a:ext>
              </a:extLst>
            </xdr:cNvPr>
            <xdr:cNvSpPr/>
          </xdr:nvSpPr>
          <xdr:spPr>
            <a:xfrm>
              <a:off x="2931350" y="2340829"/>
              <a:ext cx="1241154" cy="850592"/>
            </a:xfrm>
            <a:prstGeom prst="rect">
              <a:avLst/>
            </a:prstGeom>
            <a:noFill/>
            <a:ln w="28575">
              <a:solidFill>
                <a:srgbClr val="C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8" name="Rectangle 7">
              <a:extLst>
                <a:ext uri="{FF2B5EF4-FFF2-40B4-BE49-F238E27FC236}">
                  <a16:creationId xmlns:a16="http://schemas.microsoft.com/office/drawing/2014/main" xmlns="" id="{00000000-0008-0000-0000-000008000000}"/>
                </a:ext>
              </a:extLst>
            </xdr:cNvPr>
            <xdr:cNvSpPr/>
          </xdr:nvSpPr>
          <xdr:spPr>
            <a:xfrm>
              <a:off x="4440922" y="1614622"/>
              <a:ext cx="1340753" cy="1352757"/>
            </a:xfrm>
            <a:prstGeom prst="rect">
              <a:avLst/>
            </a:prstGeom>
            <a:noFill/>
            <a:ln w="28575">
              <a:solidFill>
                <a:srgbClr val="0000FF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9" name="TextBox 37">
              <a:extLst>
                <a:ext uri="{FF2B5EF4-FFF2-40B4-BE49-F238E27FC236}">
                  <a16:creationId xmlns:a16="http://schemas.microsoft.com/office/drawing/2014/main" xmlns="" id="{00000000-0008-0000-0000-000009000000}"/>
                </a:ext>
              </a:extLst>
            </xdr:cNvPr>
            <xdr:cNvSpPr txBox="1"/>
          </xdr:nvSpPr>
          <xdr:spPr>
            <a:xfrm>
              <a:off x="1673222" y="2035818"/>
              <a:ext cx="875561" cy="39499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>
                  <a:solidFill>
                    <a:srgbClr val="C00000"/>
                  </a:solidFill>
                </a:rPr>
                <a:t>Wing A</a:t>
              </a:r>
            </a:p>
          </xdr:txBody>
        </xdr:sp>
        <xdr:sp macro="" textlink="">
          <xdr:nvSpPr>
            <xdr:cNvPr id="10" name="TextBox 88">
              <a:extLst>
                <a:ext uri="{FF2B5EF4-FFF2-40B4-BE49-F238E27FC236}">
                  <a16:creationId xmlns:a16="http://schemas.microsoft.com/office/drawing/2014/main" xmlns="" id="{00000000-0008-0000-0000-00000A000000}"/>
                </a:ext>
              </a:extLst>
            </xdr:cNvPr>
            <xdr:cNvSpPr txBox="1"/>
          </xdr:nvSpPr>
          <xdr:spPr>
            <a:xfrm>
              <a:off x="3139045" y="2000326"/>
              <a:ext cx="865943" cy="39499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>
                  <a:solidFill>
                    <a:srgbClr val="C00000"/>
                  </a:solidFill>
                </a:rPr>
                <a:t>Wing B</a:t>
              </a:r>
            </a:p>
          </xdr:txBody>
        </xdr:sp>
        <xdr:sp macro="" textlink="">
          <xdr:nvSpPr>
            <xdr:cNvPr id="11" name="TextBox 89">
              <a:extLst>
                <a:ext uri="{FF2B5EF4-FFF2-40B4-BE49-F238E27FC236}">
                  <a16:creationId xmlns:a16="http://schemas.microsoft.com/office/drawing/2014/main" xmlns="" id="{00000000-0008-0000-0000-00000B000000}"/>
                </a:ext>
              </a:extLst>
            </xdr:cNvPr>
            <xdr:cNvSpPr txBox="1"/>
          </xdr:nvSpPr>
          <xdr:spPr>
            <a:xfrm>
              <a:off x="4633078" y="2884566"/>
              <a:ext cx="922047" cy="39499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>
                  <a:solidFill>
                    <a:srgbClr val="0000FF"/>
                  </a:solidFill>
                </a:rPr>
                <a:t>Phase 2</a:t>
              </a:r>
            </a:p>
          </xdr:txBody>
        </xdr:sp>
        <xdr:sp macro="" textlink="">
          <xdr:nvSpPr>
            <xdr:cNvPr id="12" name="TextBox 90">
              <a:extLst>
                <a:ext uri="{FF2B5EF4-FFF2-40B4-BE49-F238E27FC236}">
                  <a16:creationId xmlns:a16="http://schemas.microsoft.com/office/drawing/2014/main" xmlns="" id="{00000000-0008-0000-0000-00000C000000}"/>
                </a:ext>
              </a:extLst>
            </xdr:cNvPr>
            <xdr:cNvSpPr txBox="1"/>
          </xdr:nvSpPr>
          <xdr:spPr>
            <a:xfrm>
              <a:off x="2335058" y="3132782"/>
              <a:ext cx="922047" cy="39499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>
                  <a:solidFill>
                    <a:srgbClr val="C00000"/>
                  </a:solidFill>
                </a:rPr>
                <a:t>Phase 1</a:t>
              </a:r>
            </a:p>
          </xdr:txBody>
        </xdr:sp>
        <xdr:sp macro="" textlink="">
          <xdr:nvSpPr>
            <xdr:cNvPr id="13" name="TextBox 91">
              <a:extLst>
                <a:ext uri="{FF2B5EF4-FFF2-40B4-BE49-F238E27FC236}">
                  <a16:creationId xmlns:a16="http://schemas.microsoft.com/office/drawing/2014/main" xmlns="" id="{00000000-0008-0000-0000-00000D000000}"/>
                </a:ext>
              </a:extLst>
            </xdr:cNvPr>
            <xdr:cNvSpPr txBox="1"/>
          </xdr:nvSpPr>
          <xdr:spPr>
            <a:xfrm>
              <a:off x="4713502" y="1894661"/>
              <a:ext cx="857927" cy="394994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>
                  <a:solidFill>
                    <a:srgbClr val="0000FF"/>
                  </a:solidFill>
                </a:rPr>
                <a:t>Wing C</a:t>
              </a:r>
            </a:p>
          </xdr:txBody>
        </xdr:sp>
      </xdr:grpSp>
      <xdr:grpSp>
        <xdr:nvGrpSpPr>
          <xdr:cNvPr id="41" name="Group 40">
            <a:extLst>
              <a:ext uri="{FF2B5EF4-FFF2-40B4-BE49-F238E27FC236}">
                <a16:creationId xmlns:a16="http://schemas.microsoft.com/office/drawing/2014/main" xmlns="" id="{00000000-0008-0000-0000-000029000000}"/>
              </a:ext>
            </a:extLst>
          </xdr:cNvPr>
          <xdr:cNvGrpSpPr/>
        </xdr:nvGrpSpPr>
        <xdr:grpSpPr>
          <a:xfrm rot="5400000">
            <a:off x="5420326" y="50116245"/>
            <a:ext cx="474784" cy="653889"/>
            <a:chOff x="781208" y="1614179"/>
            <a:chExt cx="474784" cy="653889"/>
          </a:xfrm>
        </xdr:grpSpPr>
        <xdr:sp macro="" textlink="">
          <xdr:nvSpPr>
            <xdr:cNvPr id="42" name="Right Arrow 41">
              <a:extLst>
                <a:ext uri="{FF2B5EF4-FFF2-40B4-BE49-F238E27FC236}">
                  <a16:creationId xmlns:a16="http://schemas.microsoft.com/office/drawing/2014/main" xmlns="" id="{00000000-0008-0000-0000-00002A000000}"/>
                </a:ext>
              </a:extLst>
            </xdr:cNvPr>
            <xdr:cNvSpPr/>
          </xdr:nvSpPr>
          <xdr:spPr>
            <a:xfrm rot="16200000">
              <a:off x="835225" y="2048656"/>
              <a:ext cx="281005" cy="157819"/>
            </a:xfrm>
            <a:prstGeom prst="rightArrow">
              <a:avLst/>
            </a:prstGeom>
            <a:solidFill>
              <a:schemeClr val="tx1"/>
            </a:solidFill>
            <a:ln w="381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 sz="1400"/>
            </a:p>
          </xdr:txBody>
        </xdr:sp>
        <xdr:sp macro="" textlink="">
          <xdr:nvSpPr>
            <xdr:cNvPr id="43" name="TextBox 7">
              <a:extLst>
                <a:ext uri="{FF2B5EF4-FFF2-40B4-BE49-F238E27FC236}">
                  <a16:creationId xmlns:a16="http://schemas.microsoft.com/office/drawing/2014/main" xmlns="" id="{00000000-0008-0000-0000-00002B000000}"/>
                </a:ext>
              </a:extLst>
            </xdr:cNvPr>
            <xdr:cNvSpPr txBox="1"/>
          </xdr:nvSpPr>
          <xdr:spPr>
            <a:xfrm>
              <a:off x="781208" y="1614179"/>
              <a:ext cx="474784" cy="447695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2400" b="1">
                  <a:latin typeface="Times New Roman" panose="02020603050405020304" pitchFamily="18" charset="0"/>
                  <a:cs typeface="Times New Roman" panose="02020603050405020304" pitchFamily="18" charset="0"/>
                </a:rPr>
                <a:t>N</a:t>
              </a:r>
              <a:endParaRPr lang="en-IN" sz="24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xdr:grpSp>
    </xdr:grpSp>
    <xdr:clientData/>
  </xdr:twoCellAnchor>
  <xdr:twoCellAnchor>
    <xdr:from>
      <xdr:col>1</xdr:col>
      <xdr:colOff>589090</xdr:colOff>
      <xdr:row>261</xdr:row>
      <xdr:rowOff>72911</xdr:rowOff>
    </xdr:from>
    <xdr:to>
      <xdr:col>6</xdr:col>
      <xdr:colOff>280147</xdr:colOff>
      <xdr:row>285</xdr:row>
      <xdr:rowOff>33618</xdr:rowOff>
    </xdr:to>
    <xdr:grpSp>
      <xdr:nvGrpSpPr>
        <xdr:cNvPr id="48" name="Group 47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GrpSpPr/>
      </xdr:nvGrpSpPr>
      <xdr:grpSpPr>
        <a:xfrm>
          <a:off x="1392503" y="48592433"/>
          <a:ext cx="3940035" cy="3936359"/>
          <a:chOff x="1333160" y="44860581"/>
          <a:chExt cx="3920157" cy="3841864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xmlns="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1333160" y="44860581"/>
            <a:ext cx="3920157" cy="384186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grpSp>
        <xdr:nvGrpSpPr>
          <xdr:cNvPr id="45" name="Group 44">
            <a:extLst>
              <a:ext uri="{FF2B5EF4-FFF2-40B4-BE49-F238E27FC236}">
                <a16:creationId xmlns:a16="http://schemas.microsoft.com/office/drawing/2014/main" xmlns="" id="{00000000-0008-0000-0000-00002D000000}"/>
              </a:ext>
            </a:extLst>
          </xdr:cNvPr>
          <xdr:cNvGrpSpPr/>
        </xdr:nvGrpSpPr>
        <xdr:grpSpPr>
          <a:xfrm>
            <a:off x="4481453" y="47679980"/>
            <a:ext cx="497545" cy="655384"/>
            <a:chOff x="141426" y="-157281"/>
            <a:chExt cx="474784" cy="1083380"/>
          </a:xfrm>
        </xdr:grpSpPr>
        <xdr:sp macro="" textlink="">
          <xdr:nvSpPr>
            <xdr:cNvPr id="46" name="Right Arrow 45">
              <a:extLst>
                <a:ext uri="{FF2B5EF4-FFF2-40B4-BE49-F238E27FC236}">
                  <a16:creationId xmlns:a16="http://schemas.microsoft.com/office/drawing/2014/main" xmlns="" id="{00000000-0008-0000-0000-00002E000000}"/>
                </a:ext>
              </a:extLst>
            </xdr:cNvPr>
            <xdr:cNvSpPr/>
          </xdr:nvSpPr>
          <xdr:spPr>
            <a:xfrm rot="16200000">
              <a:off x="215550" y="630633"/>
              <a:ext cx="386861" cy="204072"/>
            </a:xfrm>
            <a:prstGeom prst="rightArrow">
              <a:avLst/>
            </a:prstGeom>
            <a:solidFill>
              <a:schemeClr val="tx1"/>
            </a:solidFill>
            <a:ln w="381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en-IN" sz="1400"/>
            </a:p>
          </xdr:txBody>
        </xdr:sp>
        <xdr:sp macro="" textlink="">
          <xdr:nvSpPr>
            <xdr:cNvPr id="47" name="TextBox 7">
              <a:extLst>
                <a:ext uri="{FF2B5EF4-FFF2-40B4-BE49-F238E27FC236}">
                  <a16:creationId xmlns:a16="http://schemas.microsoft.com/office/drawing/2014/main" xmlns="" id="{00000000-0008-0000-0000-00002F000000}"/>
                </a:ext>
              </a:extLst>
            </xdr:cNvPr>
            <xdr:cNvSpPr txBox="1"/>
          </xdr:nvSpPr>
          <xdr:spPr>
            <a:xfrm>
              <a:off x="141426" y="-157281"/>
              <a:ext cx="474784" cy="76315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r>
                <a:rPr lang="en-US" sz="2400" b="1">
                  <a:latin typeface="Times New Roman" panose="02020603050405020304" pitchFamily="18" charset="0"/>
                  <a:cs typeface="Times New Roman" panose="02020603050405020304" pitchFamily="18" charset="0"/>
                </a:rPr>
                <a:t>N</a:t>
              </a:r>
              <a:endParaRPr lang="en-IN" sz="24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xdr:grpSp>
    </xdr:grpSp>
    <xdr:clientData/>
  </xdr:twoCellAnchor>
  <xdr:twoCellAnchor editAs="oneCell">
    <xdr:from>
      <xdr:col>8</xdr:col>
      <xdr:colOff>298247</xdr:colOff>
      <xdr:row>26</xdr:row>
      <xdr:rowOff>374982</xdr:rowOff>
    </xdr:from>
    <xdr:to>
      <xdr:col>18</xdr:col>
      <xdr:colOff>491903</xdr:colOff>
      <xdr:row>34</xdr:row>
      <xdr:rowOff>61550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066600" y="6717511"/>
          <a:ext cx="6558597" cy="2375979"/>
        </a:xfrm>
        <a:prstGeom prst="rect">
          <a:avLst/>
        </a:prstGeom>
      </xdr:spPr>
    </xdr:pic>
    <xdr:clientData/>
  </xdr:twoCellAnchor>
  <xdr:twoCellAnchor editAs="oneCell">
    <xdr:from>
      <xdr:col>9</xdr:col>
      <xdr:colOff>16785</xdr:colOff>
      <xdr:row>152</xdr:row>
      <xdr:rowOff>15882</xdr:rowOff>
    </xdr:from>
    <xdr:to>
      <xdr:col>17</xdr:col>
      <xdr:colOff>487466</xdr:colOff>
      <xdr:row>172</xdr:row>
      <xdr:rowOff>41317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684410" y="26971632"/>
          <a:ext cx="5347481" cy="3263934"/>
        </a:xfrm>
        <a:prstGeom prst="rect">
          <a:avLst/>
        </a:prstGeom>
      </xdr:spPr>
    </xdr:pic>
    <xdr:clientData/>
  </xdr:twoCellAnchor>
  <xdr:twoCellAnchor editAs="oneCell">
    <xdr:from>
      <xdr:col>8</xdr:col>
      <xdr:colOff>481853</xdr:colOff>
      <xdr:row>37</xdr:row>
      <xdr:rowOff>750793</xdr:rowOff>
    </xdr:from>
    <xdr:to>
      <xdr:col>20</xdr:col>
      <xdr:colOff>79755</xdr:colOff>
      <xdr:row>47</xdr:row>
      <xdr:rowOff>136416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250206" y="10880911"/>
          <a:ext cx="7173078" cy="2713770"/>
        </a:xfrm>
        <a:prstGeom prst="rect">
          <a:avLst/>
        </a:prstGeom>
      </xdr:spPr>
    </xdr:pic>
    <xdr:clientData/>
  </xdr:twoCellAnchor>
  <xdr:twoCellAnchor editAs="oneCell">
    <xdr:from>
      <xdr:col>9</xdr:col>
      <xdr:colOff>455544</xdr:colOff>
      <xdr:row>126</xdr:row>
      <xdr:rowOff>422413</xdr:rowOff>
    </xdr:from>
    <xdr:to>
      <xdr:col>18</xdr:col>
      <xdr:colOff>319937</xdr:colOff>
      <xdr:row>146</xdr:row>
      <xdr:rowOff>122902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158370" y="24789848"/>
          <a:ext cx="5380610" cy="3336555"/>
        </a:xfrm>
        <a:prstGeom prst="rect">
          <a:avLst/>
        </a:prstGeom>
      </xdr:spPr>
    </xdr:pic>
    <xdr:clientData/>
  </xdr:twoCellAnchor>
  <xdr:oneCellAnchor>
    <xdr:from>
      <xdr:col>8</xdr:col>
      <xdr:colOff>802999</xdr:colOff>
      <xdr:row>52</xdr:row>
      <xdr:rowOff>187187</xdr:rowOff>
    </xdr:from>
    <xdr:ext cx="4523605" cy="1148647"/>
    <xdr:pic>
      <xdr:nvPicPr>
        <xdr:cNvPr id="54" name="Picture 53">
          <a:extLst>
            <a:ext uri="{FF2B5EF4-FFF2-40B4-BE49-F238E27FC236}">
              <a16:creationId xmlns:a16="http://schemas.microsoft.com/office/drawing/2014/main" xmlns="" id="{99CABFE7-152A-4FB2-AAF0-1F7365957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78173" y="14847404"/>
          <a:ext cx="4523605" cy="1148647"/>
        </a:xfrm>
        <a:prstGeom prst="rect">
          <a:avLst/>
        </a:prstGeom>
        <a:ln>
          <a:solidFill>
            <a:schemeClr val="tx1"/>
          </a:solidFill>
        </a:ln>
      </xdr:spPr>
    </xdr:pic>
    <xdr:clientData/>
  </xdr:oneCellAnchor>
  <xdr:twoCellAnchor editAs="oneCell">
    <xdr:from>
      <xdr:col>8</xdr:col>
      <xdr:colOff>182217</xdr:colOff>
      <xdr:row>54</xdr:row>
      <xdr:rowOff>66261</xdr:rowOff>
    </xdr:from>
    <xdr:to>
      <xdr:col>16</xdr:col>
      <xdr:colOff>364174</xdr:colOff>
      <xdr:row>69</xdr:row>
      <xdr:rowOff>60121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5DC29390-84E2-404E-AA44-A300E3864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57391" y="16308457"/>
          <a:ext cx="5400000" cy="3364882"/>
        </a:xfrm>
        <a:prstGeom prst="rect">
          <a:avLst/>
        </a:prstGeom>
      </xdr:spPr>
    </xdr:pic>
    <xdr:clientData/>
  </xdr:twoCellAnchor>
  <xdr:twoCellAnchor editAs="oneCell">
    <xdr:from>
      <xdr:col>8</xdr:col>
      <xdr:colOff>256760</xdr:colOff>
      <xdr:row>71</xdr:row>
      <xdr:rowOff>149086</xdr:rowOff>
    </xdr:from>
    <xdr:to>
      <xdr:col>13</xdr:col>
      <xdr:colOff>117456</xdr:colOff>
      <xdr:row>86</xdr:row>
      <xdr:rowOff>36449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452000BB-0A84-48B1-A0F0-0D883BBB3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031934" y="20093608"/>
          <a:ext cx="3240000" cy="2579211"/>
        </a:xfrm>
        <a:prstGeom prst="rect">
          <a:avLst/>
        </a:prstGeom>
      </xdr:spPr>
    </xdr:pic>
    <xdr:clientData/>
  </xdr:twoCellAnchor>
  <xdr:twoCellAnchor editAs="oneCell">
    <xdr:from>
      <xdr:col>8</xdr:col>
      <xdr:colOff>132522</xdr:colOff>
      <xdr:row>69</xdr:row>
      <xdr:rowOff>99391</xdr:rowOff>
    </xdr:from>
    <xdr:to>
      <xdr:col>13</xdr:col>
      <xdr:colOff>534170</xdr:colOff>
      <xdr:row>71</xdr:row>
      <xdr:rowOff>91897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EA2A4FBA-34AF-4049-B462-407FD5942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907696" y="19712608"/>
          <a:ext cx="3780952" cy="323810"/>
        </a:xfrm>
        <a:prstGeom prst="rect">
          <a:avLst/>
        </a:prstGeom>
      </xdr:spPr>
    </xdr:pic>
    <xdr:clientData/>
  </xdr:twoCellAnchor>
  <xdr:twoCellAnchor>
    <xdr:from>
      <xdr:col>9</xdr:col>
      <xdr:colOff>551142</xdr:colOff>
      <xdr:row>214</xdr:row>
      <xdr:rowOff>11107</xdr:rowOff>
    </xdr:from>
    <xdr:to>
      <xdr:col>11</xdr:col>
      <xdr:colOff>208671</xdr:colOff>
      <xdr:row>216</xdr:row>
      <xdr:rowOff>49135</xdr:rowOff>
    </xdr:to>
    <xdr:sp macro="" textlink="">
      <xdr:nvSpPr>
        <xdr:cNvPr id="73" name="TextBox 102">
          <a:extLst>
            <a:ext uri="{FF2B5EF4-FFF2-40B4-BE49-F238E27FC236}">
              <a16:creationId xmlns:a16="http://schemas.microsoft.com/office/drawing/2014/main" xmlns="" id="{5DDBD5DB-8908-4F4E-81BB-98A2AD5EE947}"/>
            </a:ext>
          </a:extLst>
        </xdr:cNvPr>
        <xdr:cNvSpPr txBox="1"/>
      </xdr:nvSpPr>
      <xdr:spPr>
        <a:xfrm>
          <a:off x="8238377" y="39623901"/>
          <a:ext cx="867765" cy="351793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Wing A</a:t>
          </a:r>
        </a:p>
      </xdr:txBody>
    </xdr:sp>
    <xdr:clientData/>
  </xdr:twoCellAnchor>
  <xdr:twoCellAnchor>
    <xdr:from>
      <xdr:col>13</xdr:col>
      <xdr:colOff>294380</xdr:colOff>
      <xdr:row>208</xdr:row>
      <xdr:rowOff>85650</xdr:rowOff>
    </xdr:from>
    <xdr:to>
      <xdr:col>14</xdr:col>
      <xdr:colOff>566284</xdr:colOff>
      <xdr:row>210</xdr:row>
      <xdr:rowOff>123678</xdr:rowOff>
    </xdr:to>
    <xdr:sp macro="" textlink="">
      <xdr:nvSpPr>
        <xdr:cNvPr id="74" name="TextBox 102">
          <a:extLst>
            <a:ext uri="{FF2B5EF4-FFF2-40B4-BE49-F238E27FC236}">
              <a16:creationId xmlns:a16="http://schemas.microsoft.com/office/drawing/2014/main" xmlns="" id="{F58DC01B-4C64-4AFC-BC0B-8A900FE84E22}"/>
            </a:ext>
          </a:extLst>
        </xdr:cNvPr>
        <xdr:cNvSpPr txBox="1"/>
      </xdr:nvSpPr>
      <xdr:spPr>
        <a:xfrm>
          <a:off x="10402086" y="38757150"/>
          <a:ext cx="877022" cy="351793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Wing B</a:t>
          </a:r>
        </a:p>
      </xdr:txBody>
    </xdr:sp>
    <xdr:clientData/>
  </xdr:twoCellAnchor>
  <xdr:twoCellAnchor>
    <xdr:from>
      <xdr:col>0</xdr:col>
      <xdr:colOff>62752</xdr:colOff>
      <xdr:row>206</xdr:row>
      <xdr:rowOff>61071</xdr:rowOff>
    </xdr:from>
    <xdr:to>
      <xdr:col>7</xdr:col>
      <xdr:colOff>793560</xdr:colOff>
      <xdr:row>257</xdr:row>
      <xdr:rowOff>157851</xdr:rowOff>
    </xdr:to>
    <xdr:grpSp>
      <xdr:nvGrpSpPr>
        <xdr:cNvPr id="19" name="Group 18"/>
        <xdr:cNvGrpSpPr/>
      </xdr:nvGrpSpPr>
      <xdr:grpSpPr>
        <a:xfrm>
          <a:off x="62752" y="39312354"/>
          <a:ext cx="6644591" cy="8702410"/>
          <a:chOff x="62752" y="38808771"/>
          <a:chExt cx="6617258" cy="8516880"/>
        </a:xfrm>
      </xdr:grpSpPr>
      <xdr:grpSp>
        <xdr:nvGrpSpPr>
          <xdr:cNvPr id="18" name="Group 17"/>
          <xdr:cNvGrpSpPr/>
        </xdr:nvGrpSpPr>
        <xdr:grpSpPr>
          <a:xfrm>
            <a:off x="62752" y="38808771"/>
            <a:ext cx="6617258" cy="8516880"/>
            <a:chOff x="62752" y="38808771"/>
            <a:chExt cx="6617258" cy="8516880"/>
          </a:xfrm>
        </xdr:grpSpPr>
        <xdr:pic>
          <xdr:nvPicPr>
            <xdr:cNvPr id="68" name="Picture 67" descr="https://vsjcllp.vsjadon.com/upload/insp-249971-851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517090" y="38841853"/>
              <a:ext cx="2162920" cy="2831702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87" name="Picture 86" descr="https://vsjcllp.vsjadon.com/upload/insp-249971-844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306170" y="38844457"/>
              <a:ext cx="2122955" cy="2833557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9" name="Picture 58" descr="https://vsjcllp.vsjadon.com/upload/insp-249971-152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479427" y="45676747"/>
              <a:ext cx="1264024" cy="1642131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0" name="Picture 59" descr="https://vsjcllp.vsjadon.com/upload/insp-249971-843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2752" y="38832864"/>
              <a:ext cx="2156068" cy="2831703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1" name="Picture 60" descr="https://vsjcllp.vsjadon.com/upload/insp-249971-84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1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487272" y="43940610"/>
              <a:ext cx="2218953" cy="1642487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7" name="Picture 66" descr="https://vsjcllp.vsjadon.com/upload/insp-249971-849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2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65972" y="43933549"/>
              <a:ext cx="2223329" cy="1640584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9" name="Picture 68" descr="https://vsjcllp.vsjadon.com/upload/insp-249971-880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3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395943" y="41751296"/>
              <a:ext cx="1591385" cy="207997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0" name="Picture 69" descr="https://vsjcllp.vsjadon.com/upload/insp-249971-883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4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745925" y="41740348"/>
              <a:ext cx="1585035" cy="2084949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1" name="Picture 70" descr="https://vsjcllp.vsjadon.com/upload/insp-249971-931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5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122444" y="45672375"/>
              <a:ext cx="1270064" cy="1653276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2" name="Picture 71" descr="https://vsjcllp.vsjadon.com/upload/insp-249971-919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6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9612" y="41736256"/>
              <a:ext cx="1604952" cy="2084949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6" name="Picture 75" descr="https://vsjcllp.vsjadon.com/upload/insp-249971-916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7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057823" y="41748074"/>
              <a:ext cx="1610485" cy="207388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79" name="TextBox 102">
              <a:extLst>
                <a:ext uri="{FF2B5EF4-FFF2-40B4-BE49-F238E27FC236}">
                  <a16:creationId xmlns:a16="http://schemas.microsoft.com/office/drawing/2014/main" xmlns="" id="{5DDBD5DB-8908-4F4E-81BB-98A2AD5EE947}"/>
                </a:ext>
              </a:extLst>
            </xdr:cNvPr>
            <xdr:cNvSpPr txBox="1"/>
          </xdr:nvSpPr>
          <xdr:spPr>
            <a:xfrm>
              <a:off x="3548902" y="38884971"/>
              <a:ext cx="878465" cy="361346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sz="1400" b="1">
                  <a:solidFill>
                    <a:sysClr val="windowText" lastClr="000000"/>
                  </a:solidFill>
                </a:rPr>
                <a:t>Wing B</a:t>
              </a:r>
            </a:p>
          </xdr:txBody>
        </xdr:sp>
        <xdr:sp macro="" textlink="">
          <xdr:nvSpPr>
            <xdr:cNvPr id="80" name="TextBox 102">
              <a:extLst>
                <a:ext uri="{FF2B5EF4-FFF2-40B4-BE49-F238E27FC236}">
                  <a16:creationId xmlns:a16="http://schemas.microsoft.com/office/drawing/2014/main" xmlns="" id="{5DDBD5DB-8908-4F4E-81BB-98A2AD5EE947}"/>
                </a:ext>
              </a:extLst>
            </xdr:cNvPr>
            <xdr:cNvSpPr txBox="1"/>
          </xdr:nvSpPr>
          <xdr:spPr>
            <a:xfrm>
              <a:off x="1291477" y="38808771"/>
              <a:ext cx="878465" cy="361346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sz="1400" b="1">
                  <a:solidFill>
                    <a:sysClr val="windowText" lastClr="000000"/>
                  </a:solidFill>
                </a:rPr>
                <a:t>Wing A</a:t>
              </a:r>
            </a:p>
          </xdr:txBody>
        </xdr:sp>
        <xdr:sp macro="" textlink="">
          <xdr:nvSpPr>
            <xdr:cNvPr id="86" name="TextBox 102">
              <a:extLst>
                <a:ext uri="{FF2B5EF4-FFF2-40B4-BE49-F238E27FC236}">
                  <a16:creationId xmlns:a16="http://schemas.microsoft.com/office/drawing/2014/main" xmlns="" id="{5DDBD5DB-8908-4F4E-81BB-98A2AD5EE947}"/>
                </a:ext>
              </a:extLst>
            </xdr:cNvPr>
            <xdr:cNvSpPr txBox="1"/>
          </xdr:nvSpPr>
          <xdr:spPr>
            <a:xfrm>
              <a:off x="5210175" y="38881050"/>
              <a:ext cx="878465" cy="361346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sz="1400" b="1">
                  <a:solidFill>
                    <a:sysClr val="windowText" lastClr="000000"/>
                  </a:solidFill>
                </a:rPr>
                <a:t>Wing A</a:t>
              </a:r>
            </a:p>
          </xdr:txBody>
        </xdr:sp>
      </xdr:grpSp>
      <xdr:sp macro="" textlink="">
        <xdr:nvSpPr>
          <xdr:cNvPr id="88" name="TextBox 102">
            <a:extLst>
              <a:ext uri="{FF2B5EF4-FFF2-40B4-BE49-F238E27FC236}">
                <a16:creationId xmlns:a16="http://schemas.microsoft.com/office/drawing/2014/main" xmlns="" id="{5DDBD5DB-8908-4F4E-81BB-98A2AD5EE947}"/>
              </a:ext>
            </a:extLst>
          </xdr:cNvPr>
          <xdr:cNvSpPr txBox="1"/>
        </xdr:nvSpPr>
        <xdr:spPr>
          <a:xfrm>
            <a:off x="5539627" y="41732946"/>
            <a:ext cx="878465" cy="361346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1">
                <a:solidFill>
                  <a:sysClr val="windowText" lastClr="000000"/>
                </a:solidFill>
              </a:rPr>
              <a:t>Wing A</a:t>
            </a:r>
          </a:p>
        </xdr:txBody>
      </xdr:sp>
      <xdr:sp macro="" textlink="">
        <xdr:nvSpPr>
          <xdr:cNvPr id="89" name="TextBox 102">
            <a:extLst>
              <a:ext uri="{FF2B5EF4-FFF2-40B4-BE49-F238E27FC236}">
                <a16:creationId xmlns:a16="http://schemas.microsoft.com/office/drawing/2014/main" xmlns="" id="{5DDBD5DB-8908-4F4E-81BB-98A2AD5EE947}"/>
              </a:ext>
            </a:extLst>
          </xdr:cNvPr>
          <xdr:cNvSpPr txBox="1"/>
        </xdr:nvSpPr>
        <xdr:spPr>
          <a:xfrm>
            <a:off x="2263027" y="42047271"/>
            <a:ext cx="878465" cy="361346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1">
                <a:solidFill>
                  <a:sysClr val="windowText" lastClr="000000"/>
                </a:solidFill>
              </a:rPr>
              <a:t>Wing B</a:t>
            </a:r>
          </a:p>
        </xdr:txBody>
      </xdr:sp>
      <xdr:sp macro="" textlink="">
        <xdr:nvSpPr>
          <xdr:cNvPr id="90" name="TextBox 102">
            <a:extLst>
              <a:ext uri="{FF2B5EF4-FFF2-40B4-BE49-F238E27FC236}">
                <a16:creationId xmlns:a16="http://schemas.microsoft.com/office/drawing/2014/main" xmlns="" id="{5DDBD5DB-8908-4F4E-81BB-98A2AD5EE947}"/>
              </a:ext>
            </a:extLst>
          </xdr:cNvPr>
          <xdr:cNvSpPr txBox="1"/>
        </xdr:nvSpPr>
        <xdr:spPr>
          <a:xfrm>
            <a:off x="510427" y="41980596"/>
            <a:ext cx="878465" cy="361346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1">
                <a:solidFill>
                  <a:sysClr val="windowText" lastClr="000000"/>
                </a:solidFill>
              </a:rPr>
              <a:t>Wing A</a:t>
            </a:r>
          </a:p>
        </xdr:txBody>
      </xdr:sp>
      <xdr:sp macro="" textlink="">
        <xdr:nvSpPr>
          <xdr:cNvPr id="91" name="TextBox 102">
            <a:extLst>
              <a:ext uri="{FF2B5EF4-FFF2-40B4-BE49-F238E27FC236}">
                <a16:creationId xmlns:a16="http://schemas.microsoft.com/office/drawing/2014/main" xmlns="" id="{5DDBD5DB-8908-4F4E-81BB-98A2AD5EE947}"/>
              </a:ext>
            </a:extLst>
          </xdr:cNvPr>
          <xdr:cNvSpPr txBox="1"/>
        </xdr:nvSpPr>
        <xdr:spPr>
          <a:xfrm>
            <a:off x="3796552" y="41932971"/>
            <a:ext cx="878465" cy="361346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1">
                <a:solidFill>
                  <a:sysClr val="windowText" lastClr="000000"/>
                </a:solidFill>
              </a:rPr>
              <a:t>Wing B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575397</xdr:colOff>
      <xdr:row>0</xdr:row>
      <xdr:rowOff>0</xdr:rowOff>
    </xdr:from>
    <xdr:to>
      <xdr:col>5</xdr:col>
      <xdr:colOff>1167515</xdr:colOff>
      <xdr:row>19</xdr:row>
      <xdr:rowOff>20801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9044" y="0"/>
          <a:ext cx="5298589" cy="36515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3</xdr:col>
      <xdr:colOff>725379</xdr:colOff>
      <xdr:row>29</xdr:row>
      <xdr:rowOff>29004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484783"/>
          <a:ext cx="4667901" cy="3077004"/>
        </a:xfrm>
        <a:prstGeom prst="rect">
          <a:avLst/>
        </a:prstGeom>
      </xdr:spPr>
    </xdr:pic>
    <xdr:clientData/>
  </xdr:twoCellAnchor>
  <xdr:twoCellAnchor editAs="oneCell">
    <xdr:from>
      <xdr:col>5</xdr:col>
      <xdr:colOff>442876</xdr:colOff>
      <xdr:row>12</xdr:row>
      <xdr:rowOff>100852</xdr:rowOff>
    </xdr:from>
    <xdr:to>
      <xdr:col>14</xdr:col>
      <xdr:colOff>449305</xdr:colOff>
      <xdr:row>29</xdr:row>
      <xdr:rowOff>35863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62994" y="2386852"/>
          <a:ext cx="6113635" cy="3184717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571500</xdr:colOff>
      <xdr:row>3</xdr:row>
      <xdr:rowOff>78441</xdr:rowOff>
    </xdr:from>
    <xdr:to>
      <xdr:col>9</xdr:col>
      <xdr:colOff>75934</xdr:colOff>
      <xdr:row>22</xdr:row>
      <xdr:rowOff>10582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61765" y="649941"/>
          <a:ext cx="6115904" cy="3562847"/>
        </a:xfrm>
        <a:prstGeom prst="rect">
          <a:avLst/>
        </a:prstGeom>
      </xdr:spPr>
    </xdr:pic>
    <xdr:clientData/>
  </xdr:twoCellAnchor>
  <xdr:twoCellAnchor editAs="oneCell">
    <xdr:from>
      <xdr:col>0</xdr:col>
      <xdr:colOff>246529</xdr:colOff>
      <xdr:row>2</xdr:row>
      <xdr:rowOff>30695</xdr:rowOff>
    </xdr:from>
    <xdr:to>
      <xdr:col>2</xdr:col>
      <xdr:colOff>447531</xdr:colOff>
      <xdr:row>27</xdr:row>
      <xdr:rowOff>10627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6529" y="411695"/>
          <a:ext cx="2991267" cy="4753638"/>
        </a:xfrm>
        <a:prstGeom prst="rect">
          <a:avLst/>
        </a:prstGeom>
      </xdr:spPr>
    </xdr:pic>
    <xdr:clientData/>
  </xdr:twoCellAnchor>
  <xdr:twoCellAnchor editAs="oneCell">
    <xdr:from>
      <xdr:col>8</xdr:col>
      <xdr:colOff>268942</xdr:colOff>
      <xdr:row>0</xdr:row>
      <xdr:rowOff>0</xdr:rowOff>
    </xdr:from>
    <xdr:to>
      <xdr:col>19</xdr:col>
      <xdr:colOff>595447</xdr:colOff>
      <xdr:row>12</xdr:row>
      <xdr:rowOff>181319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065560" y="0"/>
          <a:ext cx="6982799" cy="24673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KgMxwRQKBthrdKuW8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364"/>
  <sheetViews>
    <sheetView tabSelected="1" view="pageBreakPreview" zoomScale="115" zoomScaleNormal="115" zoomScaleSheetLayoutView="115" workbookViewId="0">
      <selection activeCell="I229" sqref="I229"/>
    </sheetView>
  </sheetViews>
  <sheetFormatPr defaultRowHeight="12.75" x14ac:dyDescent="0.2"/>
  <cols>
    <col min="1" max="2" width="12" style="6" customWidth="1"/>
    <col min="3" max="8" width="12.85546875" style="6" customWidth="1"/>
    <col min="9" max="9" width="13.85546875" style="6" customWidth="1"/>
    <col min="10" max="16384" width="9.140625" style="6"/>
  </cols>
  <sheetData>
    <row r="1" spans="1:20" ht="41.25" customHeight="1" x14ac:dyDescent="0.2">
      <c r="A1" s="159" t="s">
        <v>143</v>
      </c>
      <c r="B1" s="159"/>
      <c r="C1" s="160"/>
      <c r="D1" s="160"/>
      <c r="E1" s="160"/>
      <c r="F1" s="160"/>
      <c r="G1" s="160"/>
      <c r="H1" s="160"/>
    </row>
    <row r="2" spans="1:20" ht="14.25" x14ac:dyDescent="0.2">
      <c r="A2" s="164" t="s">
        <v>86</v>
      </c>
      <c r="B2" s="164"/>
      <c r="C2" s="164"/>
      <c r="D2" s="164"/>
      <c r="E2" s="164"/>
      <c r="F2" s="164"/>
      <c r="G2" s="164"/>
      <c r="H2" s="164"/>
    </row>
    <row r="3" spans="1:20" ht="25.5" x14ac:dyDescent="0.2">
      <c r="A3" s="12" t="s">
        <v>101</v>
      </c>
      <c r="B3" s="12"/>
      <c r="C3" s="209" t="s">
        <v>107</v>
      </c>
      <c r="D3" s="210"/>
      <c r="E3" s="211"/>
      <c r="F3" s="11" t="s">
        <v>102</v>
      </c>
      <c r="G3" s="212">
        <v>45933</v>
      </c>
      <c r="H3" s="212"/>
    </row>
    <row r="4" spans="1:20" ht="25.5" x14ac:dyDescent="0.2">
      <c r="A4" s="12" t="s">
        <v>105</v>
      </c>
      <c r="B4" s="12"/>
      <c r="C4" s="209" t="s">
        <v>283</v>
      </c>
      <c r="D4" s="210"/>
      <c r="E4" s="211"/>
      <c r="F4" s="11" t="s">
        <v>103</v>
      </c>
      <c r="G4" s="213" t="s">
        <v>303</v>
      </c>
      <c r="H4" s="213"/>
    </row>
    <row r="5" spans="1:20" ht="25.5" x14ac:dyDescent="0.2">
      <c r="A5" s="171" t="s">
        <v>106</v>
      </c>
      <c r="B5" s="172"/>
      <c r="C5" s="209" t="s">
        <v>299</v>
      </c>
      <c r="D5" s="210"/>
      <c r="E5" s="211"/>
      <c r="F5" s="11" t="s">
        <v>104</v>
      </c>
      <c r="G5" s="214" t="str">
        <f ca="1">TEXT(TODAY(),"DD/MM/YYYY")</f>
        <v>04/10/2025</v>
      </c>
      <c r="H5" s="214"/>
    </row>
    <row r="6" spans="1:20" ht="14.25" x14ac:dyDescent="0.2">
      <c r="A6" s="164" t="s">
        <v>100</v>
      </c>
      <c r="B6" s="164"/>
      <c r="C6" s="164"/>
      <c r="D6" s="164"/>
      <c r="E6" s="164"/>
      <c r="F6" s="164"/>
      <c r="G6" s="164"/>
      <c r="H6" s="164"/>
    </row>
    <row r="7" spans="1:20" ht="14.25" x14ac:dyDescent="0.2">
      <c r="A7" s="183" t="s">
        <v>0</v>
      </c>
      <c r="B7" s="184"/>
      <c r="C7" s="166" t="s">
        <v>226</v>
      </c>
      <c r="D7" s="166"/>
      <c r="E7" s="166"/>
      <c r="F7" s="166"/>
      <c r="G7" s="166"/>
      <c r="H7" s="166"/>
    </row>
    <row r="8" spans="1:20" ht="25.5" customHeight="1" x14ac:dyDescent="0.2">
      <c r="A8" s="183" t="s">
        <v>1</v>
      </c>
      <c r="B8" s="184"/>
      <c r="C8" s="161" t="str">
        <f>CONCATENATE((IF(OR(C7="",C7="NA"),"",C7)),", ",(IF(OR(A9="",A9="NA"),"",A9)),".",(IF(OR(C9="",C9="NA"),"",C9)),", near ",(IF(OR(C17="",C17="NA"),"",C17)),", ",(IF(OR(C11="",C11="NA"),"",C11)),", ",(IF(OR(C10="",C10="NA"),"",C10)),", ",(IF(OR(C12="",C12="NA"),"",C12)),", ",(IF(OR(C13="",C13="NA"),"",C13)),", ",(IF(OR(C14="",C14="NA"),"",C14))," - ",(IF(OR(C15="",C15="NA"),"",C15)),".")</f>
        <v>Omkara Pride Phase 1, Survey No.43/1/1 &amp; 43/1/4, near Kamdhenu Lifespaces Gardenia, Ghot Road, Koynavele, Taloja Panchanand East, Panvel, Raigad - 410208.</v>
      </c>
      <c r="D8" s="161"/>
      <c r="E8" s="161"/>
      <c r="F8" s="161"/>
      <c r="G8" s="161"/>
      <c r="H8" s="161"/>
      <c r="P8" s="53" t="s">
        <v>147</v>
      </c>
      <c r="Q8" s="53" t="s">
        <v>148</v>
      </c>
      <c r="R8" s="53" t="s">
        <v>149</v>
      </c>
      <c r="S8" s="53" t="s">
        <v>150</v>
      </c>
      <c r="T8" s="53" t="s">
        <v>151</v>
      </c>
    </row>
    <row r="9" spans="1:20" ht="15" x14ac:dyDescent="0.2">
      <c r="A9" s="183" t="s">
        <v>227</v>
      </c>
      <c r="B9" s="184"/>
      <c r="C9" s="161" t="s">
        <v>228</v>
      </c>
      <c r="D9" s="161"/>
      <c r="E9" s="161"/>
      <c r="F9" s="161"/>
      <c r="G9" s="161"/>
      <c r="H9" s="161"/>
      <c r="P9" s="53" t="s">
        <v>152</v>
      </c>
      <c r="Q9" s="53" t="s">
        <v>153</v>
      </c>
      <c r="R9" s="53" t="s">
        <v>154</v>
      </c>
      <c r="S9" s="53" t="s">
        <v>155</v>
      </c>
      <c r="T9" s="53" t="s">
        <v>156</v>
      </c>
    </row>
    <row r="10" spans="1:20" ht="15" x14ac:dyDescent="0.2">
      <c r="A10" s="183" t="s">
        <v>6</v>
      </c>
      <c r="B10" s="184"/>
      <c r="C10" s="162" t="s">
        <v>229</v>
      </c>
      <c r="D10" s="162"/>
      <c r="E10" s="162"/>
      <c r="F10" s="162"/>
      <c r="G10" s="162"/>
      <c r="H10" s="162"/>
      <c r="P10" s="53" t="s">
        <v>157</v>
      </c>
      <c r="Q10" s="53" t="s">
        <v>158</v>
      </c>
      <c r="R10" s="53" t="s">
        <v>159</v>
      </c>
      <c r="S10" s="53" t="s">
        <v>160</v>
      </c>
      <c r="T10" s="53" t="s">
        <v>161</v>
      </c>
    </row>
    <row r="11" spans="1:20" ht="15" x14ac:dyDescent="0.2">
      <c r="A11" s="183" t="s">
        <v>145</v>
      </c>
      <c r="B11" s="184"/>
      <c r="C11" s="162" t="s">
        <v>230</v>
      </c>
      <c r="D11" s="162"/>
      <c r="E11" s="162"/>
      <c r="F11" s="162"/>
      <c r="G11" s="162"/>
      <c r="H11" s="162"/>
      <c r="P11" s="53" t="s">
        <v>162</v>
      </c>
      <c r="Q11" s="53" t="s">
        <v>163</v>
      </c>
      <c r="R11" s="53" t="s">
        <v>164</v>
      </c>
      <c r="S11" s="53" t="s">
        <v>165</v>
      </c>
      <c r="T11" s="53" t="s">
        <v>166</v>
      </c>
    </row>
    <row r="12" spans="1:20" ht="15" x14ac:dyDescent="0.2">
      <c r="A12" s="183" t="s">
        <v>146</v>
      </c>
      <c r="B12" s="184"/>
      <c r="C12" s="162" t="s">
        <v>252</v>
      </c>
      <c r="D12" s="162"/>
      <c r="E12" s="162"/>
      <c r="F12" s="162"/>
      <c r="G12" s="162"/>
      <c r="H12" s="162"/>
      <c r="P12" s="53" t="s">
        <v>167</v>
      </c>
      <c r="Q12" s="53" t="s">
        <v>168</v>
      </c>
      <c r="R12" s="53" t="s">
        <v>149</v>
      </c>
      <c r="S12" s="53" t="s">
        <v>169</v>
      </c>
      <c r="T12" s="53" t="s">
        <v>170</v>
      </c>
    </row>
    <row r="13" spans="1:20" ht="15" x14ac:dyDescent="0.2">
      <c r="A13" s="183" t="s">
        <v>133</v>
      </c>
      <c r="B13" s="184"/>
      <c r="C13" s="162" t="s">
        <v>160</v>
      </c>
      <c r="D13" s="162"/>
      <c r="E13" s="162"/>
      <c r="F13" s="162"/>
      <c r="G13" s="162"/>
      <c r="H13" s="162"/>
      <c r="P13" s="53" t="s">
        <v>171</v>
      </c>
      <c r="Q13" s="53" t="s">
        <v>148</v>
      </c>
      <c r="R13" s="53"/>
      <c r="S13" s="53" t="s">
        <v>172</v>
      </c>
      <c r="T13" s="53" t="s">
        <v>173</v>
      </c>
    </row>
    <row r="14" spans="1:20" ht="15" x14ac:dyDescent="0.2">
      <c r="A14" s="183" t="s">
        <v>134</v>
      </c>
      <c r="B14" s="184"/>
      <c r="C14" s="162" t="s">
        <v>150</v>
      </c>
      <c r="D14" s="162"/>
      <c r="E14" s="162"/>
      <c r="F14" s="162"/>
      <c r="G14" s="162"/>
      <c r="H14" s="162"/>
      <c r="P14" s="53" t="s">
        <v>174</v>
      </c>
      <c r="Q14" s="53" t="s">
        <v>175</v>
      </c>
      <c r="R14" s="53"/>
      <c r="S14" s="53" t="s">
        <v>176</v>
      </c>
      <c r="T14" s="53" t="s">
        <v>177</v>
      </c>
    </row>
    <row r="15" spans="1:20" ht="15" x14ac:dyDescent="0.2">
      <c r="A15" s="183" t="s">
        <v>135</v>
      </c>
      <c r="B15" s="184"/>
      <c r="C15" s="133">
        <v>410208</v>
      </c>
      <c r="D15" s="133"/>
      <c r="E15" s="133"/>
      <c r="F15" s="133"/>
      <c r="G15" s="133"/>
      <c r="H15" s="133"/>
      <c r="P15" s="53" t="s">
        <v>178</v>
      </c>
      <c r="Q15" s="53" t="s">
        <v>179</v>
      </c>
      <c r="R15" s="53"/>
      <c r="S15" s="53" t="s">
        <v>180</v>
      </c>
      <c r="T15" s="53" t="s">
        <v>181</v>
      </c>
    </row>
    <row r="16" spans="1:20" ht="15" x14ac:dyDescent="0.2">
      <c r="A16" s="183" t="s">
        <v>49</v>
      </c>
      <c r="B16" s="184"/>
      <c r="C16" s="161" t="s">
        <v>223</v>
      </c>
      <c r="D16" s="161"/>
      <c r="E16" s="161"/>
      <c r="F16" s="161"/>
      <c r="G16" s="161"/>
      <c r="H16" s="161"/>
      <c r="P16" s="53"/>
      <c r="Q16" s="53"/>
      <c r="R16" s="53"/>
      <c r="S16" s="53" t="s">
        <v>182</v>
      </c>
      <c r="T16" s="53" t="s">
        <v>183</v>
      </c>
    </row>
    <row r="17" spans="1:20" ht="15" x14ac:dyDescent="0.2">
      <c r="A17" s="183" t="s">
        <v>90</v>
      </c>
      <c r="B17" s="184"/>
      <c r="C17" s="163" t="s">
        <v>254</v>
      </c>
      <c r="D17" s="163"/>
      <c r="E17" s="163"/>
      <c r="F17" s="163"/>
      <c r="G17" s="163"/>
      <c r="H17" s="163"/>
      <c r="P17" s="53"/>
      <c r="Q17" s="53"/>
      <c r="R17" s="53"/>
      <c r="S17" s="53" t="s">
        <v>184</v>
      </c>
      <c r="T17" s="53" t="s">
        <v>185</v>
      </c>
    </row>
    <row r="18" spans="1:20" ht="15" x14ac:dyDescent="0.2">
      <c r="A18" s="183" t="s">
        <v>89</v>
      </c>
      <c r="B18" s="184"/>
      <c r="C18" s="170" t="s">
        <v>144</v>
      </c>
      <c r="D18" s="168"/>
      <c r="E18" s="169"/>
      <c r="F18" s="170" t="s">
        <v>224</v>
      </c>
      <c r="G18" s="168"/>
      <c r="H18" s="169"/>
      <c r="P18" s="53"/>
      <c r="Q18" s="53"/>
      <c r="R18" s="53"/>
      <c r="S18" s="53" t="s">
        <v>186</v>
      </c>
      <c r="T18" s="53" t="s">
        <v>187</v>
      </c>
    </row>
    <row r="19" spans="1:20" ht="15" x14ac:dyDescent="0.2">
      <c r="A19" s="183" t="s">
        <v>136</v>
      </c>
      <c r="B19" s="184"/>
      <c r="C19" s="167" t="s">
        <v>225</v>
      </c>
      <c r="D19" s="168"/>
      <c r="E19" s="168"/>
      <c r="F19" s="168"/>
      <c r="G19" s="168"/>
      <c r="H19" s="169"/>
      <c r="P19" s="53"/>
      <c r="Q19" s="53"/>
      <c r="R19" s="53"/>
      <c r="S19" s="53" t="s">
        <v>188</v>
      </c>
      <c r="T19" s="53" t="s">
        <v>189</v>
      </c>
    </row>
    <row r="20" spans="1:20" ht="15" x14ac:dyDescent="0.2">
      <c r="A20" s="183" t="s">
        <v>2</v>
      </c>
      <c r="B20" s="184"/>
      <c r="C20" s="161" t="s">
        <v>231</v>
      </c>
      <c r="D20" s="161"/>
      <c r="E20" s="161"/>
      <c r="F20" s="161"/>
      <c r="G20" s="161"/>
      <c r="H20" s="161"/>
      <c r="P20" s="53"/>
      <c r="Q20" s="53"/>
      <c r="R20" s="53"/>
      <c r="S20" s="53" t="s">
        <v>190</v>
      </c>
      <c r="T20" s="53" t="s">
        <v>191</v>
      </c>
    </row>
    <row r="21" spans="1:20" ht="15" x14ac:dyDescent="0.2">
      <c r="A21" s="183" t="s">
        <v>3</v>
      </c>
      <c r="B21" s="184"/>
      <c r="C21" s="165" t="s">
        <v>232</v>
      </c>
      <c r="D21" s="165"/>
      <c r="E21" s="165"/>
      <c r="F21" s="165"/>
      <c r="G21" s="165"/>
      <c r="H21" s="165"/>
      <c r="P21" s="53"/>
      <c r="Q21" s="53"/>
      <c r="R21" s="53"/>
      <c r="S21" s="53" t="s">
        <v>192</v>
      </c>
      <c r="T21" s="53" t="s">
        <v>193</v>
      </c>
    </row>
    <row r="22" spans="1:20" ht="15" customHeight="1" x14ac:dyDescent="0.2">
      <c r="A22" s="183" t="s">
        <v>108</v>
      </c>
      <c r="B22" s="184"/>
      <c r="C22" s="133" t="s">
        <v>53</v>
      </c>
      <c r="D22" s="133"/>
      <c r="E22" s="133"/>
      <c r="F22" s="133"/>
      <c r="G22" s="133"/>
      <c r="H22" s="133"/>
      <c r="P22" s="53"/>
      <c r="Q22" s="53"/>
      <c r="R22" s="53"/>
      <c r="S22" s="53" t="s">
        <v>194</v>
      </c>
      <c r="T22" s="53" t="s">
        <v>195</v>
      </c>
    </row>
    <row r="23" spans="1:20" ht="25.5" customHeight="1" x14ac:dyDescent="0.2">
      <c r="A23" s="183" t="s">
        <v>4</v>
      </c>
      <c r="B23" s="184"/>
      <c r="C23" s="161" t="s">
        <v>233</v>
      </c>
      <c r="D23" s="162"/>
      <c r="E23" s="162"/>
      <c r="F23" s="162"/>
      <c r="G23" s="162"/>
      <c r="H23" s="162"/>
    </row>
    <row r="24" spans="1:20" x14ac:dyDescent="0.2">
      <c r="A24" s="183" t="s">
        <v>5</v>
      </c>
      <c r="B24" s="184"/>
      <c r="C24" s="162" t="s">
        <v>234</v>
      </c>
      <c r="D24" s="162"/>
      <c r="E24" s="162"/>
      <c r="F24" s="162"/>
      <c r="G24" s="162"/>
      <c r="H24" s="162"/>
    </row>
    <row r="25" spans="1:20" ht="27.75" customHeight="1" x14ac:dyDescent="0.2">
      <c r="A25" s="183" t="s">
        <v>88</v>
      </c>
      <c r="B25" s="184"/>
      <c r="C25" s="162" t="s">
        <v>253</v>
      </c>
      <c r="D25" s="162"/>
      <c r="E25" s="162"/>
      <c r="F25" s="162"/>
      <c r="G25" s="162"/>
      <c r="H25" s="162"/>
    </row>
    <row r="26" spans="1:20" ht="27" customHeight="1" x14ac:dyDescent="0.2">
      <c r="A26" s="154" t="s">
        <v>301</v>
      </c>
      <c r="B26" s="155"/>
      <c r="C26" s="135" t="s">
        <v>235</v>
      </c>
      <c r="D26" s="135"/>
      <c r="E26" s="135"/>
      <c r="F26" s="135"/>
      <c r="G26" s="135"/>
      <c r="H26" s="135"/>
    </row>
    <row r="27" spans="1:20" ht="38.25" x14ac:dyDescent="0.2">
      <c r="A27" s="183" t="s">
        <v>92</v>
      </c>
      <c r="B27" s="184"/>
      <c r="C27" s="198" t="s">
        <v>255</v>
      </c>
      <c r="D27" s="198"/>
      <c r="E27" s="198"/>
      <c r="F27" s="14" t="s">
        <v>7</v>
      </c>
      <c r="G27" s="135" t="s">
        <v>91</v>
      </c>
      <c r="H27" s="135"/>
      <c r="I27" s="6">
        <f>225*0.15</f>
        <v>33.75</v>
      </c>
    </row>
    <row r="28" spans="1:20" ht="25.5" x14ac:dyDescent="0.2">
      <c r="A28" s="183" t="s">
        <v>8</v>
      </c>
      <c r="B28" s="184"/>
      <c r="C28" s="133" t="s">
        <v>249</v>
      </c>
      <c r="D28" s="133"/>
      <c r="E28" s="133"/>
      <c r="F28" s="14" t="s">
        <v>124</v>
      </c>
      <c r="G28" s="136">
        <f>0.15*225</f>
        <v>33.75</v>
      </c>
      <c r="H28" s="136"/>
      <c r="I28" s="56" t="s">
        <v>236</v>
      </c>
    </row>
    <row r="29" spans="1:20" x14ac:dyDescent="0.2">
      <c r="A29" s="183" t="s">
        <v>205</v>
      </c>
      <c r="B29" s="184"/>
      <c r="C29" s="186" t="s">
        <v>256</v>
      </c>
      <c r="D29" s="187"/>
      <c r="E29" s="188"/>
      <c r="F29" s="188"/>
      <c r="G29" s="188"/>
      <c r="H29" s="189"/>
    </row>
    <row r="30" spans="1:20" ht="12.75" customHeight="1" x14ac:dyDescent="0.2">
      <c r="A30" s="183" t="s">
        <v>206</v>
      </c>
      <c r="B30" s="184"/>
      <c r="C30" s="186" t="s">
        <v>256</v>
      </c>
      <c r="D30" s="187"/>
      <c r="E30" s="188"/>
      <c r="F30" s="188"/>
      <c r="G30" s="188"/>
      <c r="H30" s="189"/>
    </row>
    <row r="31" spans="1:20" ht="12.75" customHeight="1" x14ac:dyDescent="0.2">
      <c r="A31" s="217" t="s">
        <v>9</v>
      </c>
      <c r="B31" s="218"/>
      <c r="C31" s="215" t="s">
        <v>93</v>
      </c>
      <c r="D31" s="216"/>
      <c r="E31" s="15" t="s">
        <v>12</v>
      </c>
      <c r="F31" s="15" t="s">
        <v>13</v>
      </c>
      <c r="G31" s="15" t="s">
        <v>14</v>
      </c>
      <c r="H31" s="15" t="s">
        <v>15</v>
      </c>
    </row>
    <row r="32" spans="1:20" ht="30.75" customHeight="1" x14ac:dyDescent="0.2">
      <c r="A32" s="219"/>
      <c r="B32" s="220"/>
      <c r="C32" s="80" t="s">
        <v>10</v>
      </c>
      <c r="D32" s="82"/>
      <c r="E32" s="57" t="s">
        <v>261</v>
      </c>
      <c r="F32" s="57" t="s">
        <v>262</v>
      </c>
      <c r="G32" s="57" t="s">
        <v>259</v>
      </c>
      <c r="H32" s="57" t="s">
        <v>260</v>
      </c>
    </row>
    <row r="33" spans="1:11" ht="45" customHeight="1" x14ac:dyDescent="0.2">
      <c r="A33" s="219"/>
      <c r="B33" s="220"/>
      <c r="C33" s="80" t="s">
        <v>87</v>
      </c>
      <c r="D33" s="82"/>
      <c r="E33" s="57" t="s">
        <v>238</v>
      </c>
      <c r="F33" s="55" t="s">
        <v>263</v>
      </c>
      <c r="G33" s="55" t="s">
        <v>264</v>
      </c>
      <c r="H33" s="17" t="s">
        <v>258</v>
      </c>
    </row>
    <row r="34" spans="1:11" ht="35.25" customHeight="1" x14ac:dyDescent="0.2">
      <c r="A34" s="221"/>
      <c r="B34" s="222"/>
      <c r="C34" s="80" t="s">
        <v>11</v>
      </c>
      <c r="D34" s="82"/>
      <c r="E34" s="57" t="s">
        <v>257</v>
      </c>
      <c r="F34" s="57" t="s">
        <v>230</v>
      </c>
      <c r="G34" s="64" t="s">
        <v>254</v>
      </c>
      <c r="H34" s="16" t="s">
        <v>239</v>
      </c>
    </row>
    <row r="35" spans="1:11" ht="29.25" customHeight="1" x14ac:dyDescent="0.2">
      <c r="A35" s="183" t="s">
        <v>16</v>
      </c>
      <c r="B35" s="184"/>
      <c r="C35" s="137" t="s">
        <v>265</v>
      </c>
      <c r="D35" s="137"/>
      <c r="E35" s="137"/>
      <c r="F35" s="137"/>
      <c r="G35" s="137"/>
      <c r="H35" s="137"/>
    </row>
    <row r="36" spans="1:11" ht="38.25" customHeight="1" x14ac:dyDescent="0.2">
      <c r="A36" s="183" t="s">
        <v>129</v>
      </c>
      <c r="B36" s="184"/>
      <c r="C36" s="143">
        <v>11840</v>
      </c>
      <c r="D36" s="144"/>
      <c r="E36" s="134" t="s">
        <v>130</v>
      </c>
      <c r="F36" s="134"/>
      <c r="G36" s="138">
        <v>11840</v>
      </c>
      <c r="H36" s="138"/>
    </row>
    <row r="37" spans="1:11" x14ac:dyDescent="0.2">
      <c r="A37" s="183" t="s">
        <v>17</v>
      </c>
      <c r="B37" s="184"/>
      <c r="C37" s="145" t="s">
        <v>250</v>
      </c>
      <c r="D37" s="145"/>
      <c r="E37" s="145"/>
      <c r="F37" s="145"/>
      <c r="G37" s="145"/>
      <c r="H37" s="145"/>
    </row>
    <row r="38" spans="1:11" ht="134.25" customHeight="1" x14ac:dyDescent="0.2">
      <c r="A38" s="183" t="s">
        <v>123</v>
      </c>
      <c r="B38" s="184"/>
      <c r="C38" s="141" t="s">
        <v>251</v>
      </c>
      <c r="D38" s="141"/>
      <c r="E38" s="142"/>
      <c r="F38" s="142"/>
      <c r="G38" s="142"/>
      <c r="H38" s="142"/>
    </row>
    <row r="39" spans="1:11" x14ac:dyDescent="0.2">
      <c r="A39" s="139" t="s">
        <v>94</v>
      </c>
      <c r="B39" s="139"/>
      <c r="C39" s="139"/>
      <c r="D39" s="139"/>
      <c r="E39" s="139"/>
      <c r="F39" s="139"/>
      <c r="G39" s="139"/>
      <c r="H39" s="139"/>
    </row>
    <row r="40" spans="1:11" ht="12.75" customHeight="1" x14ac:dyDescent="0.2">
      <c r="A40" s="146" t="s">
        <v>19</v>
      </c>
      <c r="B40" s="147"/>
      <c r="C40" s="140" t="s">
        <v>95</v>
      </c>
      <c r="D40" s="140"/>
      <c r="E40" s="140"/>
      <c r="F40" s="140"/>
      <c r="G40" s="138">
        <v>11840</v>
      </c>
      <c r="H40" s="138"/>
    </row>
    <row r="41" spans="1:11" x14ac:dyDescent="0.2">
      <c r="A41" s="148"/>
      <c r="B41" s="149"/>
      <c r="C41" s="140" t="s">
        <v>96</v>
      </c>
      <c r="D41" s="140"/>
      <c r="E41" s="140"/>
      <c r="F41" s="140"/>
      <c r="G41" s="138">
        <f>13024/G40</f>
        <v>1.1000000000000001</v>
      </c>
      <c r="H41" s="138"/>
    </row>
    <row r="42" spans="1:11" x14ac:dyDescent="0.2">
      <c r="A42" s="148"/>
      <c r="B42" s="149"/>
      <c r="C42" s="140" t="s">
        <v>97</v>
      </c>
      <c r="D42" s="140"/>
      <c r="E42" s="140"/>
      <c r="F42" s="140"/>
      <c r="G42" s="153">
        <f>G45/G40-G41</f>
        <v>2.5</v>
      </c>
      <c r="H42" s="153"/>
    </row>
    <row r="43" spans="1:11" x14ac:dyDescent="0.2">
      <c r="A43" s="148"/>
      <c r="B43" s="149"/>
      <c r="C43" s="140" t="s">
        <v>98</v>
      </c>
      <c r="D43" s="140"/>
      <c r="E43" s="140"/>
      <c r="F43" s="140"/>
      <c r="G43" s="153">
        <f>G41+G42</f>
        <v>3.6</v>
      </c>
      <c r="H43" s="153"/>
    </row>
    <row r="44" spans="1:11" x14ac:dyDescent="0.2">
      <c r="A44" s="148"/>
      <c r="B44" s="149"/>
      <c r="C44" s="140" t="s">
        <v>266</v>
      </c>
      <c r="D44" s="140"/>
      <c r="E44" s="140"/>
      <c r="F44" s="140"/>
      <c r="G44" s="152">
        <v>34094.375</v>
      </c>
      <c r="H44" s="152"/>
    </row>
    <row r="45" spans="1:11" x14ac:dyDescent="0.2">
      <c r="A45" s="148"/>
      <c r="B45" s="149"/>
      <c r="C45" s="140" t="s">
        <v>127</v>
      </c>
      <c r="D45" s="140"/>
      <c r="E45" s="140"/>
      <c r="F45" s="140"/>
      <c r="G45" s="152">
        <v>42624</v>
      </c>
      <c r="H45" s="152"/>
    </row>
    <row r="46" spans="1:11" x14ac:dyDescent="0.2">
      <c r="A46" s="150"/>
      <c r="B46" s="151"/>
      <c r="C46" s="140" t="s">
        <v>240</v>
      </c>
      <c r="D46" s="140"/>
      <c r="E46" s="140"/>
      <c r="F46" s="140"/>
      <c r="G46" s="152">
        <v>15438.891</v>
      </c>
      <c r="H46" s="152"/>
    </row>
    <row r="47" spans="1:11" ht="29.25" customHeight="1" x14ac:dyDescent="0.2">
      <c r="A47" s="183" t="s">
        <v>99</v>
      </c>
      <c r="B47" s="184"/>
      <c r="C47" s="226" t="s">
        <v>271</v>
      </c>
      <c r="D47" s="227"/>
      <c r="E47" s="227"/>
      <c r="F47" s="228"/>
      <c r="G47" s="65" t="s">
        <v>268</v>
      </c>
      <c r="H47" s="58" t="s">
        <v>270</v>
      </c>
    </row>
    <row r="48" spans="1:11" ht="24.75" customHeight="1" x14ac:dyDescent="0.2">
      <c r="A48" s="183" t="s">
        <v>20</v>
      </c>
      <c r="B48" s="184"/>
      <c r="C48" s="200" t="s">
        <v>267</v>
      </c>
      <c r="D48" s="200"/>
      <c r="E48" s="201"/>
      <c r="F48" s="201"/>
      <c r="G48" s="201"/>
      <c r="H48" s="201"/>
      <c r="I48" s="19"/>
      <c r="J48" s="19"/>
      <c r="K48" s="19"/>
    </row>
    <row r="49" spans="1:11" ht="40.5" customHeight="1" x14ac:dyDescent="0.2">
      <c r="A49" s="183" t="s">
        <v>21</v>
      </c>
      <c r="B49" s="184"/>
      <c r="C49" s="186" t="s">
        <v>269</v>
      </c>
      <c r="D49" s="187"/>
      <c r="E49" s="187"/>
      <c r="F49" s="225"/>
      <c r="G49" s="65" t="s">
        <v>268</v>
      </c>
      <c r="H49" s="66">
        <v>44742</v>
      </c>
      <c r="I49" s="19"/>
      <c r="J49" s="19"/>
      <c r="K49" s="19"/>
    </row>
    <row r="50" spans="1:11" x14ac:dyDescent="0.2">
      <c r="A50" s="190" t="s">
        <v>22</v>
      </c>
      <c r="B50" s="191"/>
      <c r="C50" s="229" t="s">
        <v>109</v>
      </c>
      <c r="D50" s="230"/>
      <c r="E50" s="145" t="s">
        <v>237</v>
      </c>
      <c r="F50" s="145"/>
      <c r="G50" s="145"/>
      <c r="H50" s="145"/>
      <c r="I50" s="19"/>
      <c r="J50" s="19"/>
      <c r="K50" s="19"/>
    </row>
    <row r="51" spans="1:11" x14ac:dyDescent="0.2">
      <c r="A51" s="192"/>
      <c r="B51" s="193"/>
      <c r="C51" s="229" t="s">
        <v>110</v>
      </c>
      <c r="D51" s="230"/>
      <c r="E51" s="145" t="s">
        <v>237</v>
      </c>
      <c r="F51" s="145"/>
      <c r="G51" s="145"/>
      <c r="H51" s="145"/>
    </row>
    <row r="52" spans="1:11" ht="26.25" customHeight="1" x14ac:dyDescent="0.2">
      <c r="A52" s="194"/>
      <c r="B52" s="195"/>
      <c r="C52" s="229" t="s">
        <v>111</v>
      </c>
      <c r="D52" s="230"/>
      <c r="E52" s="145" t="s">
        <v>237</v>
      </c>
      <c r="F52" s="145"/>
      <c r="G52" s="145"/>
      <c r="H52" s="145"/>
    </row>
    <row r="53" spans="1:11" ht="42" customHeight="1" x14ac:dyDescent="0.2">
      <c r="A53" s="154" t="s">
        <v>241</v>
      </c>
      <c r="B53" s="155"/>
      <c r="C53" s="156" t="s">
        <v>289</v>
      </c>
      <c r="D53" s="157"/>
      <c r="E53" s="157"/>
      <c r="F53" s="158"/>
      <c r="G53" s="65" t="s">
        <v>268</v>
      </c>
      <c r="H53" s="67">
        <v>45377</v>
      </c>
    </row>
    <row r="54" spans="1:11" ht="57" customHeight="1" x14ac:dyDescent="0.2">
      <c r="A54" s="154" t="s">
        <v>291</v>
      </c>
      <c r="B54" s="155"/>
      <c r="C54" s="156" t="s">
        <v>294</v>
      </c>
      <c r="D54" s="157"/>
      <c r="E54" s="157"/>
      <c r="F54" s="158"/>
      <c r="G54" s="65" t="s">
        <v>292</v>
      </c>
      <c r="H54" s="67" t="s">
        <v>293</v>
      </c>
    </row>
    <row r="55" spans="1:11" ht="57" customHeight="1" x14ac:dyDescent="0.2">
      <c r="A55" s="154" t="s">
        <v>290</v>
      </c>
      <c r="B55" s="155"/>
      <c r="C55" s="156" t="s">
        <v>295</v>
      </c>
      <c r="D55" s="157"/>
      <c r="E55" s="157"/>
      <c r="F55" s="158"/>
      <c r="G55" s="65" t="s">
        <v>268</v>
      </c>
      <c r="H55" s="67">
        <v>45330</v>
      </c>
    </row>
    <row r="56" spans="1:11" x14ac:dyDescent="0.2">
      <c r="A56" s="104" t="s">
        <v>23</v>
      </c>
      <c r="B56" s="104"/>
      <c r="C56" s="104"/>
      <c r="D56" s="104"/>
      <c r="E56" s="104"/>
      <c r="F56" s="104"/>
      <c r="G56" s="104"/>
      <c r="H56" s="104"/>
    </row>
    <row r="57" spans="1:11" ht="25.5" customHeight="1" x14ac:dyDescent="0.2">
      <c r="A57" s="127" t="s">
        <v>24</v>
      </c>
      <c r="B57" s="129"/>
      <c r="C57" s="223">
        <v>44904</v>
      </c>
      <c r="D57" s="224"/>
      <c r="E57" s="13" t="s">
        <v>25</v>
      </c>
      <c r="F57" s="199">
        <v>46691</v>
      </c>
      <c r="G57" s="199"/>
      <c r="H57" s="199"/>
    </row>
    <row r="58" spans="1:11" ht="13.5" thickBot="1" x14ac:dyDescent="0.25">
      <c r="A58" s="231" t="s">
        <v>58</v>
      </c>
      <c r="B58" s="231"/>
      <c r="C58" s="231"/>
      <c r="D58" s="231"/>
      <c r="E58" s="231"/>
      <c r="F58" s="231"/>
      <c r="G58" s="231"/>
      <c r="H58" s="231"/>
    </row>
    <row r="59" spans="1:11" ht="12.75" customHeight="1" x14ac:dyDescent="0.2">
      <c r="A59" s="232" t="s">
        <v>286</v>
      </c>
      <c r="B59" s="233"/>
      <c r="C59" s="233"/>
      <c r="D59" s="234"/>
      <c r="E59" s="9" t="s">
        <v>59</v>
      </c>
      <c r="F59" s="9" t="s">
        <v>60</v>
      </c>
      <c r="G59" s="9" t="s">
        <v>61</v>
      </c>
      <c r="H59" s="10" t="s">
        <v>47</v>
      </c>
      <c r="I59" s="43" t="str">
        <f ca="1">(IF(G63&gt;99%,"All work completed. Please provide OC.",IF(G63&gt;89.8%,"Plinth, RCC, Brick, Plaster, Flooring, Painting work Completed. Finishing work is in process.",IF(G63&lt;94%,(IF(E63=0,"Work not yet Started.",IF(F63=25%,"Piling work in process",IF(F63=50%,"Excavation work in process",IF(F63=100%,"Excavation work Completed. ","0")))&amp;(IF(E64=0%,"",IF(E64=J65,"Footing work is process",IF(E64=J66,"Footing work Completed",IF(E64=J67,"1st Basement Completed",IF(E64=J68,"1st &amp; 2nd Basement Completed",IF(E64=J69,"1st to 3rd Basement Completed",IF(E64=J70,"1st to 4th Basement Completed",IF(E64=J71,"Plinth work is process",IF(E64=J72,"Plinth work completed","0")))))))))))&amp;(IF(E65=(F60+G60+H60),", RCC Slab",IF(E65&gt;0,", RCC upto "&amp;E65&amp;" Slab",""))&amp;(IF(E66=H60,", Brickwork",IF(E66&gt;0,", Brickwork upto "&amp;E66&amp;" Floor",""))&amp;(IF(E67=H60,", Internal Plaster",IF(E67&gt;0,", Internal Plaster upto "&amp;E67&amp;" Floor",""))&amp;(IF(E68=H60,", External Plaster",IF(E68&gt;0,", External Plaster upto "&amp;E68&amp;" Floor",""))&amp;(IF(E69=H60,", Flooring",IF(E69&gt;0,", Flooring upto "&amp;E69&amp;" Floor",""))&amp;(IF(E70=H60,", Painting",IF(E70&gt;0,", Painting upto "&amp;E70&amp;" Floor",""))&amp;(IF(E71&gt;0,", Finishing upto "&amp;E71&amp;" Floor","")&amp;(IF(E65&gt;0.5," Completed",""))))))))))))))</f>
        <v>Plinth, RCC, Brick, Plaster, Flooring, Painting work Completed. Finishing work is in process.</v>
      </c>
      <c r="J59" s="44"/>
    </row>
    <row r="60" spans="1:11" x14ac:dyDescent="0.2">
      <c r="A60" s="235"/>
      <c r="B60" s="236"/>
      <c r="C60" s="236"/>
      <c r="D60" s="237"/>
      <c r="E60" s="7">
        <v>0</v>
      </c>
      <c r="F60" s="7">
        <v>1</v>
      </c>
      <c r="G60" s="7">
        <v>0</v>
      </c>
      <c r="H60" s="8">
        <f ca="1">--TRIM(RIGHT(SUBSTITUTE(LEFT(A59,_xlfn.AGGREGATE(16,6,FIND({0,1,2,3,4,5,6,7,8,9},A59,ROW(INDIRECT("1:"&amp;LEN(A59)))),1))," ",REPT(" ",LEN(A59))),LEN(A59)))</f>
        <v>14</v>
      </c>
      <c r="I60" s="45"/>
      <c r="J60" s="46"/>
    </row>
    <row r="61" spans="1:11" ht="26.25" customHeight="1" x14ac:dyDescent="0.2">
      <c r="A61" s="238" t="s">
        <v>137</v>
      </c>
      <c r="B61" s="239"/>
      <c r="C61" s="196" t="str">
        <f ca="1">I59</f>
        <v>Plinth, RCC, Brick, Plaster, Flooring, Painting work Completed. Finishing work is in process.</v>
      </c>
      <c r="D61" s="196"/>
      <c r="E61" s="196"/>
      <c r="F61" s="196"/>
      <c r="G61" s="196"/>
      <c r="H61" s="197"/>
      <c r="I61" s="45" t="s">
        <v>138</v>
      </c>
      <c r="J61" s="46"/>
    </row>
    <row r="62" spans="1:11" x14ac:dyDescent="0.2">
      <c r="A62" s="100" t="s">
        <v>62</v>
      </c>
      <c r="B62" s="101"/>
      <c r="C62" s="240" t="s">
        <v>139</v>
      </c>
      <c r="D62" s="240"/>
      <c r="E62" s="70" t="s">
        <v>63</v>
      </c>
      <c r="F62" s="70" t="s">
        <v>64</v>
      </c>
      <c r="G62" s="241" t="s">
        <v>57</v>
      </c>
      <c r="H62" s="242"/>
      <c r="I62" s="1" t="s">
        <v>65</v>
      </c>
      <c r="J62" s="47">
        <f ca="1">H60*25%</f>
        <v>3.5</v>
      </c>
    </row>
    <row r="63" spans="1:11" x14ac:dyDescent="0.2">
      <c r="A63" s="100" t="s">
        <v>66</v>
      </c>
      <c r="B63" s="101"/>
      <c r="C63" s="102">
        <v>0</v>
      </c>
      <c r="D63" s="102"/>
      <c r="E63" s="71">
        <f ca="1">J64</f>
        <v>14</v>
      </c>
      <c r="F63" s="72">
        <f ca="1">((100/H60)*E63)/100</f>
        <v>1</v>
      </c>
      <c r="G63" s="243">
        <f ca="1">(((E64/H60*10)+(40/(F60+G60+H60)*E65)+(15/(H60)*E66)+(5/(H60)*E67)+(5/H60*E68)+(10/H60*E69)+(5/H60*E70)+(5/H60*E71)+(5/H60*E72))/100)</f>
        <v>0.9035714285714288</v>
      </c>
      <c r="H63" s="244"/>
      <c r="I63" s="1" t="s">
        <v>67</v>
      </c>
      <c r="J63" s="48">
        <f ca="1">H60*50%</f>
        <v>7</v>
      </c>
    </row>
    <row r="64" spans="1:11" x14ac:dyDescent="0.2">
      <c r="A64" s="100" t="s">
        <v>68</v>
      </c>
      <c r="B64" s="101"/>
      <c r="C64" s="102">
        <v>0.1</v>
      </c>
      <c r="D64" s="102"/>
      <c r="E64" s="73">
        <f ca="1">J72</f>
        <v>14</v>
      </c>
      <c r="F64" s="72">
        <f ca="1">((100/H60)*E64)/100</f>
        <v>1</v>
      </c>
      <c r="G64" s="243"/>
      <c r="H64" s="244"/>
      <c r="I64" s="1" t="s">
        <v>69</v>
      </c>
      <c r="J64" s="48">
        <f ca="1">H60</f>
        <v>14</v>
      </c>
    </row>
    <row r="65" spans="1:10" x14ac:dyDescent="0.2">
      <c r="A65" s="100" t="s">
        <v>70</v>
      </c>
      <c r="B65" s="101"/>
      <c r="C65" s="102">
        <v>0.4</v>
      </c>
      <c r="D65" s="102"/>
      <c r="E65" s="73">
        <v>15</v>
      </c>
      <c r="F65" s="72">
        <f ca="1">((100/(F60+G60+H60))*E65)/100</f>
        <v>1</v>
      </c>
      <c r="G65" s="243"/>
      <c r="H65" s="244"/>
      <c r="I65" s="1" t="s">
        <v>71</v>
      </c>
      <c r="J65" s="49">
        <f ca="1">(IF(E60&gt;1,(H60/(E60+2)),H60/4))</f>
        <v>3.5</v>
      </c>
    </row>
    <row r="66" spans="1:10" x14ac:dyDescent="0.2">
      <c r="A66" s="100" t="s">
        <v>72</v>
      </c>
      <c r="B66" s="101"/>
      <c r="C66" s="102">
        <v>0.15</v>
      </c>
      <c r="D66" s="102"/>
      <c r="E66" s="71">
        <v>14</v>
      </c>
      <c r="F66" s="72">
        <f ca="1">((100/H60)*E66)/100</f>
        <v>1</v>
      </c>
      <c r="G66" s="243"/>
      <c r="H66" s="244"/>
      <c r="I66" s="1" t="s">
        <v>73</v>
      </c>
      <c r="J66" s="49">
        <f ca="1">(IF(E60&gt;1,(H60/(E60+2)+J65),H60/4+J65))</f>
        <v>7</v>
      </c>
    </row>
    <row r="67" spans="1:10" x14ac:dyDescent="0.2">
      <c r="A67" s="100" t="s">
        <v>74</v>
      </c>
      <c r="B67" s="101"/>
      <c r="C67" s="102">
        <v>0.05</v>
      </c>
      <c r="D67" s="102"/>
      <c r="E67" s="71">
        <v>14</v>
      </c>
      <c r="F67" s="72">
        <f ca="1">((100/H60)*E67)/100</f>
        <v>1</v>
      </c>
      <c r="G67" s="243"/>
      <c r="H67" s="244"/>
      <c r="I67" s="1" t="s">
        <v>75</v>
      </c>
      <c r="J67" s="49">
        <f>(IF(E60&gt;1,(H60/(E60+2)+J66),0))</f>
        <v>0</v>
      </c>
    </row>
    <row r="68" spans="1:10" x14ac:dyDescent="0.2">
      <c r="A68" s="100" t="s">
        <v>76</v>
      </c>
      <c r="B68" s="101"/>
      <c r="C68" s="102">
        <v>0.05</v>
      </c>
      <c r="D68" s="102"/>
      <c r="E68" s="71">
        <v>14</v>
      </c>
      <c r="F68" s="72">
        <f ca="1">((100/(H60))*E68)/100</f>
        <v>1</v>
      </c>
      <c r="G68" s="243"/>
      <c r="H68" s="244"/>
      <c r="I68" s="1" t="s">
        <v>77</v>
      </c>
      <c r="J68" s="49">
        <f>(IF(E60&gt;2,(H60/(E60+2)+J67),0))</f>
        <v>0</v>
      </c>
    </row>
    <row r="69" spans="1:10" x14ac:dyDescent="0.2">
      <c r="A69" s="100" t="s">
        <v>78</v>
      </c>
      <c r="B69" s="101"/>
      <c r="C69" s="102">
        <v>0.1</v>
      </c>
      <c r="D69" s="102"/>
      <c r="E69" s="71">
        <v>13</v>
      </c>
      <c r="F69" s="72">
        <f ca="1">((100/H60)*E69)/100</f>
        <v>0.9285714285714286</v>
      </c>
      <c r="G69" s="243"/>
      <c r="H69" s="244"/>
      <c r="I69" s="1" t="s">
        <v>79</v>
      </c>
      <c r="J69" s="50">
        <f>(IF(E60&gt;3,(H60/(E60+2)+J68),0))</f>
        <v>0</v>
      </c>
    </row>
    <row r="70" spans="1:10" x14ac:dyDescent="0.2">
      <c r="A70" s="100" t="s">
        <v>80</v>
      </c>
      <c r="B70" s="101"/>
      <c r="C70" s="102">
        <v>0.05</v>
      </c>
      <c r="D70" s="102"/>
      <c r="E70" s="71">
        <v>12</v>
      </c>
      <c r="F70" s="72">
        <f ca="1">((100/H60)*E70)/100</f>
        <v>0.85714285714285721</v>
      </c>
      <c r="G70" s="243"/>
      <c r="H70" s="244"/>
      <c r="I70" s="1" t="s">
        <v>81</v>
      </c>
      <c r="J70" s="49">
        <f>(IF(E60&gt;4,(H60/(E60+2)+J69),0))</f>
        <v>0</v>
      </c>
    </row>
    <row r="71" spans="1:10" x14ac:dyDescent="0.2">
      <c r="A71" s="100" t="s">
        <v>82</v>
      </c>
      <c r="B71" s="101"/>
      <c r="C71" s="102">
        <v>0.05</v>
      </c>
      <c r="D71" s="102"/>
      <c r="E71" s="71">
        <v>5</v>
      </c>
      <c r="F71" s="72">
        <f ca="1">((100/(H60))*E71)/100</f>
        <v>0.35714285714285715</v>
      </c>
      <c r="G71" s="243"/>
      <c r="H71" s="244"/>
      <c r="I71" s="1" t="s">
        <v>83</v>
      </c>
      <c r="J71" s="49">
        <f ca="1">(IF(E60=1,(H60/(E60+3)+J66),IF(E60=0,(H60/4+J66),IF(E60&gt;1,0))))</f>
        <v>10.5</v>
      </c>
    </row>
    <row r="72" spans="1:10" ht="13.5" thickBot="1" x14ac:dyDescent="0.25">
      <c r="A72" s="113" t="s">
        <v>84</v>
      </c>
      <c r="B72" s="114"/>
      <c r="C72" s="115">
        <v>0.05</v>
      </c>
      <c r="D72" s="115"/>
      <c r="E72" s="74">
        <v>0</v>
      </c>
      <c r="F72" s="75">
        <f ca="1">((100/(H60))*E72)/100</f>
        <v>0</v>
      </c>
      <c r="G72" s="245"/>
      <c r="H72" s="246"/>
      <c r="I72" s="51" t="s">
        <v>85</v>
      </c>
      <c r="J72" s="52">
        <f ca="1">(IF(E60&gt;1.5,(H60/(E60+2)+J66+MAX(0,J67-J66)+MAX(0,J68-J67)+MAX(0,J69-J68)+MAX(0,J70-J69)+MAX(0,J71-J70)),IF(E60=1,(H60/(E60+3)+J71),IF(E60=0,H60/4+J71))))</f>
        <v>14</v>
      </c>
    </row>
    <row r="73" spans="1:10" x14ac:dyDescent="0.2">
      <c r="A73" s="232" t="s">
        <v>287</v>
      </c>
      <c r="B73" s="233"/>
      <c r="C73" s="233"/>
      <c r="D73" s="234"/>
      <c r="E73" s="9" t="s">
        <v>59</v>
      </c>
      <c r="F73" s="9" t="s">
        <v>60</v>
      </c>
      <c r="G73" s="9" t="s">
        <v>61</v>
      </c>
      <c r="H73" s="10" t="s">
        <v>47</v>
      </c>
      <c r="I73" s="43" t="str">
        <f ca="1">(IF(G77&gt;99%,"All work completed. Please provide OC.",IF(G77&gt;89.8%,"Plinth, RCC, Brick, Plaster, Flooring, Painting work Completed. Finishing work is in process.",IF(G77&lt;94%,(IF(E77=0,"Work not yet Started.",IF(F77=25%,"Piling work in process",IF(F77=50%,"Excavation work in process",IF(F77=100%,"Excavation work Completed. ","0")))&amp;(IF(E78=0%,"",IF(E78=J79,"Footing work is process",IF(E78=J80,"Footing work Completed",IF(E78=J81,"1st Basement Completed",IF(E78=J82,"1st &amp; 2nd Basement Completed",IF(E78=J83,"1st to 3rd Basement Completed",IF(E78=J84,"1st to 4th Basement Completed",IF(E78=J85,"Plinth work is process",IF(E78=J86,"Plinth work completed","0")))))))))))&amp;(IF(E79=(F74+G74+H74),", RCC Slab",IF(E79&gt;0,", RCC upto "&amp;E79&amp;" Slab",""))&amp;(IF(E80=H74,", Brickwork",IF(E80&gt;0,", Brickwork upto "&amp;E80&amp;" Floor",""))&amp;(IF(E81=H74,", Internal Plaster",IF(E81&gt;0,", Internal Plaster upto "&amp;E81&amp;" Floor",""))&amp;(IF(E82=H74,", External Plaster",IF(E82&gt;0,", External Plaster upto "&amp;E82&amp;" Floor",""))&amp;(IF(E83=H74,", Flooring",IF(E83&gt;0,", Flooring upto "&amp;E83&amp;" Floor",""))&amp;(IF(E84=H74,", Painting",IF(E84&gt;0,", Painting upto "&amp;E84&amp;" Floor",""))&amp;(IF(E85&gt;0,", Finishing upto "&amp;E85&amp;" Floor","")&amp;(IF(E79&gt;0.5," Completed",""))))))))))))))</f>
        <v>Excavation work Completed. Plinth work completed, RCC Slab, Brickwork, Internal Plaster, External Plaster, Flooring upto 11 Floor, Painting upto 9 Floor Completed</v>
      </c>
      <c r="J73" s="44"/>
    </row>
    <row r="74" spans="1:10" x14ac:dyDescent="0.2">
      <c r="A74" s="235"/>
      <c r="B74" s="236"/>
      <c r="C74" s="236"/>
      <c r="D74" s="237"/>
      <c r="E74" s="7">
        <v>0</v>
      </c>
      <c r="F74" s="7">
        <v>1</v>
      </c>
      <c r="G74" s="7">
        <v>0</v>
      </c>
      <c r="H74" s="8">
        <f ca="1">--TRIM(RIGHT(SUBSTITUTE(LEFT(A73,_xlfn.AGGREGATE(16,6,FIND({0,1,2,3,4,5,6,7,8,9},A73,ROW(INDIRECT("1:"&amp;LEN(A73)))),1))," ",REPT(" ",LEN(A73))),LEN(A73)))</f>
        <v>14</v>
      </c>
      <c r="I74" s="45"/>
      <c r="J74" s="46"/>
    </row>
    <row r="75" spans="1:10" ht="27.75" customHeight="1" x14ac:dyDescent="0.2">
      <c r="A75" s="238" t="s">
        <v>137</v>
      </c>
      <c r="B75" s="239"/>
      <c r="C75" s="196" t="str">
        <f ca="1">I73</f>
        <v>Excavation work Completed. Plinth work completed, RCC Slab, Brickwork, Internal Plaster, External Plaster, Flooring upto 11 Floor, Painting upto 9 Floor Completed</v>
      </c>
      <c r="D75" s="196"/>
      <c r="E75" s="196"/>
      <c r="F75" s="196"/>
      <c r="G75" s="196"/>
      <c r="H75" s="197"/>
      <c r="I75" s="45" t="s">
        <v>138</v>
      </c>
      <c r="J75" s="46"/>
    </row>
    <row r="76" spans="1:10" x14ac:dyDescent="0.2">
      <c r="A76" s="100" t="s">
        <v>62</v>
      </c>
      <c r="B76" s="101"/>
      <c r="C76" s="240" t="s">
        <v>139</v>
      </c>
      <c r="D76" s="240"/>
      <c r="E76" s="70" t="s">
        <v>63</v>
      </c>
      <c r="F76" s="70" t="s">
        <v>64</v>
      </c>
      <c r="G76" s="241" t="s">
        <v>57</v>
      </c>
      <c r="H76" s="242"/>
      <c r="I76" s="1" t="s">
        <v>65</v>
      </c>
      <c r="J76" s="47">
        <f ca="1">H74*25%</f>
        <v>3.5</v>
      </c>
    </row>
    <row r="77" spans="1:10" x14ac:dyDescent="0.2">
      <c r="A77" s="100" t="s">
        <v>66</v>
      </c>
      <c r="B77" s="101"/>
      <c r="C77" s="102">
        <v>0</v>
      </c>
      <c r="D77" s="102"/>
      <c r="E77" s="71">
        <f ca="1">J78</f>
        <v>14</v>
      </c>
      <c r="F77" s="72">
        <f ca="1">((100/H74)*E77)/100</f>
        <v>1</v>
      </c>
      <c r="G77" s="243">
        <f ca="1">(((E78/H74*10)+(40/(F74+G74+H74)*E79)+(15/(H74)*E80)+(5/(H74)*E81)+(5/H74*E82)+(10/H74*E83)+(5/H74*E84)+(5/H74*E85)+(5/H74*E86))/100)</f>
        <v>0.86071428571428565</v>
      </c>
      <c r="H77" s="244"/>
      <c r="I77" s="1" t="s">
        <v>67</v>
      </c>
      <c r="J77" s="48">
        <f ca="1">H74*50%</f>
        <v>7</v>
      </c>
    </row>
    <row r="78" spans="1:10" x14ac:dyDescent="0.2">
      <c r="A78" s="100" t="s">
        <v>68</v>
      </c>
      <c r="B78" s="101"/>
      <c r="C78" s="102">
        <v>0.1</v>
      </c>
      <c r="D78" s="102"/>
      <c r="E78" s="73">
        <f ca="1">J86</f>
        <v>14</v>
      </c>
      <c r="F78" s="72">
        <f ca="1">((100/H74)*E78)/100</f>
        <v>1</v>
      </c>
      <c r="G78" s="243"/>
      <c r="H78" s="244"/>
      <c r="I78" s="1" t="s">
        <v>69</v>
      </c>
      <c r="J78" s="48">
        <f ca="1">H74</f>
        <v>14</v>
      </c>
    </row>
    <row r="79" spans="1:10" x14ac:dyDescent="0.2">
      <c r="A79" s="100" t="s">
        <v>70</v>
      </c>
      <c r="B79" s="101"/>
      <c r="C79" s="102">
        <v>0.4</v>
      </c>
      <c r="D79" s="102"/>
      <c r="E79" s="73">
        <v>15</v>
      </c>
      <c r="F79" s="72">
        <f ca="1">((100/(F74+G74+H74))*E79)/100</f>
        <v>1</v>
      </c>
      <c r="G79" s="243"/>
      <c r="H79" s="244"/>
      <c r="I79" s="1" t="s">
        <v>71</v>
      </c>
      <c r="J79" s="49">
        <f ca="1">(IF(E74&gt;1,(H74/(E74+2)),H74/4))</f>
        <v>3.5</v>
      </c>
    </row>
    <row r="80" spans="1:10" x14ac:dyDescent="0.2">
      <c r="A80" s="100" t="s">
        <v>72</v>
      </c>
      <c r="B80" s="101"/>
      <c r="C80" s="102">
        <v>0.15</v>
      </c>
      <c r="D80" s="102"/>
      <c r="E80" s="71">
        <v>14</v>
      </c>
      <c r="F80" s="72">
        <f ca="1">((100/H74)*E80)/100</f>
        <v>1</v>
      </c>
      <c r="G80" s="243"/>
      <c r="H80" s="244"/>
      <c r="I80" s="1" t="s">
        <v>73</v>
      </c>
      <c r="J80" s="49">
        <f ca="1">(IF(E74&gt;1,(H74/(E74+2)+J79),H74/4+J79))</f>
        <v>7</v>
      </c>
    </row>
    <row r="81" spans="1:10" x14ac:dyDescent="0.2">
      <c r="A81" s="100" t="s">
        <v>74</v>
      </c>
      <c r="B81" s="101"/>
      <c r="C81" s="102">
        <v>0.05</v>
      </c>
      <c r="D81" s="102"/>
      <c r="E81" s="71">
        <v>14</v>
      </c>
      <c r="F81" s="72">
        <f ca="1">((100/H74)*E81)/100</f>
        <v>1</v>
      </c>
      <c r="G81" s="243"/>
      <c r="H81" s="244"/>
      <c r="I81" s="1" t="s">
        <v>75</v>
      </c>
      <c r="J81" s="49">
        <f>(IF(E74&gt;1,(H74/(E74+2)+J80),0))</f>
        <v>0</v>
      </c>
    </row>
    <row r="82" spans="1:10" x14ac:dyDescent="0.2">
      <c r="A82" s="100" t="s">
        <v>76</v>
      </c>
      <c r="B82" s="101"/>
      <c r="C82" s="102">
        <v>0.05</v>
      </c>
      <c r="D82" s="102"/>
      <c r="E82" s="71">
        <v>14</v>
      </c>
      <c r="F82" s="72">
        <f ca="1">((100/(H74))*E82)/100</f>
        <v>1</v>
      </c>
      <c r="G82" s="243"/>
      <c r="H82" s="244"/>
      <c r="I82" s="1" t="s">
        <v>77</v>
      </c>
      <c r="J82" s="49">
        <f>(IF(E74&gt;2,(H74/(E74+2)+J81),0))</f>
        <v>0</v>
      </c>
    </row>
    <row r="83" spans="1:10" x14ac:dyDescent="0.2">
      <c r="A83" s="100" t="s">
        <v>78</v>
      </c>
      <c r="B83" s="101"/>
      <c r="C83" s="102">
        <v>0.1</v>
      </c>
      <c r="D83" s="102"/>
      <c r="E83" s="71">
        <v>11</v>
      </c>
      <c r="F83" s="72">
        <f ca="1">((100/H74)*E83)/100</f>
        <v>0.7857142857142857</v>
      </c>
      <c r="G83" s="243"/>
      <c r="H83" s="244"/>
      <c r="I83" s="1" t="s">
        <v>79</v>
      </c>
      <c r="J83" s="50">
        <f>(IF(E74&gt;3,(H74/(E74+2)+J82),0))</f>
        <v>0</v>
      </c>
    </row>
    <row r="84" spans="1:10" x14ac:dyDescent="0.2">
      <c r="A84" s="100" t="s">
        <v>80</v>
      </c>
      <c r="B84" s="101"/>
      <c r="C84" s="102">
        <v>0.05</v>
      </c>
      <c r="D84" s="102"/>
      <c r="E84" s="71">
        <v>9</v>
      </c>
      <c r="F84" s="72">
        <f ca="1">((100/H74)*E84)/100</f>
        <v>0.6428571428571429</v>
      </c>
      <c r="G84" s="243"/>
      <c r="H84" s="244"/>
      <c r="I84" s="1" t="s">
        <v>81</v>
      </c>
      <c r="J84" s="49">
        <f>(IF(E74&gt;4,(H74/(E74+2)+J83),0))</f>
        <v>0</v>
      </c>
    </row>
    <row r="85" spans="1:10" x14ac:dyDescent="0.2">
      <c r="A85" s="100" t="s">
        <v>82</v>
      </c>
      <c r="B85" s="101"/>
      <c r="C85" s="102">
        <v>0.05</v>
      </c>
      <c r="D85" s="102"/>
      <c r="E85" s="71">
        <v>0</v>
      </c>
      <c r="F85" s="72">
        <f ca="1">((100/(H74))*E85)/100</f>
        <v>0</v>
      </c>
      <c r="G85" s="243"/>
      <c r="H85" s="244"/>
      <c r="I85" s="1" t="s">
        <v>83</v>
      </c>
      <c r="J85" s="49">
        <f ca="1">(IF(E74=1,(H74/(E74+3)+J80),IF(E74=0,(H74/4+J80),IF(E74&gt;1,0))))</f>
        <v>10.5</v>
      </c>
    </row>
    <row r="86" spans="1:10" ht="13.5" thickBot="1" x14ac:dyDescent="0.25">
      <c r="A86" s="113" t="s">
        <v>84</v>
      </c>
      <c r="B86" s="114"/>
      <c r="C86" s="115">
        <v>0.05</v>
      </c>
      <c r="D86" s="115"/>
      <c r="E86" s="74">
        <v>0</v>
      </c>
      <c r="F86" s="75">
        <f ca="1">((100/(H74))*E86)/100</f>
        <v>0</v>
      </c>
      <c r="G86" s="245"/>
      <c r="H86" s="246"/>
      <c r="I86" s="51" t="s">
        <v>85</v>
      </c>
      <c r="J86" s="52">
        <f ca="1">(IF(E74&gt;1.5,(H74/(E74+2)+J80+MAX(0,J81-J80)+MAX(0,J82-J81)+MAX(0,J83-J82)+MAX(0,J84-J83)+MAX(0,J85-J84)),IF(E74=1,(H74/(E74+3)+J85),IF(E74=0,H74/4+J85))))</f>
        <v>14</v>
      </c>
    </row>
    <row r="87" spans="1:10" x14ac:dyDescent="0.2">
      <c r="A87" s="205" t="s">
        <v>26</v>
      </c>
      <c r="B87" s="206"/>
      <c r="C87" s="173" t="s">
        <v>113</v>
      </c>
      <c r="D87" s="173"/>
      <c r="E87" s="173"/>
      <c r="F87" s="173"/>
      <c r="G87" s="173"/>
      <c r="H87" s="173"/>
    </row>
    <row r="88" spans="1:10" x14ac:dyDescent="0.2">
      <c r="A88" s="104" t="s">
        <v>27</v>
      </c>
      <c r="B88" s="104"/>
      <c r="C88" s="104"/>
      <c r="D88" s="104"/>
      <c r="E88" s="104"/>
      <c r="F88" s="104"/>
      <c r="G88" s="104"/>
      <c r="H88" s="104"/>
    </row>
    <row r="89" spans="1:10" x14ac:dyDescent="0.2">
      <c r="A89" s="207" t="s">
        <v>28</v>
      </c>
      <c r="B89" s="208"/>
      <c r="C89" s="109" t="s">
        <v>51</v>
      </c>
      <c r="D89" s="110"/>
      <c r="E89" s="103" t="s">
        <v>29</v>
      </c>
      <c r="F89" s="103"/>
      <c r="G89" s="16" t="s">
        <v>18</v>
      </c>
      <c r="H89" s="68" t="s">
        <v>52</v>
      </c>
    </row>
    <row r="90" spans="1:10" x14ac:dyDescent="0.2">
      <c r="A90" s="207" t="s">
        <v>30</v>
      </c>
      <c r="B90" s="208"/>
      <c r="C90" s="109" t="s">
        <v>50</v>
      </c>
      <c r="D90" s="110"/>
      <c r="E90" s="103" t="s">
        <v>31</v>
      </c>
      <c r="F90" s="103"/>
      <c r="G90" s="16" t="s">
        <v>18</v>
      </c>
      <c r="H90" s="68" t="s">
        <v>53</v>
      </c>
    </row>
    <row r="91" spans="1:10" x14ac:dyDescent="0.2">
      <c r="A91" s="207" t="s">
        <v>32</v>
      </c>
      <c r="B91" s="208"/>
      <c r="C91" s="109" t="s">
        <v>272</v>
      </c>
      <c r="D91" s="110"/>
      <c r="E91" s="103" t="s">
        <v>33</v>
      </c>
      <c r="F91" s="103"/>
      <c r="G91" s="16" t="s">
        <v>18</v>
      </c>
      <c r="H91" s="68" t="s">
        <v>52</v>
      </c>
    </row>
    <row r="92" spans="1:10" x14ac:dyDescent="0.2">
      <c r="A92" s="207" t="s">
        <v>34</v>
      </c>
      <c r="B92" s="208"/>
      <c r="C92" s="109" t="s">
        <v>121</v>
      </c>
      <c r="D92" s="110"/>
      <c r="E92" s="103" t="s">
        <v>35</v>
      </c>
      <c r="F92" s="103"/>
      <c r="G92" s="16" t="s">
        <v>18</v>
      </c>
      <c r="H92" s="68" t="s">
        <v>52</v>
      </c>
    </row>
    <row r="93" spans="1:10" x14ac:dyDescent="0.2">
      <c r="A93" s="207" t="s">
        <v>36</v>
      </c>
      <c r="B93" s="208"/>
      <c r="C93" s="109" t="s">
        <v>126</v>
      </c>
      <c r="D93" s="110"/>
      <c r="E93" s="103" t="s">
        <v>37</v>
      </c>
      <c r="F93" s="103"/>
      <c r="G93" s="16" t="s">
        <v>18</v>
      </c>
      <c r="H93" s="68" t="s">
        <v>53</v>
      </c>
    </row>
    <row r="94" spans="1:10" ht="27.75" customHeight="1" x14ac:dyDescent="0.2">
      <c r="A94" s="207" t="s">
        <v>38</v>
      </c>
      <c r="B94" s="208"/>
      <c r="C94" s="109" t="s">
        <v>140</v>
      </c>
      <c r="D94" s="110"/>
      <c r="E94" s="103" t="s">
        <v>39</v>
      </c>
      <c r="F94" s="103"/>
      <c r="G94" s="16" t="s">
        <v>18</v>
      </c>
      <c r="H94" s="68" t="s">
        <v>53</v>
      </c>
    </row>
    <row r="95" spans="1:10" x14ac:dyDescent="0.2">
      <c r="A95" s="207" t="s">
        <v>40</v>
      </c>
      <c r="B95" s="208"/>
      <c r="C95" s="109" t="s">
        <v>122</v>
      </c>
      <c r="D95" s="110"/>
      <c r="E95" s="103" t="s">
        <v>41</v>
      </c>
      <c r="F95" s="103"/>
      <c r="G95" s="16" t="s">
        <v>18</v>
      </c>
      <c r="H95" s="68" t="s">
        <v>53</v>
      </c>
    </row>
    <row r="96" spans="1:10" x14ac:dyDescent="0.2">
      <c r="A96" s="96" t="s">
        <v>42</v>
      </c>
      <c r="B96" s="97"/>
      <c r="C96" s="109" t="s">
        <v>125</v>
      </c>
      <c r="D96" s="110"/>
      <c r="E96" s="104" t="s">
        <v>43</v>
      </c>
      <c r="F96" s="104"/>
      <c r="G96" s="180" t="s">
        <v>53</v>
      </c>
      <c r="H96" s="180"/>
    </row>
    <row r="97" spans="1:8" x14ac:dyDescent="0.2">
      <c r="A97" s="96" t="s">
        <v>44</v>
      </c>
      <c r="B97" s="97"/>
      <c r="C97" s="80" t="s">
        <v>55</v>
      </c>
      <c r="D97" s="82"/>
      <c r="E97" s="104" t="s">
        <v>45</v>
      </c>
      <c r="F97" s="104"/>
      <c r="G97" s="103" t="s">
        <v>54</v>
      </c>
      <c r="H97" s="103"/>
    </row>
    <row r="98" spans="1:8" hidden="1" x14ac:dyDescent="0.2">
      <c r="A98" s="202" t="s">
        <v>196</v>
      </c>
      <c r="B98" s="203"/>
      <c r="C98" s="203"/>
      <c r="D98" s="203"/>
      <c r="E98" s="203"/>
      <c r="F98" s="203"/>
      <c r="G98" s="203"/>
      <c r="H98" s="204"/>
    </row>
    <row r="99" spans="1:8" hidden="1" x14ac:dyDescent="0.2">
      <c r="A99" s="104" t="s">
        <v>197</v>
      </c>
      <c r="B99" s="104"/>
      <c r="C99" s="96" t="s">
        <v>198</v>
      </c>
      <c r="D99" s="97"/>
      <c r="E99" s="104" t="s">
        <v>199</v>
      </c>
      <c r="F99" s="104"/>
      <c r="G99" s="104" t="s">
        <v>200</v>
      </c>
      <c r="H99" s="104"/>
    </row>
    <row r="100" spans="1:8" hidden="1" x14ac:dyDescent="0.2">
      <c r="A100" s="116" t="s">
        <v>201</v>
      </c>
      <c r="B100" s="116"/>
      <c r="C100" s="181"/>
      <c r="D100" s="182"/>
      <c r="E100" s="105"/>
      <c r="F100" s="106"/>
      <c r="G100" s="105"/>
      <c r="H100" s="106"/>
    </row>
    <row r="101" spans="1:8" hidden="1" x14ac:dyDescent="0.2">
      <c r="A101" s="104" t="s">
        <v>202</v>
      </c>
      <c r="B101" s="104"/>
      <c r="C101" s="247">
        <f>SUM(C100)</f>
        <v>0</v>
      </c>
      <c r="D101" s="248"/>
      <c r="E101" s="111">
        <f>SUM(E100)</f>
        <v>0</v>
      </c>
      <c r="F101" s="112"/>
      <c r="G101" s="111">
        <f>SUM(G100)</f>
        <v>0</v>
      </c>
      <c r="H101" s="112"/>
    </row>
    <row r="102" spans="1:8" x14ac:dyDescent="0.2">
      <c r="A102" s="104" t="s">
        <v>203</v>
      </c>
      <c r="B102" s="104"/>
      <c r="C102" s="104"/>
      <c r="D102" s="104"/>
      <c r="E102" s="104"/>
      <c r="F102" s="104"/>
      <c r="G102" s="104"/>
      <c r="H102" s="104"/>
    </row>
    <row r="103" spans="1:8" x14ac:dyDescent="0.2">
      <c r="A103" s="104" t="s">
        <v>197</v>
      </c>
      <c r="B103" s="104"/>
      <c r="C103" s="96" t="s">
        <v>198</v>
      </c>
      <c r="D103" s="97"/>
      <c r="E103" s="104" t="s">
        <v>199</v>
      </c>
      <c r="F103" s="104"/>
      <c r="G103" s="104" t="s">
        <v>200</v>
      </c>
      <c r="H103" s="104"/>
    </row>
    <row r="104" spans="1:8" x14ac:dyDescent="0.2">
      <c r="A104" s="116" t="s">
        <v>274</v>
      </c>
      <c r="B104" s="116"/>
      <c r="C104" s="98">
        <f>COUNT(F133:F137)+COUNT(F144:F153)*11+COUNT(F155,F157:F164)*2</f>
        <v>133</v>
      </c>
      <c r="D104" s="99"/>
      <c r="E104" s="98">
        <f>SUM(F133:F137)+SUM(F144:F153)*11+SUM(F155,F157:F164)*2</f>
        <v>72346.727700000003</v>
      </c>
      <c r="F104" s="99"/>
      <c r="G104" s="98">
        <f>SUM(H133:H137)+SUM(H144:H153)*11+SUM(H155,H157:H164)*2</f>
        <v>108520.09154999998</v>
      </c>
      <c r="H104" s="99"/>
    </row>
    <row r="105" spans="1:8" x14ac:dyDescent="0.2">
      <c r="A105" s="116" t="s">
        <v>275</v>
      </c>
      <c r="B105" s="116"/>
      <c r="C105" s="98">
        <f>COUNT(F168:F170)+COUNT(F176:F182)*11+COUNT(F184:F186,F188:F190)*2</f>
        <v>92</v>
      </c>
      <c r="D105" s="99"/>
      <c r="E105" s="98">
        <f>SUM(F168:F170)+SUM(F176:F182)*11+SUM(F184:F186,F188:F190)*2</f>
        <v>55489.604039999998</v>
      </c>
      <c r="F105" s="99"/>
      <c r="G105" s="98">
        <f>SUM(H168:H170)+SUM(H176:H182)*11+SUM(H184:H186,H188:H190)*2</f>
        <v>83234.406059999994</v>
      </c>
      <c r="H105" s="99"/>
    </row>
    <row r="106" spans="1:8" x14ac:dyDescent="0.2">
      <c r="A106" s="104" t="s">
        <v>202</v>
      </c>
      <c r="B106" s="104"/>
      <c r="C106" s="247">
        <f>SUM(C104:C105)</f>
        <v>225</v>
      </c>
      <c r="D106" s="248"/>
      <c r="E106" s="111">
        <f>SUM(E104:E105)</f>
        <v>127836.33173999999</v>
      </c>
      <c r="F106" s="112"/>
      <c r="G106" s="111">
        <f>SUM(G104:G105)</f>
        <v>191754.49760999996</v>
      </c>
      <c r="H106" s="112"/>
    </row>
    <row r="107" spans="1:8" hidden="1" x14ac:dyDescent="0.2">
      <c r="A107" s="104" t="s">
        <v>204</v>
      </c>
      <c r="B107" s="104"/>
      <c r="C107" s="96">
        <f>C101+C106</f>
        <v>225</v>
      </c>
      <c r="D107" s="97"/>
      <c r="E107" s="185">
        <f>E101+E106</f>
        <v>127836.33173999999</v>
      </c>
      <c r="F107" s="185"/>
      <c r="G107" s="185">
        <f>G101+G106</f>
        <v>191754.49760999996</v>
      </c>
      <c r="H107" s="185"/>
    </row>
    <row r="108" spans="1:8" x14ac:dyDescent="0.2">
      <c r="A108" s="104" t="s">
        <v>46</v>
      </c>
      <c r="B108" s="104"/>
      <c r="C108" s="104"/>
      <c r="D108" s="104"/>
      <c r="E108" s="104"/>
      <c r="F108" s="104"/>
      <c r="G108" s="104"/>
      <c r="H108" s="104"/>
    </row>
    <row r="109" spans="1:8" x14ac:dyDescent="0.2">
      <c r="A109" s="104" t="s">
        <v>285</v>
      </c>
      <c r="B109" s="104"/>
      <c r="C109" s="104"/>
      <c r="D109" s="104"/>
      <c r="E109" s="104"/>
      <c r="F109" s="104"/>
      <c r="G109" s="104"/>
      <c r="H109" s="104"/>
    </row>
    <row r="110" spans="1:8" ht="38.25" hidden="1" x14ac:dyDescent="0.2">
      <c r="A110" s="107" t="s">
        <v>215</v>
      </c>
      <c r="B110" s="249" t="s">
        <v>216</v>
      </c>
      <c r="C110" s="107" t="s">
        <v>128</v>
      </c>
      <c r="D110" s="249" t="s">
        <v>210</v>
      </c>
      <c r="E110" s="249" t="s">
        <v>213</v>
      </c>
      <c r="F110" s="107" t="s">
        <v>211</v>
      </c>
      <c r="G110" s="23" t="s">
        <v>212</v>
      </c>
      <c r="H110" s="54" t="s">
        <v>141</v>
      </c>
    </row>
    <row r="111" spans="1:8" hidden="1" x14ac:dyDescent="0.2">
      <c r="A111" s="108"/>
      <c r="B111" s="250"/>
      <c r="C111" s="108"/>
      <c r="D111" s="250"/>
      <c r="E111" s="250"/>
      <c r="F111" s="108"/>
      <c r="G111" s="24"/>
      <c r="H111" s="24">
        <v>0.45</v>
      </c>
    </row>
    <row r="112" spans="1:8" hidden="1" x14ac:dyDescent="0.2">
      <c r="A112" s="83" t="s">
        <v>132</v>
      </c>
      <c r="B112" s="83"/>
      <c r="C112" s="83"/>
      <c r="D112" s="83"/>
      <c r="E112" s="83"/>
      <c r="F112" s="83"/>
      <c r="G112" s="83"/>
      <c r="H112" s="83"/>
    </row>
    <row r="113" spans="1:9" ht="39" hidden="1" customHeight="1" x14ac:dyDescent="0.2">
      <c r="A113" s="83" t="s">
        <v>207</v>
      </c>
      <c r="B113" s="83"/>
      <c r="C113" s="83"/>
      <c r="D113" s="83"/>
      <c r="E113" s="83"/>
      <c r="F113" s="83"/>
      <c r="G113" s="83"/>
      <c r="H113" s="83"/>
    </row>
    <row r="114" spans="1:9" hidden="1" x14ac:dyDescent="0.2">
      <c r="A114" s="77">
        <v>1</v>
      </c>
      <c r="B114" s="78"/>
      <c r="C114" s="21" t="s">
        <v>214</v>
      </c>
      <c r="D114" s="21"/>
      <c r="E114" s="17"/>
      <c r="F114" s="18">
        <f>D114+(IF(E114&lt;201,E114,IF(E114&lt;301,E114/2,E114/3)))</f>
        <v>0</v>
      </c>
      <c r="G114" s="18"/>
      <c r="H114" s="20">
        <f t="shared" ref="H114:H125" si="0">F114*(($H$111)+1)+(IF(G114&lt;101,G114,IF(G114&lt;201,G114/2,IF(G114&lt;=301,G114/3,G114/4))))</f>
        <v>0</v>
      </c>
    </row>
    <row r="115" spans="1:9" hidden="1" x14ac:dyDescent="0.2">
      <c r="A115" s="77">
        <f>A114+1</f>
        <v>2</v>
      </c>
      <c r="B115" s="78"/>
      <c r="C115" s="21" t="s">
        <v>214</v>
      </c>
      <c r="D115" s="21"/>
      <c r="E115" s="17"/>
      <c r="F115" s="18">
        <f t="shared" ref="F115:F125" si="1">D115+(IF(E115&lt;201,E115,IF(E115&lt;301,E115/2,E115/3)))</f>
        <v>0</v>
      </c>
      <c r="G115" s="18"/>
      <c r="H115" s="21">
        <f t="shared" si="0"/>
        <v>0</v>
      </c>
    </row>
    <row r="116" spans="1:9" hidden="1" x14ac:dyDescent="0.2">
      <c r="A116" s="77">
        <f t="shared" ref="A116:A125" si="2">A115+1</f>
        <v>3</v>
      </c>
      <c r="B116" s="78"/>
      <c r="C116" s="21" t="s">
        <v>214</v>
      </c>
      <c r="D116" s="21"/>
      <c r="E116" s="17"/>
      <c r="F116" s="18">
        <f t="shared" si="1"/>
        <v>0</v>
      </c>
      <c r="G116" s="18"/>
      <c r="H116" s="21">
        <f t="shared" si="0"/>
        <v>0</v>
      </c>
    </row>
    <row r="117" spans="1:9" hidden="1" x14ac:dyDescent="0.2">
      <c r="A117" s="77">
        <f t="shared" si="2"/>
        <v>4</v>
      </c>
      <c r="B117" s="78"/>
      <c r="C117" s="21" t="s">
        <v>214</v>
      </c>
      <c r="D117" s="21"/>
      <c r="E117" s="17"/>
      <c r="F117" s="18">
        <f t="shared" si="1"/>
        <v>0</v>
      </c>
      <c r="G117" s="18"/>
      <c r="H117" s="21">
        <f t="shared" si="0"/>
        <v>0</v>
      </c>
    </row>
    <row r="118" spans="1:9" hidden="1" x14ac:dyDescent="0.2">
      <c r="A118" s="77">
        <f t="shared" si="2"/>
        <v>5</v>
      </c>
      <c r="B118" s="78"/>
      <c r="C118" s="21" t="s">
        <v>214</v>
      </c>
      <c r="D118" s="21"/>
      <c r="E118" s="17"/>
      <c r="F118" s="18">
        <f t="shared" si="1"/>
        <v>0</v>
      </c>
      <c r="G118" s="18"/>
      <c r="H118" s="21">
        <f t="shared" si="0"/>
        <v>0</v>
      </c>
    </row>
    <row r="119" spans="1:9" hidden="1" x14ac:dyDescent="0.2">
      <c r="A119" s="77">
        <f t="shared" si="2"/>
        <v>6</v>
      </c>
      <c r="B119" s="78"/>
      <c r="C119" s="21" t="s">
        <v>214</v>
      </c>
      <c r="D119" s="21"/>
      <c r="E119" s="17"/>
      <c r="F119" s="18">
        <f t="shared" si="1"/>
        <v>0</v>
      </c>
      <c r="G119" s="18"/>
      <c r="H119" s="21">
        <f t="shared" si="0"/>
        <v>0</v>
      </c>
    </row>
    <row r="120" spans="1:9" hidden="1" x14ac:dyDescent="0.2">
      <c r="A120" s="77">
        <f t="shared" si="2"/>
        <v>7</v>
      </c>
      <c r="B120" s="78"/>
      <c r="C120" s="21" t="s">
        <v>214</v>
      </c>
      <c r="D120" s="21"/>
      <c r="E120" s="17"/>
      <c r="F120" s="18">
        <f t="shared" si="1"/>
        <v>0</v>
      </c>
      <c r="G120" s="18"/>
      <c r="H120" s="21">
        <f t="shared" si="0"/>
        <v>0</v>
      </c>
    </row>
    <row r="121" spans="1:9" hidden="1" x14ac:dyDescent="0.2">
      <c r="A121" s="77">
        <f t="shared" si="2"/>
        <v>8</v>
      </c>
      <c r="B121" s="78"/>
      <c r="C121" s="21" t="s">
        <v>214</v>
      </c>
      <c r="D121" s="21"/>
      <c r="E121" s="17"/>
      <c r="F121" s="18">
        <f t="shared" si="1"/>
        <v>0</v>
      </c>
      <c r="G121" s="18"/>
      <c r="H121" s="21">
        <f t="shared" si="0"/>
        <v>0</v>
      </c>
    </row>
    <row r="122" spans="1:9" hidden="1" x14ac:dyDescent="0.2">
      <c r="A122" s="77">
        <f t="shared" si="2"/>
        <v>9</v>
      </c>
      <c r="B122" s="78"/>
      <c r="C122" s="21" t="s">
        <v>214</v>
      </c>
      <c r="D122" s="21"/>
      <c r="E122" s="17"/>
      <c r="F122" s="18">
        <f t="shared" si="1"/>
        <v>0</v>
      </c>
      <c r="G122" s="18"/>
      <c r="H122" s="21">
        <f t="shared" si="0"/>
        <v>0</v>
      </c>
    </row>
    <row r="123" spans="1:9" hidden="1" x14ac:dyDescent="0.2">
      <c r="A123" s="77">
        <f t="shared" si="2"/>
        <v>10</v>
      </c>
      <c r="B123" s="78"/>
      <c r="C123" s="21" t="s">
        <v>214</v>
      </c>
      <c r="D123" s="21"/>
      <c r="E123" s="17"/>
      <c r="F123" s="18">
        <f t="shared" si="1"/>
        <v>0</v>
      </c>
      <c r="G123" s="18"/>
      <c r="H123" s="21">
        <f t="shared" si="0"/>
        <v>0</v>
      </c>
    </row>
    <row r="124" spans="1:9" hidden="1" x14ac:dyDescent="0.2">
      <c r="A124" s="77">
        <f t="shared" si="2"/>
        <v>11</v>
      </c>
      <c r="B124" s="78"/>
      <c r="C124" s="21" t="s">
        <v>214</v>
      </c>
      <c r="D124" s="21"/>
      <c r="E124" s="17"/>
      <c r="F124" s="18">
        <f t="shared" si="1"/>
        <v>0</v>
      </c>
      <c r="G124" s="18"/>
      <c r="H124" s="21">
        <f t="shared" si="0"/>
        <v>0</v>
      </c>
    </row>
    <row r="125" spans="1:9" hidden="1" x14ac:dyDescent="0.2">
      <c r="A125" s="77">
        <f t="shared" si="2"/>
        <v>12</v>
      </c>
      <c r="B125" s="78"/>
      <c r="C125" s="21" t="s">
        <v>214</v>
      </c>
      <c r="D125" s="21"/>
      <c r="E125" s="17"/>
      <c r="F125" s="18">
        <f t="shared" si="1"/>
        <v>0</v>
      </c>
      <c r="G125" s="18"/>
      <c r="H125" s="21">
        <f t="shared" si="0"/>
        <v>0</v>
      </c>
    </row>
    <row r="126" spans="1:9" hidden="1" x14ac:dyDescent="0.2">
      <c r="A126" s="77"/>
      <c r="B126" s="79"/>
      <c r="C126" s="79"/>
      <c r="D126" s="79"/>
      <c r="E126" s="79"/>
      <c r="F126" s="79"/>
      <c r="G126" s="79"/>
      <c r="H126" s="78"/>
    </row>
    <row r="127" spans="1:9" ht="38.25" x14ac:dyDescent="0.2">
      <c r="A127" s="107" t="s">
        <v>208</v>
      </c>
      <c r="B127" s="84" t="s">
        <v>209</v>
      </c>
      <c r="C127" s="107" t="s">
        <v>128</v>
      </c>
      <c r="D127" s="84" t="s">
        <v>210</v>
      </c>
      <c r="E127" s="84" t="s">
        <v>280</v>
      </c>
      <c r="F127" s="107" t="s">
        <v>211</v>
      </c>
      <c r="G127" s="54" t="s">
        <v>212</v>
      </c>
      <c r="H127" s="54" t="s">
        <v>141</v>
      </c>
      <c r="I127" s="18">
        <v>10.763999999999999</v>
      </c>
    </row>
    <row r="128" spans="1:9" x14ac:dyDescent="0.2">
      <c r="A128" s="108"/>
      <c r="B128" s="85"/>
      <c r="C128" s="108"/>
      <c r="D128" s="85"/>
      <c r="E128" s="85"/>
      <c r="F128" s="108"/>
      <c r="G128" s="24"/>
      <c r="H128" s="24">
        <v>0.5</v>
      </c>
    </row>
    <row r="129" spans="1:12" x14ac:dyDescent="0.2">
      <c r="A129" s="83" t="s">
        <v>288</v>
      </c>
      <c r="B129" s="83"/>
      <c r="C129" s="83"/>
      <c r="D129" s="83"/>
      <c r="E129" s="83"/>
      <c r="F129" s="83"/>
      <c r="G129" s="83"/>
      <c r="H129" s="83"/>
    </row>
    <row r="130" spans="1:12" x14ac:dyDescent="0.2">
      <c r="A130" s="83" t="s">
        <v>274</v>
      </c>
      <c r="B130" s="83"/>
      <c r="C130" s="83"/>
      <c r="D130" s="83"/>
      <c r="E130" s="83"/>
      <c r="F130" s="83"/>
      <c r="G130" s="83"/>
      <c r="H130" s="83"/>
      <c r="L130" s="6">
        <f>4100000/H144</f>
        <v>6081.4959317091325</v>
      </c>
    </row>
    <row r="131" spans="1:12" x14ac:dyDescent="0.2">
      <c r="A131" s="83" t="s">
        <v>247</v>
      </c>
      <c r="B131" s="83"/>
      <c r="C131" s="83"/>
      <c r="D131" s="83"/>
      <c r="E131" s="83"/>
      <c r="F131" s="83"/>
      <c r="G131" s="83"/>
      <c r="H131" s="83"/>
    </row>
    <row r="132" spans="1:12" x14ac:dyDescent="0.2">
      <c r="A132" s="95" t="s">
        <v>276</v>
      </c>
      <c r="B132" s="95"/>
      <c r="C132" s="95"/>
      <c r="D132" s="95"/>
      <c r="E132" s="95"/>
      <c r="F132" s="95"/>
      <c r="G132" s="95"/>
      <c r="H132" s="95"/>
    </row>
    <row r="133" spans="1:12" x14ac:dyDescent="0.2">
      <c r="A133" s="77">
        <v>1</v>
      </c>
      <c r="B133" s="78"/>
      <c r="C133" s="21" t="s">
        <v>242</v>
      </c>
      <c r="D133" s="18">
        <f>(45.07+(2.1+3.3+3.5))*10.764</f>
        <v>580.9330799999999</v>
      </c>
      <c r="E133" s="18">
        <f>(3.175*1.2+0.75*(2.1+3.3+3.5))*10.764</f>
        <v>112.86053999999999</v>
      </c>
      <c r="F133" s="18">
        <f>D133+E133</f>
        <v>693.79361999999992</v>
      </c>
      <c r="G133" s="18">
        <v>0</v>
      </c>
      <c r="H133" s="18">
        <f>F133*(($H$128)+1)+(IF(G133&lt;101,G133,IF(G133&lt;201,G133/2,IF(G133&lt;=301,G133/3,G133/4))))</f>
        <v>1040.6904299999999</v>
      </c>
      <c r="I133" s="60">
        <f>3*4.2+2.2*2.45+2.7*3.75+1.2*(0.9+1.8)+0.9*0.6+1.4*0.4-3*1.2-2.2*1-2.7*1</f>
        <v>23.955000000000005</v>
      </c>
      <c r="J133" s="69">
        <f>3*1.4+2.2*1.1+2.7*1.1</f>
        <v>9.59</v>
      </c>
    </row>
    <row r="134" spans="1:12" x14ac:dyDescent="0.2">
      <c r="A134" s="77">
        <f>A133+1</f>
        <v>2</v>
      </c>
      <c r="B134" s="78"/>
      <c r="C134" s="21" t="s">
        <v>56</v>
      </c>
      <c r="D134" s="18">
        <f>(27.33+(3*1.2+2.2+2.7))*10.764</f>
        <v>385.67411999999996</v>
      </c>
      <c r="E134" s="18">
        <f>(0.75*(3+2.2+2.7))*10.764</f>
        <v>63.776700000000005</v>
      </c>
      <c r="F134" s="18">
        <f t="shared" ref="F134:F137" si="3">D134+E134</f>
        <v>449.45081999999996</v>
      </c>
      <c r="G134" s="18">
        <v>0</v>
      </c>
      <c r="H134" s="18">
        <f t="shared" ref="H134:H137" si="4">F134*(($H$128)+1)+(IF(G134&lt;101,G134,IF(G134&lt;201,G134/2,IF(G134&lt;=301,G134/3,G134/4))))</f>
        <v>674.17622999999992</v>
      </c>
      <c r="I134" s="60">
        <f>3*4.8+2.4*3+2.7*3.2+3*3.35+2.9*0.9+1.05+1.2*(2+1.95)+0.9-3*1.4-(2.7+3)*0.85</f>
        <v>40.545000000000002</v>
      </c>
      <c r="J134" s="6">
        <f>3*1.5+2.7+3</f>
        <v>10.199999999999999</v>
      </c>
      <c r="K134" s="6">
        <f>0.75*(2.6+2.7+3)</f>
        <v>6.2250000000000005</v>
      </c>
    </row>
    <row r="135" spans="1:12" x14ac:dyDescent="0.2">
      <c r="A135" s="77">
        <f t="shared" ref="A135:A142" si="5">A134+1</f>
        <v>3</v>
      </c>
      <c r="B135" s="78"/>
      <c r="C135" s="21" t="s">
        <v>56</v>
      </c>
      <c r="D135" s="18">
        <f>(27.33+(3*1.2+2.2+2.7))*10.764</f>
        <v>385.67411999999996</v>
      </c>
      <c r="E135" s="18">
        <f>(0.75*(3+2.2+2.7))*10.764</f>
        <v>63.776700000000005</v>
      </c>
      <c r="F135" s="18">
        <f t="shared" si="3"/>
        <v>449.45081999999996</v>
      </c>
      <c r="G135" s="21">
        <v>0</v>
      </c>
      <c r="H135" s="18">
        <f t="shared" si="4"/>
        <v>674.17622999999992</v>
      </c>
    </row>
    <row r="136" spans="1:12" x14ac:dyDescent="0.2">
      <c r="A136" s="77">
        <f t="shared" si="5"/>
        <v>4</v>
      </c>
      <c r="B136" s="78"/>
      <c r="C136" s="21" t="s">
        <v>56</v>
      </c>
      <c r="D136" s="18">
        <f>(27.33+(3*1.2+2.2+2.7))*10.764</f>
        <v>385.67411999999996</v>
      </c>
      <c r="E136" s="18">
        <f>(0.75*(3+2.2+2.7))*10.764</f>
        <v>63.776700000000005</v>
      </c>
      <c r="F136" s="18">
        <f t="shared" si="3"/>
        <v>449.45081999999996</v>
      </c>
      <c r="G136" s="21">
        <v>0</v>
      </c>
      <c r="H136" s="18">
        <f t="shared" si="4"/>
        <v>674.17622999999992</v>
      </c>
    </row>
    <row r="137" spans="1:12" x14ac:dyDescent="0.2">
      <c r="A137" s="77">
        <f t="shared" si="5"/>
        <v>5</v>
      </c>
      <c r="B137" s="78"/>
      <c r="C137" s="21" t="s">
        <v>242</v>
      </c>
      <c r="D137" s="18">
        <f>(42.5+(3*1.4+2.7+3))*10.764</f>
        <v>564.03359999999998</v>
      </c>
      <c r="E137" s="18">
        <f>(0.75*(3+2.7+3))*10.764</f>
        <v>70.235099999999989</v>
      </c>
      <c r="F137" s="18">
        <f t="shared" si="3"/>
        <v>634.26869999999997</v>
      </c>
      <c r="G137" s="21">
        <v>0</v>
      </c>
      <c r="H137" s="18">
        <f t="shared" si="4"/>
        <v>951.40304999999989</v>
      </c>
    </row>
    <row r="138" spans="1:12" x14ac:dyDescent="0.2">
      <c r="A138" s="77">
        <f t="shared" si="5"/>
        <v>6</v>
      </c>
      <c r="B138" s="78"/>
      <c r="C138" s="86" t="s">
        <v>277</v>
      </c>
      <c r="D138" s="87"/>
      <c r="E138" s="87"/>
      <c r="F138" s="87"/>
      <c r="G138" s="87"/>
      <c r="H138" s="88"/>
    </row>
    <row r="139" spans="1:12" x14ac:dyDescent="0.2">
      <c r="A139" s="77">
        <f t="shared" si="5"/>
        <v>7</v>
      </c>
      <c r="B139" s="78"/>
      <c r="C139" s="89"/>
      <c r="D139" s="90"/>
      <c r="E139" s="90"/>
      <c r="F139" s="90"/>
      <c r="G139" s="90"/>
      <c r="H139" s="91"/>
    </row>
    <row r="140" spans="1:12" x14ac:dyDescent="0.2">
      <c r="A140" s="77">
        <f t="shared" si="5"/>
        <v>8</v>
      </c>
      <c r="B140" s="78"/>
      <c r="C140" s="89"/>
      <c r="D140" s="90"/>
      <c r="E140" s="90"/>
      <c r="F140" s="90"/>
      <c r="G140" s="90"/>
      <c r="H140" s="91"/>
      <c r="J140" s="6">
        <f>3.175*1.2</f>
        <v>3.8099999999999996</v>
      </c>
    </row>
    <row r="141" spans="1:12" x14ac:dyDescent="0.2">
      <c r="A141" s="77">
        <f t="shared" si="5"/>
        <v>9</v>
      </c>
      <c r="B141" s="78"/>
      <c r="C141" s="89"/>
      <c r="D141" s="90"/>
      <c r="E141" s="90"/>
      <c r="F141" s="90"/>
      <c r="G141" s="90"/>
      <c r="H141" s="91"/>
      <c r="I141" s="60">
        <f>3*4.2+2.2*2.45+2.7*3.75+1.2*(0.9+1.8)+(2.4+0.5)*0.9+1.5*0.4-3*1.4-2.2-2.7</f>
        <v>25.465000000000007</v>
      </c>
    </row>
    <row r="142" spans="1:12" x14ac:dyDescent="0.2">
      <c r="A142" s="77">
        <f t="shared" si="5"/>
        <v>10</v>
      </c>
      <c r="B142" s="78"/>
      <c r="C142" s="92"/>
      <c r="D142" s="93"/>
      <c r="E142" s="93"/>
      <c r="F142" s="93"/>
      <c r="G142" s="93"/>
      <c r="H142" s="94"/>
    </row>
    <row r="143" spans="1:12" x14ac:dyDescent="0.2">
      <c r="A143" s="83" t="s">
        <v>243</v>
      </c>
      <c r="B143" s="83"/>
      <c r="C143" s="83"/>
      <c r="D143" s="83"/>
      <c r="E143" s="83"/>
      <c r="F143" s="83"/>
      <c r="G143" s="83"/>
      <c r="H143" s="83"/>
    </row>
    <row r="144" spans="1:12" x14ac:dyDescent="0.2">
      <c r="A144" s="77">
        <v>1</v>
      </c>
      <c r="B144" s="78"/>
      <c r="C144" s="21" t="s">
        <v>56</v>
      </c>
      <c r="D144" s="18">
        <f>(27.33+(3*1.2+2.2+2.7))*10.764</f>
        <v>385.67411999999996</v>
      </c>
      <c r="E144" s="18">
        <f>(0.75*(3+2.2+2.7))*10.764</f>
        <v>63.776700000000005</v>
      </c>
      <c r="F144" s="18">
        <f>D144+E144</f>
        <v>449.45081999999996</v>
      </c>
      <c r="G144" s="21">
        <v>0</v>
      </c>
      <c r="H144" s="18">
        <f>F144*(($H$128)+1)+(IF(G144&lt;101,G144,IF(G144&lt;201,G144/2,IF(G144&lt;=301,G144/3,G144/4))))</f>
        <v>674.17622999999992</v>
      </c>
      <c r="I144" s="6">
        <f>3*2+4.2+2.2*2.45+2.7*3.75+1.2*1.8+0.9*1.2</f>
        <v>28.954999999999998</v>
      </c>
      <c r="K144" s="6">
        <f>3490000/H144</f>
        <v>5176.6880004060667</v>
      </c>
    </row>
    <row r="145" spans="1:11" x14ac:dyDescent="0.2">
      <c r="A145" s="77">
        <f>A144+1</f>
        <v>2</v>
      </c>
      <c r="B145" s="78"/>
      <c r="C145" s="21" t="s">
        <v>242</v>
      </c>
      <c r="D145" s="18">
        <f>(42.5+(3*1.4+2.7+3))*10.764</f>
        <v>564.03359999999998</v>
      </c>
      <c r="E145" s="18">
        <f>(0.75*(3+2.7+3))*10.764</f>
        <v>70.235099999999989</v>
      </c>
      <c r="F145" s="18">
        <f t="shared" ref="F145:F153" si="6">D145+E145</f>
        <v>634.26869999999997</v>
      </c>
      <c r="G145" s="21">
        <v>0</v>
      </c>
      <c r="H145" s="18">
        <f t="shared" ref="H145:H153" si="7">F145*(($H$128)+1)+(IF(G145&lt;101,G145,IF(G145&lt;201,G145/2,IF(G145&lt;=301,G145/3,G145/4))))</f>
        <v>951.40304999999989</v>
      </c>
      <c r="I145" s="6">
        <f>3*4.8+2.7*3.3+3*3.35+2.4*3.9+1*0.9+2*1.2+2.05*1.2+0.9*2.9</f>
        <v>51.089999999999996</v>
      </c>
    </row>
    <row r="146" spans="1:11" x14ac:dyDescent="0.2">
      <c r="A146" s="77">
        <f t="shared" ref="A146:A153" si="8">A145+1</f>
        <v>3</v>
      </c>
      <c r="B146" s="78"/>
      <c r="C146" s="21" t="s">
        <v>242</v>
      </c>
      <c r="D146" s="18">
        <f>(46.69+(2.7+3))*10.764</f>
        <v>563.92595999999992</v>
      </c>
      <c r="E146" s="18">
        <f>(3.3*1.2+0.75*(2.7+3))*10.764</f>
        <v>88.641539999999992</v>
      </c>
      <c r="F146" s="18">
        <f t="shared" si="6"/>
        <v>652.56749999999988</v>
      </c>
      <c r="G146" s="21">
        <v>0</v>
      </c>
      <c r="H146" s="18">
        <f t="shared" si="7"/>
        <v>978.85124999999982</v>
      </c>
      <c r="I146" s="6">
        <f>3*4.8+2.7*3.3+3*3.3+2.4*3+1*0.9+2.95*0.9+2*1.2+2.05*1.2</f>
        <v>48.824999999999996</v>
      </c>
    </row>
    <row r="147" spans="1:11" x14ac:dyDescent="0.2">
      <c r="A147" s="77">
        <f t="shared" si="8"/>
        <v>4</v>
      </c>
      <c r="B147" s="78"/>
      <c r="C147" s="21" t="s">
        <v>56</v>
      </c>
      <c r="D147" s="18">
        <f>(31.21+(2.2+2.7))*10.764</f>
        <v>388.68803999999994</v>
      </c>
      <c r="E147" s="18">
        <f>(2.95*1.2+0.75*(2.7+2.2))*10.764</f>
        <v>77.662259999999989</v>
      </c>
      <c r="F147" s="18">
        <f t="shared" si="6"/>
        <v>466.35029999999995</v>
      </c>
      <c r="G147" s="21">
        <v>0</v>
      </c>
      <c r="H147" s="18">
        <f t="shared" si="7"/>
        <v>699.52544999999986</v>
      </c>
      <c r="I147" s="60">
        <f>3*4.2+2.2*2.45+2.7*2.75+1.2*(1.8+0.9)+0.9*0.6+1.5*0.4</f>
        <v>29.795000000000002</v>
      </c>
    </row>
    <row r="148" spans="1:11" x14ac:dyDescent="0.2">
      <c r="A148" s="77">
        <f t="shared" si="8"/>
        <v>5</v>
      </c>
      <c r="B148" s="78"/>
      <c r="C148" s="21" t="s">
        <v>56</v>
      </c>
      <c r="D148" s="18">
        <f>(31.21+(2.2+2.7))*10.764</f>
        <v>388.68803999999994</v>
      </c>
      <c r="E148" s="18">
        <f>(2.95*1.2+0.75*(2.7+2.2))*10.764</f>
        <v>77.662259999999989</v>
      </c>
      <c r="F148" s="18">
        <f t="shared" si="6"/>
        <v>466.35029999999995</v>
      </c>
      <c r="G148" s="21">
        <v>0</v>
      </c>
      <c r="H148" s="18">
        <f t="shared" si="7"/>
        <v>699.52544999999986</v>
      </c>
    </row>
    <row r="149" spans="1:11" x14ac:dyDescent="0.2">
      <c r="A149" s="77">
        <f t="shared" si="8"/>
        <v>6</v>
      </c>
      <c r="B149" s="78"/>
      <c r="C149" s="21" t="s">
        <v>56</v>
      </c>
      <c r="D149" s="18">
        <f>(31.21+(2.2+2.7))*10.764</f>
        <v>388.68803999999994</v>
      </c>
      <c r="E149" s="18">
        <f>(2.95*1.2+0.75*(2.7+2.2))*10.764</f>
        <v>77.662259999999989</v>
      </c>
      <c r="F149" s="18">
        <f t="shared" si="6"/>
        <v>466.35029999999995</v>
      </c>
      <c r="G149" s="21">
        <v>0</v>
      </c>
      <c r="H149" s="18">
        <f t="shared" si="7"/>
        <v>699.52544999999986</v>
      </c>
      <c r="K149" s="6">
        <f>3690000/H148</f>
        <v>5275.0046477937303</v>
      </c>
    </row>
    <row r="150" spans="1:11" x14ac:dyDescent="0.2">
      <c r="A150" s="77">
        <f t="shared" si="8"/>
        <v>7</v>
      </c>
      <c r="B150" s="78"/>
      <c r="C150" s="21" t="s">
        <v>242</v>
      </c>
      <c r="D150" s="18">
        <f>(45.07+(2.1+3.3+3.5))*10.764</f>
        <v>580.9330799999999</v>
      </c>
      <c r="E150" s="18">
        <f>(3.175*1.2+0.75*(2.1+3.3+3.5))*10.764</f>
        <v>112.86053999999999</v>
      </c>
      <c r="F150" s="18">
        <f t="shared" si="6"/>
        <v>693.79361999999992</v>
      </c>
      <c r="G150" s="21">
        <v>0</v>
      </c>
      <c r="H150" s="18">
        <f t="shared" si="7"/>
        <v>1040.6904299999999</v>
      </c>
      <c r="J150" s="6">
        <f>2.1+3.3+3.5</f>
        <v>8.9</v>
      </c>
    </row>
    <row r="151" spans="1:11" x14ac:dyDescent="0.2">
      <c r="A151" s="77">
        <f t="shared" si="8"/>
        <v>8</v>
      </c>
      <c r="B151" s="78"/>
      <c r="C151" s="21" t="s">
        <v>242</v>
      </c>
      <c r="D151" s="18">
        <f>(45.07+(2.1+3.3+3.5))*10.764</f>
        <v>580.9330799999999</v>
      </c>
      <c r="E151" s="18">
        <f>(3.175*1.2+0.75*(2.1+3.3+3.5))*10.764</f>
        <v>112.86053999999999</v>
      </c>
      <c r="F151" s="18">
        <f t="shared" si="6"/>
        <v>693.79361999999992</v>
      </c>
      <c r="G151" s="21">
        <v>0</v>
      </c>
      <c r="H151" s="18">
        <f t="shared" si="7"/>
        <v>1040.6904299999999</v>
      </c>
    </row>
    <row r="152" spans="1:11" x14ac:dyDescent="0.2">
      <c r="A152" s="77">
        <f t="shared" si="8"/>
        <v>9</v>
      </c>
      <c r="B152" s="78"/>
      <c r="C152" s="21" t="s">
        <v>56</v>
      </c>
      <c r="D152" s="18">
        <f>(27.33+(3*1.2+2.2+2.7))*10.764</f>
        <v>385.67411999999996</v>
      </c>
      <c r="E152" s="18">
        <f>(0.75*(3+2.2+2.7))*10.764</f>
        <v>63.776700000000005</v>
      </c>
      <c r="F152" s="18">
        <f t="shared" si="6"/>
        <v>449.45081999999996</v>
      </c>
      <c r="G152" s="21">
        <v>0</v>
      </c>
      <c r="H152" s="18">
        <f t="shared" si="7"/>
        <v>674.17622999999992</v>
      </c>
    </row>
    <row r="153" spans="1:11" x14ac:dyDescent="0.2">
      <c r="A153" s="77">
        <f t="shared" si="8"/>
        <v>10</v>
      </c>
      <c r="B153" s="78"/>
      <c r="C153" s="21" t="s">
        <v>56</v>
      </c>
      <c r="D153" s="18">
        <f>(27.33+(3*1.2+2.2+2.7))*10.764</f>
        <v>385.67411999999996</v>
      </c>
      <c r="E153" s="18">
        <f>(0.75*(3+2.2+2.7))*10.764</f>
        <v>63.776700000000005</v>
      </c>
      <c r="F153" s="18">
        <f t="shared" si="6"/>
        <v>449.45081999999996</v>
      </c>
      <c r="G153" s="21">
        <v>0</v>
      </c>
      <c r="H153" s="18">
        <f t="shared" si="7"/>
        <v>674.17622999999992</v>
      </c>
    </row>
    <row r="154" spans="1:11" x14ac:dyDescent="0.2">
      <c r="A154" s="95" t="s">
        <v>245</v>
      </c>
      <c r="B154" s="95"/>
      <c r="C154" s="95"/>
      <c r="D154" s="95"/>
      <c r="E154" s="95"/>
      <c r="F154" s="95"/>
      <c r="G154" s="95"/>
      <c r="H154" s="95"/>
    </row>
    <row r="155" spans="1:11" x14ac:dyDescent="0.2">
      <c r="A155" s="77">
        <v>1</v>
      </c>
      <c r="B155" s="78"/>
      <c r="C155" s="21" t="s">
        <v>246</v>
      </c>
      <c r="D155" s="18">
        <f>(42.61+(3*1.2+3*1.2+2.2+2.7))*10.764</f>
        <v>588.89843999999994</v>
      </c>
      <c r="E155" s="18">
        <f>(0.75*(3+3+2.2+2.7))*10.764</f>
        <v>87.995699999999985</v>
      </c>
      <c r="F155" s="18">
        <f>D155+E155</f>
        <v>676.89413999999988</v>
      </c>
      <c r="G155" s="18">
        <v>0</v>
      </c>
      <c r="H155" s="18">
        <f>F155*(($H$128)+1)+(IF(G155&lt;101,G155,IF(G155&lt;201,G155/2,IF(G155&lt;=301,G155/3,G155/4))))</f>
        <v>1015.3412099999998</v>
      </c>
      <c r="I155" s="60">
        <f>3*4.2+1.55*1.65+3*3+2.2*3.1+2.75*3.75+1.85*1.1+1.84*1.1+2.4*0.9</f>
        <v>47.509</v>
      </c>
    </row>
    <row r="156" spans="1:11" x14ac:dyDescent="0.2">
      <c r="A156" s="77">
        <f>A155+1</f>
        <v>2</v>
      </c>
      <c r="B156" s="78"/>
      <c r="C156" s="77" t="s">
        <v>244</v>
      </c>
      <c r="D156" s="79"/>
      <c r="E156" s="79"/>
      <c r="F156" s="79"/>
      <c r="G156" s="79"/>
      <c r="H156" s="78"/>
      <c r="K156" s="6">
        <f>5300000/H155</f>
        <v>5219.9201094181935</v>
      </c>
    </row>
    <row r="157" spans="1:11" x14ac:dyDescent="0.2">
      <c r="A157" s="77">
        <f t="shared" ref="A157:A164" si="9">A156+1</f>
        <v>3</v>
      </c>
      <c r="B157" s="78"/>
      <c r="C157" s="21" t="s">
        <v>242</v>
      </c>
      <c r="D157" s="18">
        <f>(46.7+(2.7+3))*10.764</f>
        <v>564.03359999999998</v>
      </c>
      <c r="E157" s="18">
        <f>(3.3*1.2+0.75*(2.7+3))*10.764</f>
        <v>88.641539999999992</v>
      </c>
      <c r="F157" s="18">
        <f t="shared" ref="F157:F164" si="10">D157+E157</f>
        <v>652.67513999999994</v>
      </c>
      <c r="G157" s="18">
        <v>0</v>
      </c>
      <c r="H157" s="18">
        <f t="shared" ref="H157:H164" si="11">F157*(($H$128)+1)+(IF(G157&lt;101,G157,IF(G157&lt;201,G157/2,IF(G157&lt;=301,G157/3,G157/4))))</f>
        <v>979.01270999999997</v>
      </c>
      <c r="K157" s="6">
        <f>5200000/H157</f>
        <v>5311.4734332713615</v>
      </c>
    </row>
    <row r="158" spans="1:11" x14ac:dyDescent="0.2">
      <c r="A158" s="77">
        <f t="shared" si="9"/>
        <v>4</v>
      </c>
      <c r="B158" s="78"/>
      <c r="C158" s="21" t="s">
        <v>56</v>
      </c>
      <c r="D158" s="18">
        <f>(31.21+(2.2+2.7))*10.764</f>
        <v>388.68803999999994</v>
      </c>
      <c r="E158" s="18">
        <f>(2.95*1.2+0.75*(2.7+2.2))*10.764</f>
        <v>77.662259999999989</v>
      </c>
      <c r="F158" s="18">
        <f t="shared" si="10"/>
        <v>466.35029999999995</v>
      </c>
      <c r="G158" s="18">
        <v>0</v>
      </c>
      <c r="H158" s="18">
        <f t="shared" si="11"/>
        <v>699.52544999999986</v>
      </c>
    </row>
    <row r="159" spans="1:11" x14ac:dyDescent="0.2">
      <c r="A159" s="77">
        <f t="shared" si="9"/>
        <v>5</v>
      </c>
      <c r="B159" s="78"/>
      <c r="C159" s="21" t="s">
        <v>56</v>
      </c>
      <c r="D159" s="18">
        <f>(31.21+(2.2+2.7))*10.764</f>
        <v>388.68803999999994</v>
      </c>
      <c r="E159" s="18">
        <f>(2.95*1.2+0.75*(2.7+2.2))*10.764</f>
        <v>77.662259999999989</v>
      </c>
      <c r="F159" s="18">
        <f t="shared" si="10"/>
        <v>466.35029999999995</v>
      </c>
      <c r="G159" s="18">
        <v>0</v>
      </c>
      <c r="H159" s="18">
        <f t="shared" si="11"/>
        <v>699.52544999999986</v>
      </c>
    </row>
    <row r="160" spans="1:11" x14ac:dyDescent="0.2">
      <c r="A160" s="77">
        <f t="shared" si="9"/>
        <v>6</v>
      </c>
      <c r="B160" s="78"/>
      <c r="C160" s="21" t="s">
        <v>56</v>
      </c>
      <c r="D160" s="18">
        <f>(31.21+(2.2+2.7))*10.764</f>
        <v>388.68803999999994</v>
      </c>
      <c r="E160" s="18">
        <f>(2.95*1.2+0.75*(2.7+2.2))*10.764</f>
        <v>77.662259999999989</v>
      </c>
      <c r="F160" s="18">
        <f t="shared" si="10"/>
        <v>466.35029999999995</v>
      </c>
      <c r="G160" s="18">
        <v>0</v>
      </c>
      <c r="H160" s="18">
        <f t="shared" si="11"/>
        <v>699.52544999999986</v>
      </c>
    </row>
    <row r="161" spans="1:9" x14ac:dyDescent="0.2">
      <c r="A161" s="77">
        <f t="shared" si="9"/>
        <v>7</v>
      </c>
      <c r="B161" s="78"/>
      <c r="C161" s="21" t="s">
        <v>242</v>
      </c>
      <c r="D161" s="18">
        <f>(45.07+(2.1+3.3+3.5))*10.764</f>
        <v>580.9330799999999</v>
      </c>
      <c r="E161" s="18">
        <f>(3.175*1.2+0.75*(2.1+3.3+3.5))*10.764</f>
        <v>112.86053999999999</v>
      </c>
      <c r="F161" s="18">
        <f t="shared" si="10"/>
        <v>693.79361999999992</v>
      </c>
      <c r="G161" s="18">
        <v>0</v>
      </c>
      <c r="H161" s="18">
        <f t="shared" si="11"/>
        <v>1040.6904299999999</v>
      </c>
    </row>
    <row r="162" spans="1:9" x14ac:dyDescent="0.2">
      <c r="A162" s="77">
        <f t="shared" si="9"/>
        <v>8</v>
      </c>
      <c r="B162" s="78"/>
      <c r="C162" s="21" t="s">
        <v>242</v>
      </c>
      <c r="D162" s="18">
        <f>(45.07+(2.1+3.3+3.5))*10.764</f>
        <v>580.9330799999999</v>
      </c>
      <c r="E162" s="18">
        <f>(3.175*1.2+0.75*(2.1+3.3+3.5))*10.764</f>
        <v>112.86053999999999</v>
      </c>
      <c r="F162" s="18">
        <f t="shared" si="10"/>
        <v>693.79361999999992</v>
      </c>
      <c r="G162" s="18">
        <v>0</v>
      </c>
      <c r="H162" s="18">
        <f t="shared" si="11"/>
        <v>1040.6904299999999</v>
      </c>
    </row>
    <row r="163" spans="1:9" x14ac:dyDescent="0.2">
      <c r="A163" s="77">
        <f t="shared" si="9"/>
        <v>9</v>
      </c>
      <c r="B163" s="78"/>
      <c r="C163" s="21" t="s">
        <v>56</v>
      </c>
      <c r="D163" s="18">
        <f>(27.33+(3*1.2+2.2+2.7))*10.764</f>
        <v>385.67411999999996</v>
      </c>
      <c r="E163" s="18">
        <f>(0.75*(3+2.2+2.7))*10.764</f>
        <v>63.776700000000005</v>
      </c>
      <c r="F163" s="18">
        <f t="shared" si="10"/>
        <v>449.45081999999996</v>
      </c>
      <c r="G163" s="18">
        <v>0</v>
      </c>
      <c r="H163" s="18">
        <f t="shared" si="11"/>
        <v>674.17622999999992</v>
      </c>
    </row>
    <row r="164" spans="1:9" x14ac:dyDescent="0.2">
      <c r="A164" s="77">
        <f t="shared" si="9"/>
        <v>10</v>
      </c>
      <c r="B164" s="78"/>
      <c r="C164" s="21" t="s">
        <v>56</v>
      </c>
      <c r="D164" s="18">
        <f>(27.33+(3*1.2+2.2+2.7))*10.764</f>
        <v>385.67411999999996</v>
      </c>
      <c r="E164" s="18">
        <f>(0.75*(3+2.2+2.7))*10.764</f>
        <v>63.776700000000005</v>
      </c>
      <c r="F164" s="18">
        <f t="shared" si="10"/>
        <v>449.45081999999996</v>
      </c>
      <c r="G164" s="18">
        <v>0</v>
      </c>
      <c r="H164" s="18">
        <f t="shared" si="11"/>
        <v>674.17622999999992</v>
      </c>
    </row>
    <row r="165" spans="1:9" x14ac:dyDescent="0.2">
      <c r="A165" s="83" t="s">
        <v>275</v>
      </c>
      <c r="B165" s="83"/>
      <c r="C165" s="83"/>
      <c r="D165" s="83"/>
      <c r="E165" s="83"/>
      <c r="F165" s="83"/>
      <c r="G165" s="83"/>
      <c r="H165" s="83"/>
    </row>
    <row r="166" spans="1:9" x14ac:dyDescent="0.2">
      <c r="A166" s="83" t="s">
        <v>284</v>
      </c>
      <c r="B166" s="83"/>
      <c r="C166" s="83"/>
      <c r="D166" s="83"/>
      <c r="E166" s="83"/>
      <c r="F166" s="83"/>
      <c r="G166" s="83"/>
      <c r="H166" s="83"/>
    </row>
    <row r="167" spans="1:9" x14ac:dyDescent="0.2">
      <c r="A167" s="83" t="s">
        <v>278</v>
      </c>
      <c r="B167" s="83"/>
      <c r="C167" s="83"/>
      <c r="D167" s="83"/>
      <c r="E167" s="83"/>
      <c r="F167" s="83"/>
      <c r="G167" s="83"/>
      <c r="H167" s="83"/>
    </row>
    <row r="168" spans="1:9" x14ac:dyDescent="0.2">
      <c r="A168" s="77">
        <v>1</v>
      </c>
      <c r="B168" s="78"/>
      <c r="C168" s="21" t="s">
        <v>56</v>
      </c>
      <c r="D168" s="18">
        <f>(27.33+(3*1.2+2.2+2.7))*10.764</f>
        <v>385.67411999999996</v>
      </c>
      <c r="E168" s="18">
        <f>(0.75*(3+2.2+2.7))*10.764</f>
        <v>63.776700000000005</v>
      </c>
      <c r="F168" s="18">
        <f t="shared" ref="F168:F170" si="12">D168+E168</f>
        <v>449.45081999999996</v>
      </c>
      <c r="G168" s="18">
        <v>0</v>
      </c>
      <c r="H168" s="18">
        <f t="shared" ref="H168:H170" si="13">F168*(($H$128)+1)+(IF(G168&lt;101,G168,IF(G168&lt;201,G168/2,IF(G168&lt;=301,G168/3,G168/4))))</f>
        <v>674.17622999999992</v>
      </c>
    </row>
    <row r="169" spans="1:9" x14ac:dyDescent="0.2">
      <c r="A169" s="77">
        <f>A168+1</f>
        <v>2</v>
      </c>
      <c r="B169" s="78"/>
      <c r="C169" s="21" t="s">
        <v>56</v>
      </c>
      <c r="D169" s="18">
        <f>(27.33+(3*1.2+2.2+2.7))*10.764</f>
        <v>385.67411999999996</v>
      </c>
      <c r="E169" s="18">
        <f>(0.75*(3+2.2+2.7))*10.764</f>
        <v>63.776700000000005</v>
      </c>
      <c r="F169" s="18">
        <f t="shared" si="12"/>
        <v>449.45081999999996</v>
      </c>
      <c r="G169" s="18">
        <v>0</v>
      </c>
      <c r="H169" s="18">
        <f t="shared" si="13"/>
        <v>674.17622999999992</v>
      </c>
    </row>
    <row r="170" spans="1:9" x14ac:dyDescent="0.2">
      <c r="A170" s="77">
        <f t="shared" ref="A170:A174" si="14">A169+1</f>
        <v>3</v>
      </c>
      <c r="B170" s="78"/>
      <c r="C170" s="21" t="s">
        <v>242</v>
      </c>
      <c r="D170" s="18">
        <f>(42.5+(3*1.4+2.7+3))*10.764</f>
        <v>564.03359999999998</v>
      </c>
      <c r="E170" s="18">
        <f>(0.75*(3+2.7+3))*10.764</f>
        <v>70.235099999999989</v>
      </c>
      <c r="F170" s="18">
        <f t="shared" si="12"/>
        <v>634.26869999999997</v>
      </c>
      <c r="G170" s="18">
        <v>0</v>
      </c>
      <c r="H170" s="18">
        <f t="shared" si="13"/>
        <v>951.40304999999989</v>
      </c>
    </row>
    <row r="171" spans="1:9" x14ac:dyDescent="0.2">
      <c r="A171" s="77">
        <f t="shared" si="14"/>
        <v>4</v>
      </c>
      <c r="B171" s="78"/>
      <c r="C171" s="86" t="s">
        <v>279</v>
      </c>
      <c r="D171" s="87"/>
      <c r="E171" s="87"/>
      <c r="F171" s="87"/>
      <c r="G171" s="87"/>
      <c r="H171" s="88"/>
    </row>
    <row r="172" spans="1:9" x14ac:dyDescent="0.2">
      <c r="A172" s="77">
        <f t="shared" si="14"/>
        <v>5</v>
      </c>
      <c r="B172" s="78"/>
      <c r="C172" s="89"/>
      <c r="D172" s="90"/>
      <c r="E172" s="90"/>
      <c r="F172" s="90"/>
      <c r="G172" s="90"/>
      <c r="H172" s="91"/>
      <c r="I172" s="6">
        <f>3*4.2+2.2*2.45+2.2*2.45+1.2*(0.9+1.8)+0.9*0.5+1.5*0.45</f>
        <v>27.745000000000005</v>
      </c>
    </row>
    <row r="173" spans="1:9" x14ac:dyDescent="0.2">
      <c r="A173" s="77">
        <f t="shared" si="14"/>
        <v>6</v>
      </c>
      <c r="B173" s="78"/>
      <c r="C173" s="89"/>
      <c r="D173" s="90"/>
      <c r="E173" s="90"/>
      <c r="F173" s="90"/>
      <c r="G173" s="90"/>
      <c r="H173" s="91"/>
    </row>
    <row r="174" spans="1:9" x14ac:dyDescent="0.2">
      <c r="A174" s="86">
        <f t="shared" si="14"/>
        <v>7</v>
      </c>
      <c r="B174" s="88"/>
      <c r="C174" s="89"/>
      <c r="D174" s="90"/>
      <c r="E174" s="90"/>
      <c r="F174" s="90"/>
      <c r="G174" s="90"/>
      <c r="H174" s="91"/>
    </row>
    <row r="175" spans="1:9" x14ac:dyDescent="0.2">
      <c r="A175" s="80" t="s">
        <v>243</v>
      </c>
      <c r="B175" s="81"/>
      <c r="C175" s="81"/>
      <c r="D175" s="81"/>
      <c r="E175" s="81"/>
      <c r="F175" s="81"/>
      <c r="G175" s="81"/>
      <c r="H175" s="82"/>
    </row>
    <row r="176" spans="1:9" x14ac:dyDescent="0.2">
      <c r="A176" s="77">
        <v>1</v>
      </c>
      <c r="B176" s="78"/>
      <c r="C176" s="21" t="s">
        <v>56</v>
      </c>
      <c r="D176" s="18">
        <f>(31.21+(2.2+2.7))*10.764</f>
        <v>388.68803999999994</v>
      </c>
      <c r="E176" s="18">
        <f>(2.95*1.2+0.75*(2.7+2.2))*10.764</f>
        <v>77.662259999999989</v>
      </c>
      <c r="F176" s="18">
        <f>D176+E176</f>
        <v>466.35029999999995</v>
      </c>
      <c r="G176" s="18">
        <v>0</v>
      </c>
      <c r="H176" s="18">
        <f>F176*(($H$128)+1)+(IF(G176&lt;101,G176,IF(G176&lt;201,G176/2,IF(G176&lt;=301,G176/3,G176/4))))</f>
        <v>699.52544999999986</v>
      </c>
      <c r="I176" s="60">
        <f>3*4.2+2.2*2.45+2.7*3.75+0.5*0.9+1.5*0.45+1.2*(0.9+1.8)-2.2*0.9-2.95*0.9</f>
        <v>27.845000000000002</v>
      </c>
    </row>
    <row r="177" spans="1:11" x14ac:dyDescent="0.2">
      <c r="A177" s="77">
        <f>A176+1</f>
        <v>2</v>
      </c>
      <c r="B177" s="78"/>
      <c r="C177" s="21" t="s">
        <v>56</v>
      </c>
      <c r="D177" s="18">
        <f>(31.21+(2.2+2.7))*10.764</f>
        <v>388.68803999999994</v>
      </c>
      <c r="E177" s="18">
        <f>(2.95*1.2+0.75*(2.7+2.2))*10.764</f>
        <v>77.662259999999989</v>
      </c>
      <c r="F177" s="18">
        <f t="shared" ref="F177:F182" si="15">D177+E177</f>
        <v>466.35029999999995</v>
      </c>
      <c r="G177" s="18">
        <v>0</v>
      </c>
      <c r="H177" s="18">
        <f t="shared" ref="H177:H182" si="16">F177*(($H$128)+1)+(IF(G177&lt;101,G177,IF(G177&lt;201,G177/2,IF(G177&lt;=301,G177/3,G177/4))))</f>
        <v>699.52544999999986</v>
      </c>
    </row>
    <row r="178" spans="1:11" x14ac:dyDescent="0.2">
      <c r="A178" s="77">
        <f t="shared" ref="A178:A182" si="17">A177+1</f>
        <v>3</v>
      </c>
      <c r="B178" s="78"/>
      <c r="C178" s="21" t="s">
        <v>242</v>
      </c>
      <c r="D178" s="18">
        <f>(46.7+(2.7+3))*10.764</f>
        <v>564.03359999999998</v>
      </c>
      <c r="E178" s="18">
        <f>(3.3*1.2+0.75*(2.7+3))*10.764</f>
        <v>88.641539999999992</v>
      </c>
      <c r="F178" s="18">
        <f t="shared" si="15"/>
        <v>652.67513999999994</v>
      </c>
      <c r="G178" s="18">
        <v>0</v>
      </c>
      <c r="H178" s="18">
        <f t="shared" si="16"/>
        <v>979.01270999999997</v>
      </c>
      <c r="I178" s="60">
        <f>3*4.8+2.4*3+2.7*3.5+3*3.3+1.2*(2+2.05)+2.9*0.9+0.9+1-2.7-3</f>
        <v>44.61999999999999</v>
      </c>
    </row>
    <row r="179" spans="1:11" x14ac:dyDescent="0.2">
      <c r="A179" s="77">
        <f t="shared" si="17"/>
        <v>4</v>
      </c>
      <c r="B179" s="78"/>
      <c r="C179" s="21" t="s">
        <v>242</v>
      </c>
      <c r="D179" s="18">
        <f>(42.5+(3*1.4+2.7+3))*10.764</f>
        <v>564.03359999999998</v>
      </c>
      <c r="E179" s="18">
        <f>(0.75*(3+2.7+3))*10.764</f>
        <v>70.235099999999989</v>
      </c>
      <c r="F179" s="18">
        <f t="shared" si="15"/>
        <v>634.26869999999997</v>
      </c>
      <c r="G179" s="18">
        <v>0</v>
      </c>
      <c r="H179" s="18">
        <f t="shared" si="16"/>
        <v>951.40304999999989</v>
      </c>
    </row>
    <row r="180" spans="1:11" x14ac:dyDescent="0.2">
      <c r="A180" s="77">
        <f t="shared" si="17"/>
        <v>5</v>
      </c>
      <c r="B180" s="78"/>
      <c r="C180" s="21" t="s">
        <v>56</v>
      </c>
      <c r="D180" s="18">
        <f>(27.33+(3*1.2+2.2+2.7))*10.764</f>
        <v>385.67411999999996</v>
      </c>
      <c r="E180" s="18">
        <f>(0.75*(3+2.2+2.7))*10.764</f>
        <v>63.776700000000005</v>
      </c>
      <c r="F180" s="18">
        <f t="shared" si="15"/>
        <v>449.45081999999996</v>
      </c>
      <c r="G180" s="18">
        <v>0</v>
      </c>
      <c r="H180" s="18">
        <f t="shared" si="16"/>
        <v>674.17622999999992</v>
      </c>
    </row>
    <row r="181" spans="1:11" x14ac:dyDescent="0.2">
      <c r="A181" s="77">
        <f t="shared" si="17"/>
        <v>6</v>
      </c>
      <c r="B181" s="78"/>
      <c r="C181" s="21" t="s">
        <v>56</v>
      </c>
      <c r="D181" s="18">
        <f>(27.33+(3*1.2+2.2+2.7))*10.764</f>
        <v>385.67411999999996</v>
      </c>
      <c r="E181" s="18">
        <f>(0.75*(3+2.2+2.7))*10.764</f>
        <v>63.776700000000005</v>
      </c>
      <c r="F181" s="18">
        <f t="shared" si="15"/>
        <v>449.45081999999996</v>
      </c>
      <c r="G181" s="18">
        <v>0</v>
      </c>
      <c r="H181" s="18">
        <f t="shared" si="16"/>
        <v>674.17622999999992</v>
      </c>
    </row>
    <row r="182" spans="1:11" x14ac:dyDescent="0.2">
      <c r="A182" s="77">
        <f t="shared" si="17"/>
        <v>7</v>
      </c>
      <c r="B182" s="78"/>
      <c r="C182" s="21" t="s">
        <v>248</v>
      </c>
      <c r="D182" s="18">
        <f>(86.475)*10.764</f>
        <v>930.81689999999992</v>
      </c>
      <c r="E182" s="18">
        <f>(1.2*(3+2.4+3)+0.75*(3+3.84))*10.764</f>
        <v>163.72044</v>
      </c>
      <c r="F182" s="18">
        <f t="shared" si="15"/>
        <v>1094.5373399999999</v>
      </c>
      <c r="G182" s="18">
        <v>0</v>
      </c>
      <c r="H182" s="18">
        <f t="shared" si="16"/>
        <v>1641.8060099999998</v>
      </c>
      <c r="I182" s="59">
        <f>5.9*3+4.15*3.7+3.3*2.4+3*(3.3+3.84)+4.6*3.25+2.09*1.25*0.9+1.39*2.09+1.2*2.12+1.4+2*1.25+0.9*1.65-1.35*2.65</f>
        <v>86.952850000000012</v>
      </c>
    </row>
    <row r="183" spans="1:11" x14ac:dyDescent="0.2">
      <c r="A183" s="80" t="s">
        <v>245</v>
      </c>
      <c r="B183" s="81"/>
      <c r="C183" s="81"/>
      <c r="D183" s="81"/>
      <c r="E183" s="81"/>
      <c r="F183" s="81"/>
      <c r="G183" s="81"/>
      <c r="H183" s="82"/>
    </row>
    <row r="184" spans="1:11" x14ac:dyDescent="0.2">
      <c r="A184" s="77">
        <v>1</v>
      </c>
      <c r="B184" s="78"/>
      <c r="C184" s="21" t="s">
        <v>56</v>
      </c>
      <c r="D184" s="18">
        <f>(31.21+(2.2+2.7))*10.764</f>
        <v>388.68803999999994</v>
      </c>
      <c r="E184" s="18">
        <f>(2.95*1.2+0.75*(2.7+2.2))*10.764</f>
        <v>77.662259999999989</v>
      </c>
      <c r="F184" s="18">
        <f>D184+E184</f>
        <v>466.35029999999995</v>
      </c>
      <c r="G184" s="18">
        <v>0</v>
      </c>
      <c r="H184" s="18">
        <f>F184*(($H$128)+1)+(IF(G184&lt;101,G184,IF(G184&lt;201,G184/2,IF(G184&lt;=301,G184/3,G184/4))))</f>
        <v>699.52544999999986</v>
      </c>
    </row>
    <row r="185" spans="1:11" x14ac:dyDescent="0.2">
      <c r="A185" s="77">
        <f>A184+1</f>
        <v>2</v>
      </c>
      <c r="B185" s="78"/>
      <c r="C185" s="21" t="s">
        <v>56</v>
      </c>
      <c r="D185" s="18">
        <f>(31.21+(2.2+2.7))*10.764</f>
        <v>388.68803999999994</v>
      </c>
      <c r="E185" s="18">
        <f>(2.95*1.2+0.75*(2.7+2.2))*10.764</f>
        <v>77.662259999999989</v>
      </c>
      <c r="F185" s="18">
        <f t="shared" ref="F185:F190" si="18">D185+E185</f>
        <v>466.35029999999995</v>
      </c>
      <c r="G185" s="18">
        <v>0</v>
      </c>
      <c r="H185" s="18">
        <f>F185*(($H$128)+1)+(IF(G185&lt;101,G185,IF(G185&lt;201,G185/2,IF(G185&lt;=301,G185/3,G185/4))))</f>
        <v>699.52544999999986</v>
      </c>
    </row>
    <row r="186" spans="1:11" x14ac:dyDescent="0.2">
      <c r="A186" s="77">
        <f t="shared" ref="A186:A190" si="19">A185+1</f>
        <v>3</v>
      </c>
      <c r="B186" s="78"/>
      <c r="C186" s="21" t="s">
        <v>242</v>
      </c>
      <c r="D186" s="18">
        <f>(46.7+(2.7+3))*10.764</f>
        <v>564.03359999999998</v>
      </c>
      <c r="E186" s="18">
        <f>(3.3*1.2+0.75*(2.7+3))*10.764</f>
        <v>88.641539999999992</v>
      </c>
      <c r="F186" s="18">
        <f t="shared" si="18"/>
        <v>652.67513999999994</v>
      </c>
      <c r="G186" s="18">
        <v>0</v>
      </c>
      <c r="H186" s="18">
        <f>F186*(($H$128)+1)+(IF(G186&lt;101,G186,IF(G186&lt;201,G186/2,IF(G186&lt;=301,G186/3,G186/4))))</f>
        <v>979.01270999999997</v>
      </c>
    </row>
    <row r="187" spans="1:11" x14ac:dyDescent="0.2">
      <c r="A187" s="77">
        <f t="shared" si="19"/>
        <v>4</v>
      </c>
      <c r="B187" s="78"/>
      <c r="C187" s="77" t="s">
        <v>244</v>
      </c>
      <c r="D187" s="79"/>
      <c r="E187" s="79"/>
      <c r="F187" s="79"/>
      <c r="G187" s="79"/>
      <c r="H187" s="78"/>
    </row>
    <row r="188" spans="1:11" x14ac:dyDescent="0.2">
      <c r="A188" s="77">
        <f t="shared" si="19"/>
        <v>5</v>
      </c>
      <c r="B188" s="78"/>
      <c r="C188" s="21" t="s">
        <v>246</v>
      </c>
      <c r="D188" s="18">
        <f>(42.61+(3*1.2+3*1.2+2.2+2.7))*10.764</f>
        <v>588.89843999999994</v>
      </c>
      <c r="E188" s="18">
        <f>(0.75*(3+3+2.2+2.7))*10.764</f>
        <v>87.995699999999985</v>
      </c>
      <c r="F188" s="18">
        <f t="shared" si="18"/>
        <v>676.89413999999988</v>
      </c>
      <c r="G188" s="18">
        <v>0</v>
      </c>
      <c r="H188" s="18">
        <f>F188*(($H$128)+1)+(IF(G188&lt;101,G188,IF(G188&lt;201,G188/2,IF(G188&lt;=301,G188/3,G188/4))))</f>
        <v>1015.3412099999998</v>
      </c>
    </row>
    <row r="189" spans="1:11" x14ac:dyDescent="0.2">
      <c r="A189" s="77">
        <f t="shared" si="19"/>
        <v>6</v>
      </c>
      <c r="B189" s="78"/>
      <c r="C189" s="21" t="s">
        <v>56</v>
      </c>
      <c r="D189" s="18">
        <f>(27.33+(3*1.2+2.2+2.7))*10.764</f>
        <v>385.67411999999996</v>
      </c>
      <c r="E189" s="18">
        <f>(0.75*(3+2.2+2.7))*10.764</f>
        <v>63.776700000000005</v>
      </c>
      <c r="F189" s="18">
        <f t="shared" si="18"/>
        <v>449.45081999999996</v>
      </c>
      <c r="G189" s="18">
        <v>0</v>
      </c>
      <c r="H189" s="18">
        <f>F189*(($H$128)+1)+(IF(G189&lt;101,G189,IF(G189&lt;201,G189/2,IF(G189&lt;=301,G189/3,G189/4))))</f>
        <v>674.17622999999992</v>
      </c>
    </row>
    <row r="190" spans="1:11" x14ac:dyDescent="0.2">
      <c r="A190" s="77">
        <f t="shared" si="19"/>
        <v>7</v>
      </c>
      <c r="B190" s="78"/>
      <c r="C190" s="21" t="s">
        <v>248</v>
      </c>
      <c r="D190" s="18">
        <f>(86.475)*10.764</f>
        <v>930.81689999999992</v>
      </c>
      <c r="E190" s="18">
        <f>(1.2*(3+2.4+3)+0.75*(3+3.84))*10.764</f>
        <v>163.72044</v>
      </c>
      <c r="F190" s="18">
        <f t="shared" si="18"/>
        <v>1094.5373399999999</v>
      </c>
      <c r="G190" s="18">
        <v>0</v>
      </c>
      <c r="H190" s="18">
        <f>F190*(($H$128)+1)+(IF(G190&lt;101,G190,IF(G190&lt;201,G190/2,IF(G190&lt;=301,G190/3,G190/4))))</f>
        <v>1641.8060099999998</v>
      </c>
      <c r="K190" s="6">
        <f>9100000/H190</f>
        <v>5542.6767502209359</v>
      </c>
    </row>
    <row r="191" spans="1:11" x14ac:dyDescent="0.2">
      <c r="A191" s="104" t="s">
        <v>114</v>
      </c>
      <c r="B191" s="104"/>
      <c r="C191" s="104"/>
      <c r="D191" s="104"/>
      <c r="E191" s="104"/>
      <c r="F191" s="104"/>
      <c r="G191" s="104"/>
      <c r="H191" s="104"/>
    </row>
    <row r="192" spans="1:11" x14ac:dyDescent="0.2">
      <c r="A192" s="174" t="s">
        <v>115</v>
      </c>
      <c r="B192" s="175"/>
      <c r="C192" s="175"/>
      <c r="D192" s="175"/>
      <c r="E192" s="176"/>
      <c r="F192" s="174">
        <v>5600</v>
      </c>
      <c r="G192" s="175"/>
      <c r="H192" s="176"/>
      <c r="I192" s="6" t="s">
        <v>298</v>
      </c>
    </row>
    <row r="193" spans="1:8" x14ac:dyDescent="0.2">
      <c r="A193" s="174" t="s">
        <v>116</v>
      </c>
      <c r="B193" s="175"/>
      <c r="C193" s="175"/>
      <c r="D193" s="175"/>
      <c r="E193" s="176"/>
      <c r="F193" s="177" t="s">
        <v>282</v>
      </c>
      <c r="G193" s="178"/>
      <c r="H193" s="179"/>
    </row>
    <row r="194" spans="1:8" x14ac:dyDescent="0.2">
      <c r="A194" s="104" t="s">
        <v>48</v>
      </c>
      <c r="B194" s="104"/>
      <c r="C194" s="104"/>
      <c r="D194" s="104"/>
      <c r="E194" s="104"/>
      <c r="F194" s="104"/>
      <c r="G194" s="104"/>
      <c r="H194" s="104"/>
    </row>
    <row r="195" spans="1:8" x14ac:dyDescent="0.2">
      <c r="A195" s="22">
        <v>1</v>
      </c>
      <c r="B195" s="124" t="s">
        <v>300</v>
      </c>
      <c r="C195" s="125"/>
      <c r="D195" s="125"/>
      <c r="E195" s="125"/>
      <c r="F195" s="125"/>
      <c r="G195" s="125"/>
      <c r="H195" s="126"/>
    </row>
    <row r="196" spans="1:8" x14ac:dyDescent="0.2">
      <c r="A196" s="22">
        <f t="shared" ref="A196:A204" si="20">A195+1</f>
        <v>2</v>
      </c>
      <c r="B196" s="124" t="s">
        <v>273</v>
      </c>
      <c r="C196" s="125"/>
      <c r="D196" s="125"/>
      <c r="E196" s="125"/>
      <c r="F196" s="125"/>
      <c r="G196" s="125"/>
      <c r="H196" s="126"/>
    </row>
    <row r="197" spans="1:8" x14ac:dyDescent="0.2">
      <c r="A197" s="22">
        <f t="shared" si="20"/>
        <v>3</v>
      </c>
      <c r="B197" s="124" t="s">
        <v>217</v>
      </c>
      <c r="C197" s="125"/>
      <c r="D197" s="125"/>
      <c r="E197" s="125"/>
      <c r="F197" s="125"/>
      <c r="G197" s="125"/>
      <c r="H197" s="126"/>
    </row>
    <row r="198" spans="1:8" x14ac:dyDescent="0.2">
      <c r="A198" s="22">
        <f t="shared" si="20"/>
        <v>4</v>
      </c>
      <c r="B198" s="124" t="s">
        <v>218</v>
      </c>
      <c r="C198" s="125"/>
      <c r="D198" s="125"/>
      <c r="E198" s="125"/>
      <c r="F198" s="125"/>
      <c r="G198" s="125"/>
      <c r="H198" s="126"/>
    </row>
    <row r="199" spans="1:8" x14ac:dyDescent="0.2">
      <c r="A199" s="22">
        <f t="shared" si="20"/>
        <v>5</v>
      </c>
      <c r="B199" s="124" t="s">
        <v>281</v>
      </c>
      <c r="C199" s="125"/>
      <c r="D199" s="125"/>
      <c r="E199" s="125"/>
      <c r="F199" s="125"/>
      <c r="G199" s="125"/>
      <c r="H199" s="126"/>
    </row>
    <row r="200" spans="1:8" x14ac:dyDescent="0.2">
      <c r="A200" s="22">
        <f t="shared" si="20"/>
        <v>6</v>
      </c>
      <c r="B200" s="124" t="s">
        <v>222</v>
      </c>
      <c r="C200" s="125"/>
      <c r="D200" s="125"/>
      <c r="E200" s="125"/>
      <c r="F200" s="61">
        <f>H128</f>
        <v>0.5</v>
      </c>
      <c r="G200" s="62"/>
      <c r="H200" s="63"/>
    </row>
    <row r="201" spans="1:8" x14ac:dyDescent="0.2">
      <c r="A201" s="22">
        <f t="shared" si="20"/>
        <v>7</v>
      </c>
      <c r="B201" s="124" t="s">
        <v>219</v>
      </c>
      <c r="C201" s="125"/>
      <c r="D201" s="125"/>
      <c r="E201" s="125"/>
      <c r="F201" s="125"/>
      <c r="G201" s="125"/>
      <c r="H201" s="126"/>
    </row>
    <row r="202" spans="1:8" ht="27" customHeight="1" x14ac:dyDescent="0.2">
      <c r="A202" s="22">
        <f t="shared" si="20"/>
        <v>8</v>
      </c>
      <c r="B202" s="124" t="s">
        <v>220</v>
      </c>
      <c r="C202" s="125"/>
      <c r="D202" s="125"/>
      <c r="E202" s="125"/>
      <c r="F202" s="125"/>
      <c r="G202" s="125"/>
      <c r="H202" s="126"/>
    </row>
    <row r="203" spans="1:8" x14ac:dyDescent="0.2">
      <c r="A203" s="22">
        <f t="shared" si="20"/>
        <v>9</v>
      </c>
      <c r="B203" s="124" t="s">
        <v>221</v>
      </c>
      <c r="C203" s="125"/>
      <c r="D203" s="125"/>
      <c r="E203" s="125"/>
      <c r="F203" s="125"/>
      <c r="G203" s="125"/>
      <c r="H203" s="126"/>
    </row>
    <row r="204" spans="1:8" hidden="1" x14ac:dyDescent="0.2">
      <c r="A204" s="76">
        <f t="shared" si="20"/>
        <v>10</v>
      </c>
      <c r="B204" s="124" t="s">
        <v>297</v>
      </c>
      <c r="C204" s="125"/>
      <c r="D204" s="125"/>
      <c r="E204" s="125"/>
      <c r="F204" s="125"/>
      <c r="G204" s="125"/>
      <c r="H204" s="126"/>
    </row>
    <row r="205" spans="1:8" x14ac:dyDescent="0.2">
      <c r="A205" s="76">
        <v>10</v>
      </c>
      <c r="B205" s="124" t="s">
        <v>296</v>
      </c>
      <c r="C205" s="125"/>
      <c r="D205" s="125"/>
      <c r="E205" s="125"/>
      <c r="F205" s="125"/>
      <c r="G205" s="125"/>
      <c r="H205" s="126"/>
    </row>
    <row r="206" spans="1:8" x14ac:dyDescent="0.2">
      <c r="A206" s="96" t="s">
        <v>119</v>
      </c>
      <c r="B206" s="97"/>
      <c r="C206" s="127" t="str">
        <f>C7</f>
        <v>Omkara Pride Phase 1</v>
      </c>
      <c r="D206" s="128"/>
      <c r="E206" s="128"/>
      <c r="F206" s="128"/>
      <c r="G206" s="128"/>
      <c r="H206" s="129"/>
    </row>
    <row r="207" spans="1:8" x14ac:dyDescent="0.2">
      <c r="A207" s="130"/>
      <c r="B207" s="131"/>
      <c r="C207" s="131"/>
      <c r="D207" s="131"/>
      <c r="E207" s="131"/>
      <c r="F207" s="131"/>
      <c r="G207" s="131"/>
      <c r="H207" s="132"/>
    </row>
    <row r="208" spans="1:8" x14ac:dyDescent="0.2">
      <c r="A208" s="117"/>
      <c r="B208" s="118"/>
      <c r="C208" s="118"/>
      <c r="D208" s="118"/>
      <c r="E208" s="118"/>
      <c r="F208" s="118"/>
      <c r="G208" s="118"/>
      <c r="H208" s="119"/>
    </row>
    <row r="209" spans="1:8" x14ac:dyDescent="0.2">
      <c r="A209" s="117"/>
      <c r="B209" s="118"/>
      <c r="C209" s="118"/>
      <c r="D209" s="118"/>
      <c r="E209" s="118"/>
      <c r="F209" s="118"/>
      <c r="G209" s="118"/>
      <c r="H209" s="119"/>
    </row>
    <row r="210" spans="1:8" x14ac:dyDescent="0.2">
      <c r="A210" s="117"/>
      <c r="B210" s="118"/>
      <c r="C210" s="118"/>
      <c r="D210" s="118"/>
      <c r="E210" s="118"/>
      <c r="F210" s="118"/>
      <c r="G210" s="118"/>
      <c r="H210" s="119"/>
    </row>
    <row r="211" spans="1:8" x14ac:dyDescent="0.2">
      <c r="A211" s="117"/>
      <c r="B211" s="118"/>
      <c r="C211" s="118"/>
      <c r="D211" s="118"/>
      <c r="E211" s="118"/>
      <c r="F211" s="118"/>
      <c r="G211" s="118"/>
      <c r="H211" s="119"/>
    </row>
    <row r="212" spans="1:8" x14ac:dyDescent="0.2">
      <c r="A212" s="117"/>
      <c r="B212" s="118"/>
      <c r="C212" s="118"/>
      <c r="D212" s="118"/>
      <c r="E212" s="118"/>
      <c r="F212" s="118"/>
      <c r="G212" s="118"/>
      <c r="H212" s="119"/>
    </row>
    <row r="213" spans="1:8" x14ac:dyDescent="0.2">
      <c r="A213" s="117"/>
      <c r="B213" s="118"/>
      <c r="C213" s="118"/>
      <c r="D213" s="118"/>
      <c r="E213" s="118"/>
      <c r="F213" s="118"/>
      <c r="G213" s="118"/>
      <c r="H213" s="119"/>
    </row>
    <row r="214" spans="1:8" x14ac:dyDescent="0.2">
      <c r="A214" s="117"/>
      <c r="B214" s="118"/>
      <c r="C214" s="118"/>
      <c r="D214" s="118"/>
      <c r="E214" s="118"/>
      <c r="F214" s="118"/>
      <c r="G214" s="118"/>
      <c r="H214" s="119"/>
    </row>
    <row r="215" spans="1:8" x14ac:dyDescent="0.2">
      <c r="A215" s="117"/>
      <c r="B215" s="118"/>
      <c r="C215" s="118"/>
      <c r="D215" s="118"/>
      <c r="E215" s="118"/>
      <c r="F215" s="118"/>
      <c r="G215" s="118"/>
      <c r="H215" s="119"/>
    </row>
    <row r="216" spans="1:8" x14ac:dyDescent="0.2">
      <c r="A216" s="117"/>
      <c r="B216" s="118"/>
      <c r="C216" s="118"/>
      <c r="D216" s="118"/>
      <c r="E216" s="118"/>
      <c r="F216" s="118"/>
      <c r="G216" s="118"/>
      <c r="H216" s="119"/>
    </row>
    <row r="217" spans="1:8" x14ac:dyDescent="0.2">
      <c r="A217" s="117"/>
      <c r="B217" s="118"/>
      <c r="C217" s="118"/>
      <c r="D217" s="118"/>
      <c r="E217" s="118"/>
      <c r="F217" s="118"/>
      <c r="G217" s="118"/>
      <c r="H217" s="119"/>
    </row>
    <row r="218" spans="1:8" x14ac:dyDescent="0.2">
      <c r="A218" s="117"/>
      <c r="B218" s="118"/>
      <c r="C218" s="118"/>
      <c r="D218" s="118"/>
      <c r="E218" s="118"/>
      <c r="F218" s="118"/>
      <c r="G218" s="118"/>
      <c r="H218" s="119"/>
    </row>
    <row r="219" spans="1:8" x14ac:dyDescent="0.2">
      <c r="A219" s="117"/>
      <c r="B219" s="118"/>
      <c r="C219" s="118"/>
      <c r="D219" s="118"/>
      <c r="E219" s="118"/>
      <c r="F219" s="118"/>
      <c r="G219" s="118"/>
      <c r="H219" s="119"/>
    </row>
    <row r="220" spans="1:8" x14ac:dyDescent="0.2">
      <c r="A220" s="117"/>
      <c r="B220" s="118"/>
      <c r="C220" s="118"/>
      <c r="D220" s="118"/>
      <c r="E220" s="118"/>
      <c r="F220" s="118"/>
      <c r="G220" s="118"/>
      <c r="H220" s="119"/>
    </row>
    <row r="221" spans="1:8" x14ac:dyDescent="0.2">
      <c r="A221" s="117"/>
      <c r="B221" s="118"/>
      <c r="C221" s="118"/>
      <c r="D221" s="118"/>
      <c r="E221" s="118"/>
      <c r="F221" s="118"/>
      <c r="G221" s="118"/>
      <c r="H221" s="119"/>
    </row>
    <row r="222" spans="1:8" x14ac:dyDescent="0.2">
      <c r="A222" s="117"/>
      <c r="B222" s="118"/>
      <c r="C222" s="118"/>
      <c r="D222" s="118"/>
      <c r="E222" s="118"/>
      <c r="F222" s="118"/>
      <c r="G222" s="118"/>
      <c r="H222" s="119"/>
    </row>
    <row r="223" spans="1:8" x14ac:dyDescent="0.2">
      <c r="A223" s="117"/>
      <c r="B223" s="118"/>
      <c r="C223" s="118"/>
      <c r="D223" s="118"/>
      <c r="E223" s="118"/>
      <c r="F223" s="118"/>
      <c r="G223" s="118"/>
      <c r="H223" s="119"/>
    </row>
    <row r="224" spans="1:8" x14ac:dyDescent="0.2">
      <c r="A224" s="117"/>
      <c r="B224" s="118"/>
      <c r="C224" s="118"/>
      <c r="D224" s="118"/>
      <c r="E224" s="118"/>
      <c r="F224" s="118"/>
      <c r="G224" s="118"/>
      <c r="H224" s="119"/>
    </row>
    <row r="225" spans="1:8" x14ac:dyDescent="0.2">
      <c r="A225" s="117"/>
      <c r="B225" s="118"/>
      <c r="C225" s="118"/>
      <c r="D225" s="118"/>
      <c r="E225" s="118"/>
      <c r="F225" s="118"/>
      <c r="G225" s="118"/>
      <c r="H225" s="119"/>
    </row>
    <row r="226" spans="1:8" x14ac:dyDescent="0.2">
      <c r="A226" s="117"/>
      <c r="B226" s="118"/>
      <c r="C226" s="118"/>
      <c r="D226" s="118"/>
      <c r="E226" s="118"/>
      <c r="F226" s="118"/>
      <c r="G226" s="118"/>
      <c r="H226" s="119"/>
    </row>
    <row r="227" spans="1:8" x14ac:dyDescent="0.2">
      <c r="A227" s="117"/>
      <c r="B227" s="118"/>
      <c r="C227" s="118"/>
      <c r="D227" s="118"/>
      <c r="E227" s="118"/>
      <c r="F227" s="118"/>
      <c r="G227" s="118"/>
      <c r="H227" s="119"/>
    </row>
    <row r="228" spans="1:8" x14ac:dyDescent="0.2">
      <c r="A228" s="117"/>
      <c r="B228" s="118"/>
      <c r="C228" s="118"/>
      <c r="D228" s="118"/>
      <c r="E228" s="118"/>
      <c r="F228" s="118"/>
      <c r="G228" s="118"/>
      <c r="H228" s="119"/>
    </row>
    <row r="229" spans="1:8" x14ac:dyDescent="0.2">
      <c r="A229" s="117"/>
      <c r="B229" s="118"/>
      <c r="C229" s="118"/>
      <c r="D229" s="118"/>
      <c r="E229" s="118"/>
      <c r="F229" s="118"/>
      <c r="G229" s="118"/>
      <c r="H229" s="119"/>
    </row>
    <row r="230" spans="1:8" x14ac:dyDescent="0.2">
      <c r="A230" s="117"/>
      <c r="B230" s="118"/>
      <c r="C230" s="118"/>
      <c r="D230" s="118"/>
      <c r="E230" s="118"/>
      <c r="F230" s="118"/>
      <c r="G230" s="118"/>
      <c r="H230" s="119"/>
    </row>
    <row r="231" spans="1:8" x14ac:dyDescent="0.2">
      <c r="A231" s="117"/>
      <c r="B231" s="118"/>
      <c r="C231" s="118"/>
      <c r="D231" s="118"/>
      <c r="E231" s="118"/>
      <c r="F231" s="118"/>
      <c r="G231" s="118"/>
      <c r="H231" s="119"/>
    </row>
    <row r="232" spans="1:8" x14ac:dyDescent="0.2">
      <c r="A232" s="117"/>
      <c r="B232" s="118"/>
      <c r="C232" s="118"/>
      <c r="D232" s="118"/>
      <c r="E232" s="118"/>
      <c r="F232" s="118"/>
      <c r="G232" s="118"/>
      <c r="H232" s="119"/>
    </row>
    <row r="233" spans="1:8" x14ac:dyDescent="0.2">
      <c r="A233" s="117"/>
      <c r="B233" s="118"/>
      <c r="C233" s="118"/>
      <c r="D233" s="118"/>
      <c r="E233" s="118"/>
      <c r="F233" s="118"/>
      <c r="G233" s="118"/>
      <c r="H233" s="119"/>
    </row>
    <row r="234" spans="1:8" x14ac:dyDescent="0.2">
      <c r="A234" s="117"/>
      <c r="B234" s="118"/>
      <c r="C234" s="118"/>
      <c r="D234" s="118"/>
      <c r="E234" s="118"/>
      <c r="F234" s="118"/>
      <c r="G234" s="118"/>
      <c r="H234" s="119"/>
    </row>
    <row r="235" spans="1:8" x14ac:dyDescent="0.2">
      <c r="A235" s="117"/>
      <c r="B235" s="118"/>
      <c r="C235" s="118"/>
      <c r="D235" s="118"/>
      <c r="E235" s="118"/>
      <c r="F235" s="118"/>
      <c r="G235" s="118"/>
      <c r="H235" s="119"/>
    </row>
    <row r="236" spans="1:8" x14ac:dyDescent="0.2">
      <c r="A236" s="117"/>
      <c r="B236" s="118"/>
      <c r="C236" s="118"/>
      <c r="D236" s="118"/>
      <c r="E236" s="118"/>
      <c r="F236" s="118"/>
      <c r="G236" s="118"/>
      <c r="H236" s="119"/>
    </row>
    <row r="237" spans="1:8" x14ac:dyDescent="0.2">
      <c r="A237" s="117"/>
      <c r="B237" s="118"/>
      <c r="C237" s="118"/>
      <c r="D237" s="118"/>
      <c r="E237" s="118"/>
      <c r="F237" s="118"/>
      <c r="G237" s="118"/>
      <c r="H237" s="119"/>
    </row>
    <row r="238" spans="1:8" x14ac:dyDescent="0.2">
      <c r="A238" s="117"/>
      <c r="B238" s="118"/>
      <c r="C238" s="118"/>
      <c r="D238" s="118"/>
      <c r="E238" s="118"/>
      <c r="F238" s="118"/>
      <c r="G238" s="118"/>
      <c r="H238" s="119"/>
    </row>
    <row r="239" spans="1:8" x14ac:dyDescent="0.2">
      <c r="A239" s="117"/>
      <c r="B239" s="118"/>
      <c r="C239" s="118"/>
      <c r="D239" s="118"/>
      <c r="E239" s="118"/>
      <c r="F239" s="118"/>
      <c r="G239" s="118"/>
      <c r="H239" s="119"/>
    </row>
    <row r="240" spans="1:8" x14ac:dyDescent="0.2">
      <c r="A240" s="117"/>
      <c r="B240" s="118"/>
      <c r="C240" s="118"/>
      <c r="D240" s="118"/>
      <c r="E240" s="118"/>
      <c r="F240" s="118"/>
      <c r="G240" s="118"/>
      <c r="H240" s="119"/>
    </row>
    <row r="241" spans="1:8" x14ac:dyDescent="0.2">
      <c r="A241" s="117"/>
      <c r="B241" s="118"/>
      <c r="C241" s="118"/>
      <c r="D241" s="118"/>
      <c r="E241" s="118"/>
      <c r="F241" s="118"/>
      <c r="G241" s="118"/>
      <c r="H241" s="119"/>
    </row>
    <row r="242" spans="1:8" x14ac:dyDescent="0.2">
      <c r="A242" s="117"/>
      <c r="B242" s="118"/>
      <c r="C242" s="118"/>
      <c r="D242" s="118"/>
      <c r="E242" s="118"/>
      <c r="F242" s="118"/>
      <c r="G242" s="118"/>
      <c r="H242" s="119"/>
    </row>
    <row r="243" spans="1:8" x14ac:dyDescent="0.2">
      <c r="A243" s="117"/>
      <c r="B243" s="118"/>
      <c r="C243" s="118"/>
      <c r="D243" s="118"/>
      <c r="E243" s="118"/>
      <c r="F243" s="118"/>
      <c r="G243" s="118"/>
      <c r="H243" s="119"/>
    </row>
    <row r="244" spans="1:8" x14ac:dyDescent="0.2">
      <c r="A244" s="117"/>
      <c r="B244" s="118"/>
      <c r="C244" s="118"/>
      <c r="D244" s="118"/>
      <c r="E244" s="118"/>
      <c r="F244" s="118"/>
      <c r="G244" s="118"/>
      <c r="H244" s="119"/>
    </row>
    <row r="245" spans="1:8" x14ac:dyDescent="0.2">
      <c r="A245" s="117"/>
      <c r="B245" s="118"/>
      <c r="C245" s="118"/>
      <c r="D245" s="118"/>
      <c r="E245" s="118"/>
      <c r="F245" s="118"/>
      <c r="G245" s="118"/>
      <c r="H245" s="119"/>
    </row>
    <row r="246" spans="1:8" ht="25.5" customHeight="1" x14ac:dyDescent="0.2">
      <c r="A246" s="117"/>
      <c r="B246" s="118"/>
      <c r="C246" s="118"/>
      <c r="D246" s="118"/>
      <c r="E246" s="118"/>
      <c r="F246" s="118"/>
      <c r="G246" s="118"/>
      <c r="H246" s="119"/>
    </row>
    <row r="247" spans="1:8" x14ac:dyDescent="0.2">
      <c r="A247" s="117"/>
      <c r="B247" s="118"/>
      <c r="C247" s="118"/>
      <c r="D247" s="118"/>
      <c r="E247" s="118"/>
      <c r="F247" s="118"/>
      <c r="G247" s="118"/>
      <c r="H247" s="119"/>
    </row>
    <row r="248" spans="1:8" x14ac:dyDescent="0.2">
      <c r="A248" s="117"/>
      <c r="B248" s="118"/>
      <c r="C248" s="118"/>
      <c r="D248" s="118"/>
      <c r="E248" s="118"/>
      <c r="F248" s="118"/>
      <c r="G248" s="118"/>
      <c r="H248" s="119"/>
    </row>
    <row r="249" spans="1:8" x14ac:dyDescent="0.2">
      <c r="A249" s="117"/>
      <c r="B249" s="118"/>
      <c r="C249" s="118"/>
      <c r="D249" s="118"/>
      <c r="E249" s="118"/>
      <c r="F249" s="118"/>
      <c r="G249" s="118"/>
      <c r="H249" s="119"/>
    </row>
    <row r="250" spans="1:8" x14ac:dyDescent="0.2">
      <c r="A250" s="117"/>
      <c r="B250" s="118"/>
      <c r="C250" s="118"/>
      <c r="D250" s="118"/>
      <c r="E250" s="118"/>
      <c r="F250" s="118"/>
      <c r="G250" s="118"/>
      <c r="H250" s="119"/>
    </row>
    <row r="251" spans="1:8" x14ac:dyDescent="0.2">
      <c r="A251" s="117"/>
      <c r="B251" s="118"/>
      <c r="C251" s="118"/>
      <c r="D251" s="118"/>
      <c r="E251" s="118"/>
      <c r="F251" s="118"/>
      <c r="G251" s="118"/>
      <c r="H251" s="119"/>
    </row>
    <row r="252" spans="1:8" x14ac:dyDescent="0.2">
      <c r="A252" s="117"/>
      <c r="B252" s="118"/>
      <c r="C252" s="118"/>
      <c r="D252" s="118"/>
      <c r="E252" s="118"/>
      <c r="F252" s="118"/>
      <c r="G252" s="118"/>
      <c r="H252" s="119"/>
    </row>
    <row r="253" spans="1:8" x14ac:dyDescent="0.2">
      <c r="A253" s="117"/>
      <c r="B253" s="118"/>
      <c r="C253" s="118"/>
      <c r="D253" s="118"/>
      <c r="E253" s="118"/>
      <c r="F253" s="118"/>
      <c r="G253" s="118"/>
      <c r="H253" s="119"/>
    </row>
    <row r="254" spans="1:8" x14ac:dyDescent="0.2">
      <c r="A254" s="117"/>
      <c r="B254" s="118"/>
      <c r="C254" s="118"/>
      <c r="D254" s="118"/>
      <c r="E254" s="118"/>
      <c r="F254" s="118"/>
      <c r="G254" s="118"/>
      <c r="H254" s="119"/>
    </row>
    <row r="255" spans="1:8" x14ac:dyDescent="0.2">
      <c r="A255" s="117"/>
      <c r="B255" s="118"/>
      <c r="C255" s="118"/>
      <c r="D255" s="118"/>
      <c r="E255" s="118"/>
      <c r="F255" s="118"/>
      <c r="G255" s="118"/>
      <c r="H255" s="119"/>
    </row>
    <row r="256" spans="1:8" x14ac:dyDescent="0.2">
      <c r="A256" s="117"/>
      <c r="B256" s="118"/>
      <c r="C256" s="118"/>
      <c r="D256" s="118"/>
      <c r="E256" s="118"/>
      <c r="F256" s="118"/>
      <c r="G256" s="118"/>
      <c r="H256" s="119"/>
    </row>
    <row r="257" spans="1:8" x14ac:dyDescent="0.2">
      <c r="A257" s="117"/>
      <c r="B257" s="118"/>
      <c r="C257" s="118"/>
      <c r="D257" s="118"/>
      <c r="E257" s="118"/>
      <c r="F257" s="118"/>
      <c r="G257" s="118"/>
      <c r="H257" s="119"/>
    </row>
    <row r="258" spans="1:8" x14ac:dyDescent="0.2">
      <c r="A258" s="117"/>
      <c r="B258" s="118"/>
      <c r="C258" s="118"/>
      <c r="D258" s="118"/>
      <c r="E258" s="118"/>
      <c r="F258" s="118"/>
      <c r="G258" s="118"/>
      <c r="H258" s="119"/>
    </row>
    <row r="259" spans="1:8" x14ac:dyDescent="0.2">
      <c r="A259" s="121"/>
      <c r="B259" s="122"/>
      <c r="C259" s="122"/>
      <c r="D259" s="122"/>
      <c r="E259" s="122"/>
      <c r="F259" s="122"/>
      <c r="G259" s="122"/>
      <c r="H259" s="123"/>
    </row>
    <row r="260" spans="1:8" x14ac:dyDescent="0.2">
      <c r="A260" s="96" t="s">
        <v>142</v>
      </c>
      <c r="B260" s="97"/>
      <c r="C260" s="127"/>
      <c r="D260" s="128"/>
      <c r="E260" s="128"/>
      <c r="F260" s="128"/>
      <c r="G260" s="128"/>
      <c r="H260" s="129"/>
    </row>
    <row r="261" spans="1:8" x14ac:dyDescent="0.2">
      <c r="A261" s="130"/>
      <c r="B261" s="131"/>
      <c r="C261" s="131"/>
      <c r="D261" s="131"/>
      <c r="E261" s="131"/>
      <c r="F261" s="131"/>
      <c r="G261" s="131"/>
      <c r="H261" s="132"/>
    </row>
    <row r="262" spans="1:8" x14ac:dyDescent="0.2">
      <c r="A262" s="117"/>
      <c r="B262" s="118"/>
      <c r="C262" s="118"/>
      <c r="D262" s="118"/>
      <c r="E262" s="118"/>
      <c r="F262" s="118"/>
      <c r="G262" s="118"/>
      <c r="H262" s="119"/>
    </row>
    <row r="263" spans="1:8" x14ac:dyDescent="0.2">
      <c r="A263" s="117"/>
      <c r="B263" s="118"/>
      <c r="C263" s="118"/>
      <c r="D263" s="118"/>
      <c r="E263" s="118"/>
      <c r="F263" s="118"/>
      <c r="G263" s="118"/>
      <c r="H263" s="119"/>
    </row>
    <row r="264" spans="1:8" x14ac:dyDescent="0.2">
      <c r="A264" s="117"/>
      <c r="B264" s="118"/>
      <c r="C264" s="118"/>
      <c r="D264" s="118"/>
      <c r="E264" s="118"/>
      <c r="F264" s="118"/>
      <c r="G264" s="118"/>
      <c r="H264" s="119"/>
    </row>
    <row r="265" spans="1:8" x14ac:dyDescent="0.2">
      <c r="A265" s="117"/>
      <c r="B265" s="118"/>
      <c r="C265" s="118"/>
      <c r="D265" s="118"/>
      <c r="E265" s="118"/>
      <c r="F265" s="118"/>
      <c r="G265" s="118"/>
      <c r="H265" s="119"/>
    </row>
    <row r="266" spans="1:8" x14ac:dyDescent="0.2">
      <c r="A266" s="117"/>
      <c r="B266" s="118"/>
      <c r="C266" s="118"/>
      <c r="D266" s="118"/>
      <c r="E266" s="118"/>
      <c r="F266" s="118"/>
      <c r="G266" s="118"/>
      <c r="H266" s="119"/>
    </row>
    <row r="267" spans="1:8" x14ac:dyDescent="0.2">
      <c r="A267" s="117"/>
      <c r="B267" s="118"/>
      <c r="C267" s="118"/>
      <c r="D267" s="118"/>
      <c r="E267" s="118"/>
      <c r="F267" s="118"/>
      <c r="G267" s="118"/>
      <c r="H267" s="119"/>
    </row>
    <row r="268" spans="1:8" x14ac:dyDescent="0.2">
      <c r="A268" s="117"/>
      <c r="B268" s="118"/>
      <c r="C268" s="118"/>
      <c r="D268" s="118"/>
      <c r="E268" s="118"/>
      <c r="F268" s="118"/>
      <c r="G268" s="118"/>
      <c r="H268" s="119"/>
    </row>
    <row r="269" spans="1:8" x14ac:dyDescent="0.2">
      <c r="A269" s="117"/>
      <c r="B269" s="118"/>
      <c r="C269" s="118"/>
      <c r="D269" s="118"/>
      <c r="E269" s="118"/>
      <c r="F269" s="118"/>
      <c r="G269" s="118"/>
      <c r="H269" s="119"/>
    </row>
    <row r="270" spans="1:8" x14ac:dyDescent="0.2">
      <c r="A270" s="117"/>
      <c r="B270" s="118"/>
      <c r="C270" s="118"/>
      <c r="D270" s="118"/>
      <c r="E270" s="118"/>
      <c r="F270" s="118"/>
      <c r="G270" s="118"/>
      <c r="H270" s="119"/>
    </row>
    <row r="271" spans="1:8" x14ac:dyDescent="0.2">
      <c r="A271" s="117"/>
      <c r="B271" s="118"/>
      <c r="C271" s="118"/>
      <c r="D271" s="118"/>
      <c r="E271" s="118"/>
      <c r="F271" s="118"/>
      <c r="G271" s="118"/>
      <c r="H271" s="119"/>
    </row>
    <row r="272" spans="1:8" x14ac:dyDescent="0.2">
      <c r="A272" s="117"/>
      <c r="B272" s="118"/>
      <c r="C272" s="118"/>
      <c r="D272" s="118"/>
      <c r="E272" s="118"/>
      <c r="F272" s="118"/>
      <c r="G272" s="118"/>
      <c r="H272" s="119"/>
    </row>
    <row r="273" spans="1:8" x14ac:dyDescent="0.2">
      <c r="A273" s="117"/>
      <c r="B273" s="118"/>
      <c r="C273" s="118"/>
      <c r="D273" s="118"/>
      <c r="E273" s="118"/>
      <c r="F273" s="118"/>
      <c r="G273" s="118"/>
      <c r="H273" s="119"/>
    </row>
    <row r="274" spans="1:8" x14ac:dyDescent="0.2">
      <c r="A274" s="117"/>
      <c r="B274" s="118"/>
      <c r="C274" s="118"/>
      <c r="D274" s="118"/>
      <c r="E274" s="118"/>
      <c r="F274" s="118"/>
      <c r="G274" s="118"/>
      <c r="H274" s="119"/>
    </row>
    <row r="275" spans="1:8" x14ac:dyDescent="0.2">
      <c r="A275" s="117"/>
      <c r="B275" s="118"/>
      <c r="C275" s="118"/>
      <c r="D275" s="118"/>
      <c r="E275" s="118"/>
      <c r="F275" s="118"/>
      <c r="G275" s="118"/>
      <c r="H275" s="119"/>
    </row>
    <row r="276" spans="1:8" x14ac:dyDescent="0.2">
      <c r="A276" s="117"/>
      <c r="B276" s="118"/>
      <c r="C276" s="118"/>
      <c r="D276" s="118"/>
      <c r="E276" s="118"/>
      <c r="F276" s="118"/>
      <c r="G276" s="118"/>
      <c r="H276" s="119"/>
    </row>
    <row r="277" spans="1:8" x14ac:dyDescent="0.2">
      <c r="A277" s="117"/>
      <c r="B277" s="118"/>
      <c r="C277" s="118"/>
      <c r="D277" s="118"/>
      <c r="E277" s="118"/>
      <c r="F277" s="118"/>
      <c r="G277" s="118"/>
      <c r="H277" s="119"/>
    </row>
    <row r="278" spans="1:8" x14ac:dyDescent="0.2">
      <c r="A278" s="117"/>
      <c r="B278" s="118"/>
      <c r="C278" s="118"/>
      <c r="D278" s="118"/>
      <c r="E278" s="118"/>
      <c r="F278" s="118"/>
      <c r="G278" s="118"/>
      <c r="H278" s="119"/>
    </row>
    <row r="279" spans="1:8" x14ac:dyDescent="0.2">
      <c r="A279" s="117"/>
      <c r="B279" s="118"/>
      <c r="C279" s="118"/>
      <c r="D279" s="118"/>
      <c r="E279" s="118"/>
      <c r="F279" s="118"/>
      <c r="G279" s="118"/>
      <c r="H279" s="119"/>
    </row>
    <row r="280" spans="1:8" x14ac:dyDescent="0.2">
      <c r="A280" s="117"/>
      <c r="B280" s="118"/>
      <c r="C280" s="118"/>
      <c r="D280" s="118"/>
      <c r="E280" s="118"/>
      <c r="F280" s="118"/>
      <c r="G280" s="118"/>
      <c r="H280" s="119"/>
    </row>
    <row r="281" spans="1:8" x14ac:dyDescent="0.2">
      <c r="A281" s="117"/>
      <c r="B281" s="118"/>
      <c r="C281" s="118"/>
      <c r="D281" s="118"/>
      <c r="E281" s="118"/>
      <c r="F281" s="118"/>
      <c r="G281" s="118"/>
      <c r="H281" s="119"/>
    </row>
    <row r="282" spans="1:8" x14ac:dyDescent="0.2">
      <c r="A282" s="117"/>
      <c r="B282" s="118"/>
      <c r="C282" s="118"/>
      <c r="D282" s="118"/>
      <c r="E282" s="118"/>
      <c r="F282" s="118"/>
      <c r="G282" s="118"/>
      <c r="H282" s="119"/>
    </row>
    <row r="283" spans="1:8" x14ac:dyDescent="0.2">
      <c r="A283" s="117"/>
      <c r="B283" s="118"/>
      <c r="C283" s="118"/>
      <c r="D283" s="118"/>
      <c r="E283" s="118"/>
      <c r="F283" s="118"/>
      <c r="G283" s="118"/>
      <c r="H283" s="119"/>
    </row>
    <row r="284" spans="1:8" x14ac:dyDescent="0.2">
      <c r="A284" s="117"/>
      <c r="B284" s="118"/>
      <c r="C284" s="118"/>
      <c r="D284" s="118"/>
      <c r="E284" s="118"/>
      <c r="F284" s="118"/>
      <c r="G284" s="118"/>
      <c r="H284" s="119"/>
    </row>
    <row r="285" spans="1:8" x14ac:dyDescent="0.2">
      <c r="A285" s="117"/>
      <c r="B285" s="118"/>
      <c r="C285" s="118"/>
      <c r="D285" s="118"/>
      <c r="E285" s="118"/>
      <c r="F285" s="118"/>
      <c r="G285" s="118"/>
      <c r="H285" s="119"/>
    </row>
    <row r="286" spans="1:8" x14ac:dyDescent="0.2">
      <c r="A286" s="117"/>
      <c r="B286" s="118"/>
      <c r="C286" s="118"/>
      <c r="D286" s="118"/>
      <c r="E286" s="118"/>
      <c r="F286" s="118"/>
      <c r="G286" s="118"/>
      <c r="H286" s="119"/>
    </row>
    <row r="287" spans="1:8" x14ac:dyDescent="0.2">
      <c r="A287" s="117"/>
      <c r="B287" s="118"/>
      <c r="C287" s="118"/>
      <c r="D287" s="118"/>
      <c r="E287" s="118"/>
      <c r="F287" s="118"/>
      <c r="G287" s="118"/>
      <c r="H287" s="119"/>
    </row>
    <row r="288" spans="1:8" x14ac:dyDescent="0.2">
      <c r="A288" s="117"/>
      <c r="B288" s="118"/>
      <c r="C288" s="118"/>
      <c r="D288" s="118"/>
      <c r="E288" s="118"/>
      <c r="F288" s="118"/>
      <c r="G288" s="118"/>
      <c r="H288" s="119"/>
    </row>
    <row r="289" spans="1:8" x14ac:dyDescent="0.2">
      <c r="A289" s="117"/>
      <c r="B289" s="118"/>
      <c r="C289" s="118"/>
      <c r="D289" s="118"/>
      <c r="E289" s="118"/>
      <c r="F289" s="118"/>
      <c r="G289" s="118"/>
      <c r="H289" s="119"/>
    </row>
    <row r="290" spans="1:8" x14ac:dyDescent="0.2">
      <c r="A290" s="117"/>
      <c r="B290" s="118"/>
      <c r="C290" s="118"/>
      <c r="D290" s="118"/>
      <c r="E290" s="118"/>
      <c r="F290" s="118"/>
      <c r="G290" s="118"/>
      <c r="H290" s="119"/>
    </row>
    <row r="291" spans="1:8" x14ac:dyDescent="0.2">
      <c r="A291" s="117"/>
      <c r="B291" s="118"/>
      <c r="C291" s="118"/>
      <c r="D291" s="118"/>
      <c r="E291" s="118"/>
      <c r="F291" s="118"/>
      <c r="G291" s="118"/>
      <c r="H291" s="119"/>
    </row>
    <row r="292" spans="1:8" x14ac:dyDescent="0.2">
      <c r="A292" s="117"/>
      <c r="B292" s="118"/>
      <c r="C292" s="118"/>
      <c r="D292" s="118"/>
      <c r="E292" s="118"/>
      <c r="F292" s="118"/>
      <c r="G292" s="118"/>
      <c r="H292" s="119"/>
    </row>
    <row r="293" spans="1:8" x14ac:dyDescent="0.2">
      <c r="A293" s="117"/>
      <c r="B293" s="118"/>
      <c r="C293" s="118"/>
      <c r="D293" s="118"/>
      <c r="E293" s="118"/>
      <c r="F293" s="118"/>
      <c r="G293" s="118"/>
      <c r="H293" s="119"/>
    </row>
    <row r="294" spans="1:8" x14ac:dyDescent="0.2">
      <c r="A294" s="117"/>
      <c r="B294" s="118"/>
      <c r="C294" s="118"/>
      <c r="D294" s="118"/>
      <c r="E294" s="118"/>
      <c r="F294" s="118"/>
      <c r="G294" s="118"/>
      <c r="H294" s="119"/>
    </row>
    <row r="295" spans="1:8" x14ac:dyDescent="0.2">
      <c r="A295" s="117"/>
      <c r="B295" s="118"/>
      <c r="C295" s="118"/>
      <c r="D295" s="118"/>
      <c r="E295" s="118"/>
      <c r="F295" s="118"/>
      <c r="G295" s="118"/>
      <c r="H295" s="119"/>
    </row>
    <row r="296" spans="1:8" x14ac:dyDescent="0.2">
      <c r="A296" s="117"/>
      <c r="B296" s="118"/>
      <c r="C296" s="118"/>
      <c r="D296" s="118"/>
      <c r="E296" s="118"/>
      <c r="F296" s="118"/>
      <c r="G296" s="118"/>
      <c r="H296" s="119"/>
    </row>
    <row r="297" spans="1:8" x14ac:dyDescent="0.2">
      <c r="A297" s="117"/>
      <c r="B297" s="118"/>
      <c r="C297" s="118"/>
      <c r="D297" s="118"/>
      <c r="E297" s="118"/>
      <c r="F297" s="118"/>
      <c r="G297" s="118"/>
      <c r="H297" s="119"/>
    </row>
    <row r="298" spans="1:8" x14ac:dyDescent="0.2">
      <c r="A298" s="117"/>
      <c r="B298" s="118"/>
      <c r="C298" s="118"/>
      <c r="D298" s="118"/>
      <c r="E298" s="118"/>
      <c r="F298" s="118"/>
      <c r="G298" s="118"/>
      <c r="H298" s="119"/>
    </row>
    <row r="299" spans="1:8" x14ac:dyDescent="0.2">
      <c r="A299" s="117"/>
      <c r="B299" s="118"/>
      <c r="C299" s="118"/>
      <c r="D299" s="118"/>
      <c r="E299" s="118"/>
      <c r="F299" s="118"/>
      <c r="G299" s="118"/>
      <c r="H299" s="119"/>
    </row>
    <row r="300" spans="1:8" x14ac:dyDescent="0.2">
      <c r="A300" s="117"/>
      <c r="B300" s="118"/>
      <c r="C300" s="118"/>
      <c r="D300" s="118"/>
      <c r="E300" s="118"/>
      <c r="F300" s="118"/>
      <c r="G300" s="118"/>
      <c r="H300" s="119"/>
    </row>
    <row r="301" spans="1:8" x14ac:dyDescent="0.2">
      <c r="A301" s="117"/>
      <c r="B301" s="118"/>
      <c r="C301" s="118"/>
      <c r="D301" s="118"/>
      <c r="E301" s="118"/>
      <c r="F301" s="118"/>
      <c r="G301" s="118"/>
      <c r="H301" s="119"/>
    </row>
    <row r="302" spans="1:8" x14ac:dyDescent="0.2">
      <c r="A302" s="117"/>
      <c r="B302" s="118"/>
      <c r="C302" s="118"/>
      <c r="D302" s="118"/>
      <c r="E302" s="118"/>
      <c r="F302" s="118"/>
      <c r="G302" s="118"/>
      <c r="H302" s="119"/>
    </row>
    <row r="303" spans="1:8" x14ac:dyDescent="0.2">
      <c r="A303" s="117"/>
      <c r="B303" s="118"/>
      <c r="C303" s="118"/>
      <c r="D303" s="118"/>
      <c r="E303" s="118"/>
      <c r="F303" s="118"/>
      <c r="G303" s="118"/>
      <c r="H303" s="119"/>
    </row>
    <row r="304" spans="1:8" x14ac:dyDescent="0.2">
      <c r="A304" s="117"/>
      <c r="B304" s="118"/>
      <c r="C304" s="118"/>
      <c r="D304" s="118"/>
      <c r="E304" s="118"/>
      <c r="F304" s="118"/>
      <c r="G304" s="118"/>
      <c r="H304" s="119"/>
    </row>
    <row r="305" spans="1:8" x14ac:dyDescent="0.2">
      <c r="A305" s="117"/>
      <c r="B305" s="118"/>
      <c r="C305" s="118"/>
      <c r="D305" s="118"/>
      <c r="E305" s="118"/>
      <c r="F305" s="118"/>
      <c r="G305" s="118"/>
      <c r="H305" s="119"/>
    </row>
    <row r="306" spans="1:8" x14ac:dyDescent="0.2">
      <c r="A306" s="117"/>
      <c r="B306" s="118"/>
      <c r="C306" s="118"/>
      <c r="D306" s="118"/>
      <c r="E306" s="118"/>
      <c r="F306" s="118"/>
      <c r="G306" s="118"/>
      <c r="H306" s="119"/>
    </row>
    <row r="307" spans="1:8" x14ac:dyDescent="0.2">
      <c r="A307" s="117"/>
      <c r="B307" s="118"/>
      <c r="C307" s="118"/>
      <c r="D307" s="118"/>
      <c r="E307" s="118"/>
      <c r="F307" s="118"/>
      <c r="G307" s="118"/>
      <c r="H307" s="119"/>
    </row>
    <row r="308" spans="1:8" x14ac:dyDescent="0.2">
      <c r="A308" s="117"/>
      <c r="B308" s="118"/>
      <c r="C308" s="118"/>
      <c r="D308" s="118"/>
      <c r="E308" s="118"/>
      <c r="F308" s="118"/>
      <c r="G308" s="118"/>
      <c r="H308" s="119"/>
    </row>
    <row r="309" spans="1:8" x14ac:dyDescent="0.2">
      <c r="A309" s="117"/>
      <c r="B309" s="118"/>
      <c r="C309" s="118"/>
      <c r="D309" s="118"/>
      <c r="E309" s="118"/>
      <c r="F309" s="118"/>
      <c r="G309" s="118"/>
      <c r="H309" s="119"/>
    </row>
    <row r="310" spans="1:8" x14ac:dyDescent="0.2">
      <c r="A310" s="117"/>
      <c r="B310" s="118"/>
      <c r="C310" s="118"/>
      <c r="D310" s="118"/>
      <c r="E310" s="118"/>
      <c r="F310" s="118"/>
      <c r="G310" s="118"/>
      <c r="H310" s="119"/>
    </row>
    <row r="311" spans="1:8" x14ac:dyDescent="0.2">
      <c r="A311" s="117"/>
      <c r="B311" s="118"/>
      <c r="C311" s="118"/>
      <c r="D311" s="118"/>
      <c r="E311" s="118"/>
      <c r="F311" s="118"/>
      <c r="G311" s="118"/>
      <c r="H311" s="119"/>
    </row>
    <row r="312" spans="1:8" x14ac:dyDescent="0.2">
      <c r="A312" s="117"/>
      <c r="B312" s="118"/>
      <c r="C312" s="118"/>
      <c r="D312" s="118"/>
      <c r="E312" s="118"/>
      <c r="F312" s="118"/>
      <c r="G312" s="118"/>
      <c r="H312" s="119"/>
    </row>
    <row r="313" spans="1:8" x14ac:dyDescent="0.2">
      <c r="A313" s="121"/>
      <c r="B313" s="122"/>
      <c r="C313" s="122"/>
      <c r="D313" s="122"/>
      <c r="E313" s="122"/>
      <c r="F313" s="122"/>
      <c r="G313" s="122"/>
      <c r="H313" s="123"/>
    </row>
    <row r="314" spans="1:8" x14ac:dyDescent="0.2">
      <c r="A314" s="120" t="s">
        <v>120</v>
      </c>
      <c r="B314" s="120"/>
      <c r="C314" s="120"/>
      <c r="D314" s="120"/>
      <c r="E314" s="120"/>
      <c r="F314" s="120"/>
      <c r="G314" s="120"/>
      <c r="H314" s="120"/>
    </row>
    <row r="315" spans="1:8" x14ac:dyDescent="0.2">
      <c r="A315" s="117"/>
      <c r="B315" s="118"/>
      <c r="C315" s="118"/>
      <c r="D315" s="118"/>
      <c r="E315" s="118"/>
      <c r="F315" s="118"/>
      <c r="G315" s="118"/>
      <c r="H315" s="119"/>
    </row>
    <row r="316" spans="1:8" x14ac:dyDescent="0.2">
      <c r="A316" s="117"/>
      <c r="B316" s="118"/>
      <c r="C316" s="118"/>
      <c r="D316" s="118"/>
      <c r="E316" s="118"/>
      <c r="F316" s="118"/>
      <c r="G316" s="118"/>
      <c r="H316" s="119"/>
    </row>
    <row r="317" spans="1:8" x14ac:dyDescent="0.2">
      <c r="A317" s="117"/>
      <c r="B317" s="118"/>
      <c r="C317" s="118"/>
      <c r="D317" s="118"/>
      <c r="E317" s="118"/>
      <c r="F317" s="118"/>
      <c r="G317" s="118"/>
      <c r="H317" s="119"/>
    </row>
    <row r="318" spans="1:8" x14ac:dyDescent="0.2">
      <c r="A318" s="117"/>
      <c r="B318" s="118"/>
      <c r="C318" s="118"/>
      <c r="D318" s="118"/>
      <c r="E318" s="118"/>
      <c r="F318" s="118"/>
      <c r="G318" s="118"/>
      <c r="H318" s="119"/>
    </row>
    <row r="319" spans="1:8" x14ac:dyDescent="0.2">
      <c r="A319" s="117"/>
      <c r="B319" s="118"/>
      <c r="C319" s="118"/>
      <c r="D319" s="118"/>
      <c r="E319" s="118"/>
      <c r="F319" s="118"/>
      <c r="G319" s="118"/>
      <c r="H319" s="119"/>
    </row>
    <row r="320" spans="1:8" x14ac:dyDescent="0.2">
      <c r="A320" s="117"/>
      <c r="B320" s="118"/>
      <c r="C320" s="118"/>
      <c r="D320" s="118"/>
      <c r="E320" s="118"/>
      <c r="F320" s="118"/>
      <c r="G320" s="118"/>
      <c r="H320" s="119"/>
    </row>
    <row r="321" spans="1:8" x14ac:dyDescent="0.2">
      <c r="A321" s="117"/>
      <c r="B321" s="118"/>
      <c r="C321" s="118"/>
      <c r="D321" s="118"/>
      <c r="E321" s="118"/>
      <c r="F321" s="118"/>
      <c r="G321" s="118"/>
      <c r="H321" s="119"/>
    </row>
    <row r="322" spans="1:8" x14ac:dyDescent="0.2">
      <c r="A322" s="117"/>
      <c r="B322" s="118"/>
      <c r="C322" s="118"/>
      <c r="D322" s="118"/>
      <c r="E322" s="118"/>
      <c r="F322" s="118"/>
      <c r="G322" s="118"/>
      <c r="H322" s="119"/>
    </row>
    <row r="323" spans="1:8" x14ac:dyDescent="0.2">
      <c r="A323" s="117"/>
      <c r="B323" s="118"/>
      <c r="C323" s="118"/>
      <c r="D323" s="118"/>
      <c r="E323" s="118"/>
      <c r="F323" s="118"/>
      <c r="G323" s="118"/>
      <c r="H323" s="119"/>
    </row>
    <row r="324" spans="1:8" x14ac:dyDescent="0.2">
      <c r="A324" s="117"/>
      <c r="B324" s="118"/>
      <c r="C324" s="118"/>
      <c r="D324" s="118"/>
      <c r="E324" s="118"/>
      <c r="F324" s="118"/>
      <c r="G324" s="118"/>
      <c r="H324" s="119"/>
    </row>
    <row r="325" spans="1:8" x14ac:dyDescent="0.2">
      <c r="A325" s="117"/>
      <c r="B325" s="118"/>
      <c r="C325" s="118"/>
      <c r="D325" s="118"/>
      <c r="E325" s="118"/>
      <c r="F325" s="118"/>
      <c r="G325" s="118"/>
      <c r="H325" s="119"/>
    </row>
    <row r="326" spans="1:8" x14ac:dyDescent="0.2">
      <c r="A326" s="117"/>
      <c r="B326" s="118"/>
      <c r="C326" s="118"/>
      <c r="D326" s="118"/>
      <c r="E326" s="118"/>
      <c r="F326" s="118"/>
      <c r="G326" s="118"/>
      <c r="H326" s="119"/>
    </row>
    <row r="327" spans="1:8" x14ac:dyDescent="0.2">
      <c r="A327" s="117"/>
      <c r="B327" s="118"/>
      <c r="C327" s="118"/>
      <c r="D327" s="118"/>
      <c r="E327" s="118"/>
      <c r="F327" s="118"/>
      <c r="G327" s="118"/>
      <c r="H327" s="119"/>
    </row>
    <row r="328" spans="1:8" x14ac:dyDescent="0.2">
      <c r="A328" s="117"/>
      <c r="B328" s="118"/>
      <c r="C328" s="118"/>
      <c r="D328" s="118"/>
      <c r="E328" s="118"/>
      <c r="F328" s="118"/>
      <c r="G328" s="118"/>
      <c r="H328" s="119"/>
    </row>
    <row r="329" spans="1:8" x14ac:dyDescent="0.2">
      <c r="A329" s="117"/>
      <c r="B329" s="118"/>
      <c r="C329" s="118"/>
      <c r="D329" s="118"/>
      <c r="E329" s="118"/>
      <c r="F329" s="118"/>
      <c r="G329" s="118"/>
      <c r="H329" s="119"/>
    </row>
    <row r="330" spans="1:8" x14ac:dyDescent="0.2">
      <c r="A330" s="117"/>
      <c r="B330" s="118"/>
      <c r="C330" s="118"/>
      <c r="D330" s="118"/>
      <c r="E330" s="118"/>
      <c r="F330" s="118"/>
      <c r="G330" s="118"/>
      <c r="H330" s="119"/>
    </row>
    <row r="331" spans="1:8" x14ac:dyDescent="0.2">
      <c r="A331" s="117"/>
      <c r="B331" s="118"/>
      <c r="C331" s="118"/>
      <c r="D331" s="118"/>
      <c r="E331" s="118"/>
      <c r="F331" s="118"/>
      <c r="G331" s="118"/>
      <c r="H331" s="119"/>
    </row>
    <row r="332" spans="1:8" x14ac:dyDescent="0.2">
      <c r="A332" s="117"/>
      <c r="B332" s="118"/>
      <c r="C332" s="118"/>
      <c r="D332" s="118"/>
      <c r="E332" s="118"/>
      <c r="F332" s="118"/>
      <c r="G332" s="118"/>
      <c r="H332" s="119"/>
    </row>
    <row r="333" spans="1:8" x14ac:dyDescent="0.2">
      <c r="A333" s="117"/>
      <c r="B333" s="118"/>
      <c r="C333" s="118"/>
      <c r="D333" s="118"/>
      <c r="E333" s="118"/>
      <c r="F333" s="118"/>
      <c r="G333" s="118"/>
      <c r="H333" s="119"/>
    </row>
    <row r="334" spans="1:8" x14ac:dyDescent="0.2">
      <c r="A334" s="117"/>
      <c r="B334" s="118"/>
      <c r="C334" s="118"/>
      <c r="D334" s="118"/>
      <c r="E334" s="118"/>
      <c r="F334" s="118"/>
      <c r="G334" s="118"/>
      <c r="H334" s="119"/>
    </row>
    <row r="335" spans="1:8" x14ac:dyDescent="0.2">
      <c r="A335" s="117"/>
      <c r="B335" s="118"/>
      <c r="C335" s="118"/>
      <c r="D335" s="118"/>
      <c r="E335" s="118"/>
      <c r="F335" s="118"/>
      <c r="G335" s="118"/>
      <c r="H335" s="119"/>
    </row>
    <row r="336" spans="1:8" x14ac:dyDescent="0.2">
      <c r="A336" s="117"/>
      <c r="B336" s="118"/>
      <c r="C336" s="118"/>
      <c r="D336" s="118"/>
      <c r="E336" s="118"/>
      <c r="F336" s="118"/>
      <c r="G336" s="118"/>
      <c r="H336" s="119"/>
    </row>
    <row r="337" spans="1:8" x14ac:dyDescent="0.2">
      <c r="A337" s="117"/>
      <c r="B337" s="118"/>
      <c r="C337" s="118"/>
      <c r="D337" s="118"/>
      <c r="E337" s="118"/>
      <c r="F337" s="118"/>
      <c r="G337" s="118"/>
      <c r="H337" s="119"/>
    </row>
    <row r="338" spans="1:8" x14ac:dyDescent="0.2">
      <c r="A338" s="117"/>
      <c r="B338" s="118"/>
      <c r="C338" s="118"/>
      <c r="D338" s="118"/>
      <c r="E338" s="118"/>
      <c r="F338" s="118"/>
      <c r="G338" s="118"/>
      <c r="H338" s="119"/>
    </row>
    <row r="339" spans="1:8" x14ac:dyDescent="0.2">
      <c r="A339" s="117"/>
      <c r="B339" s="118"/>
      <c r="C339" s="118"/>
      <c r="D339" s="118"/>
      <c r="E339" s="118"/>
      <c r="F339" s="118"/>
      <c r="G339" s="118"/>
      <c r="H339" s="119"/>
    </row>
    <row r="340" spans="1:8" x14ac:dyDescent="0.2">
      <c r="A340" s="117"/>
      <c r="B340" s="118"/>
      <c r="C340" s="118"/>
      <c r="D340" s="118"/>
      <c r="E340" s="118"/>
      <c r="F340" s="118"/>
      <c r="G340" s="118"/>
      <c r="H340" s="119"/>
    </row>
    <row r="341" spans="1:8" x14ac:dyDescent="0.2">
      <c r="A341" s="117"/>
      <c r="B341" s="118"/>
      <c r="C341" s="118"/>
      <c r="D341" s="118"/>
      <c r="E341" s="118"/>
      <c r="F341" s="118"/>
      <c r="G341" s="118"/>
      <c r="H341" s="119"/>
    </row>
    <row r="342" spans="1:8" x14ac:dyDescent="0.2">
      <c r="A342" s="117"/>
      <c r="B342" s="118"/>
      <c r="C342" s="118"/>
      <c r="D342" s="118"/>
      <c r="E342" s="118"/>
      <c r="F342" s="118"/>
      <c r="G342" s="118"/>
      <c r="H342" s="119"/>
    </row>
    <row r="343" spans="1:8" x14ac:dyDescent="0.2">
      <c r="A343" s="117"/>
      <c r="B343" s="118"/>
      <c r="C343" s="118"/>
      <c r="D343" s="118"/>
      <c r="E343" s="118"/>
      <c r="F343" s="118"/>
      <c r="G343" s="118"/>
      <c r="H343" s="119"/>
    </row>
    <row r="344" spans="1:8" x14ac:dyDescent="0.2">
      <c r="A344" s="117"/>
      <c r="B344" s="118"/>
      <c r="C344" s="118"/>
      <c r="D344" s="118"/>
      <c r="E344" s="118"/>
      <c r="F344" s="118"/>
      <c r="G344" s="118"/>
      <c r="H344" s="119"/>
    </row>
    <row r="345" spans="1:8" x14ac:dyDescent="0.2">
      <c r="A345" s="117"/>
      <c r="B345" s="118"/>
      <c r="C345" s="118"/>
      <c r="D345" s="118"/>
      <c r="E345" s="118"/>
      <c r="F345" s="118"/>
      <c r="G345" s="118"/>
      <c r="H345" s="119"/>
    </row>
    <row r="346" spans="1:8" x14ac:dyDescent="0.2">
      <c r="A346" s="117"/>
      <c r="B346" s="118"/>
      <c r="C346" s="118"/>
      <c r="D346" s="118"/>
      <c r="E346" s="118"/>
      <c r="F346" s="118"/>
      <c r="G346" s="118"/>
      <c r="H346" s="119"/>
    </row>
    <row r="347" spans="1:8" x14ac:dyDescent="0.2">
      <c r="A347" s="117"/>
      <c r="B347" s="118"/>
      <c r="C347" s="118"/>
      <c r="D347" s="118"/>
      <c r="E347" s="118"/>
      <c r="F347" s="118"/>
      <c r="G347" s="118"/>
      <c r="H347" s="119"/>
    </row>
    <row r="348" spans="1:8" x14ac:dyDescent="0.2">
      <c r="A348" s="117"/>
      <c r="B348" s="118"/>
      <c r="C348" s="118"/>
      <c r="D348" s="118"/>
      <c r="E348" s="118"/>
      <c r="F348" s="118"/>
      <c r="G348" s="118"/>
      <c r="H348" s="119"/>
    </row>
    <row r="349" spans="1:8" x14ac:dyDescent="0.2">
      <c r="A349" s="117"/>
      <c r="B349" s="118"/>
      <c r="C349" s="118"/>
      <c r="D349" s="118"/>
      <c r="E349" s="118"/>
      <c r="F349" s="118"/>
      <c r="G349" s="118"/>
      <c r="H349" s="119"/>
    </row>
    <row r="350" spans="1:8" x14ac:dyDescent="0.2">
      <c r="A350" s="117"/>
      <c r="B350" s="118"/>
      <c r="C350" s="118"/>
      <c r="D350" s="118"/>
      <c r="E350" s="118"/>
      <c r="F350" s="118"/>
      <c r="G350" s="118"/>
      <c r="H350" s="119"/>
    </row>
    <row r="351" spans="1:8" x14ac:dyDescent="0.2">
      <c r="A351" s="117"/>
      <c r="B351" s="118"/>
      <c r="C351" s="118"/>
      <c r="D351" s="118"/>
      <c r="E351" s="118"/>
      <c r="F351" s="118"/>
      <c r="G351" s="118"/>
      <c r="H351" s="119"/>
    </row>
    <row r="352" spans="1:8" x14ac:dyDescent="0.2">
      <c r="A352" s="117"/>
      <c r="B352" s="118"/>
      <c r="C352" s="118"/>
      <c r="D352" s="118"/>
      <c r="E352" s="118"/>
      <c r="F352" s="118"/>
      <c r="G352" s="118"/>
      <c r="H352" s="119"/>
    </row>
    <row r="353" spans="1:8" x14ac:dyDescent="0.2">
      <c r="A353" s="117"/>
      <c r="B353" s="118"/>
      <c r="C353" s="118"/>
      <c r="D353" s="118"/>
      <c r="E353" s="118"/>
      <c r="F353" s="118"/>
      <c r="G353" s="118"/>
      <c r="H353" s="119"/>
    </row>
    <row r="354" spans="1:8" x14ac:dyDescent="0.2">
      <c r="A354" s="117"/>
      <c r="B354" s="118"/>
      <c r="C354" s="118"/>
      <c r="D354" s="118"/>
      <c r="E354" s="118"/>
      <c r="F354" s="118"/>
      <c r="G354" s="118"/>
      <c r="H354" s="119"/>
    </row>
    <row r="355" spans="1:8" x14ac:dyDescent="0.2">
      <c r="A355" s="117"/>
      <c r="B355" s="118"/>
      <c r="C355" s="118"/>
      <c r="D355" s="118"/>
      <c r="E355" s="118"/>
      <c r="F355" s="118"/>
      <c r="G355" s="118"/>
      <c r="H355" s="119"/>
    </row>
    <row r="356" spans="1:8" x14ac:dyDescent="0.2">
      <c r="A356" s="117"/>
      <c r="B356" s="118"/>
      <c r="C356" s="118"/>
      <c r="D356" s="118"/>
      <c r="E356" s="118"/>
      <c r="F356" s="118"/>
      <c r="G356" s="118"/>
      <c r="H356" s="119"/>
    </row>
    <row r="357" spans="1:8" x14ac:dyDescent="0.2">
      <c r="A357" s="117"/>
      <c r="B357" s="118"/>
      <c r="C357" s="118"/>
      <c r="D357" s="118"/>
      <c r="E357" s="118"/>
      <c r="F357" s="118"/>
      <c r="G357" s="118"/>
      <c r="H357" s="119"/>
    </row>
    <row r="358" spans="1:8" x14ac:dyDescent="0.2">
      <c r="A358" s="117"/>
      <c r="B358" s="118"/>
      <c r="C358" s="118"/>
      <c r="D358" s="118"/>
      <c r="E358" s="118"/>
      <c r="F358" s="118"/>
      <c r="G358" s="118"/>
      <c r="H358" s="119"/>
    </row>
    <row r="359" spans="1:8" x14ac:dyDescent="0.2">
      <c r="A359" s="117"/>
      <c r="B359" s="118"/>
      <c r="C359" s="118"/>
      <c r="D359" s="118"/>
      <c r="E359" s="118"/>
      <c r="F359" s="118"/>
      <c r="G359" s="118"/>
      <c r="H359" s="119"/>
    </row>
    <row r="360" spans="1:8" x14ac:dyDescent="0.2">
      <c r="A360" s="117"/>
      <c r="B360" s="118"/>
      <c r="C360" s="118"/>
      <c r="D360" s="118"/>
      <c r="E360" s="118"/>
      <c r="F360" s="118"/>
      <c r="G360" s="118"/>
      <c r="H360" s="119"/>
    </row>
    <row r="361" spans="1:8" x14ac:dyDescent="0.2">
      <c r="A361" s="117"/>
      <c r="B361" s="118"/>
      <c r="C361" s="118"/>
      <c r="D361" s="118"/>
      <c r="E361" s="118"/>
      <c r="F361" s="118"/>
      <c r="G361" s="118"/>
      <c r="H361" s="119"/>
    </row>
    <row r="362" spans="1:8" x14ac:dyDescent="0.2">
      <c r="A362" s="117"/>
      <c r="B362" s="118"/>
      <c r="C362" s="118"/>
      <c r="D362" s="118"/>
      <c r="E362" s="118"/>
      <c r="F362" s="118"/>
      <c r="G362" s="118"/>
      <c r="H362" s="119"/>
    </row>
    <row r="363" spans="1:8" x14ac:dyDescent="0.2">
      <c r="A363" s="117"/>
      <c r="B363" s="118"/>
      <c r="C363" s="118"/>
      <c r="D363" s="118"/>
      <c r="E363" s="118"/>
      <c r="F363" s="118"/>
      <c r="G363" s="118"/>
      <c r="H363" s="119"/>
    </row>
    <row r="364" spans="1:8" ht="65.25" customHeight="1" x14ac:dyDescent="0.2">
      <c r="A364" s="96" t="s">
        <v>117</v>
      </c>
      <c r="B364" s="97"/>
      <c r="C364" s="143" t="s">
        <v>302</v>
      </c>
      <c r="D364" s="144"/>
      <c r="E364" s="104" t="s">
        <v>118</v>
      </c>
      <c r="F364" s="104"/>
      <c r="G364" s="103"/>
      <c r="H364" s="103"/>
    </row>
  </sheetData>
  <mergeCells count="512">
    <mergeCell ref="A166:H166"/>
    <mergeCell ref="A174:B174"/>
    <mergeCell ref="A160:B160"/>
    <mergeCell ref="A161:B161"/>
    <mergeCell ref="A162:B162"/>
    <mergeCell ref="A156:B156"/>
    <mergeCell ref="A163:B163"/>
    <mergeCell ref="A133:B133"/>
    <mergeCell ref="A134:B134"/>
    <mergeCell ref="A135:B135"/>
    <mergeCell ref="A136:B136"/>
    <mergeCell ref="A137:B137"/>
    <mergeCell ref="A138:B138"/>
    <mergeCell ref="A164:B164"/>
    <mergeCell ref="C156:H156"/>
    <mergeCell ref="A165:H165"/>
    <mergeCell ref="A147:B147"/>
    <mergeCell ref="A148:B148"/>
    <mergeCell ref="A149:B149"/>
    <mergeCell ref="A157:B157"/>
    <mergeCell ref="A364:B364"/>
    <mergeCell ref="C364:D364"/>
    <mergeCell ref="A260:B260"/>
    <mergeCell ref="B195:H195"/>
    <mergeCell ref="A307:H307"/>
    <mergeCell ref="A308:H308"/>
    <mergeCell ref="A309:H309"/>
    <mergeCell ref="A310:H310"/>
    <mergeCell ref="A311:H311"/>
    <mergeCell ref="A312:H312"/>
    <mergeCell ref="A313:H313"/>
    <mergeCell ref="A289:H289"/>
    <mergeCell ref="A290:H290"/>
    <mergeCell ref="A291:H291"/>
    <mergeCell ref="A292:H292"/>
    <mergeCell ref="A293:H293"/>
    <mergeCell ref="A280:H280"/>
    <mergeCell ref="A281:H281"/>
    <mergeCell ref="A282:H282"/>
    <mergeCell ref="A283:H283"/>
    <mergeCell ref="A284:H284"/>
    <mergeCell ref="A285:H285"/>
    <mergeCell ref="A288:H288"/>
    <mergeCell ref="A301:H301"/>
    <mergeCell ref="A126:H126"/>
    <mergeCell ref="A109:H109"/>
    <mergeCell ref="B110:B111"/>
    <mergeCell ref="A123:B123"/>
    <mergeCell ref="A124:B124"/>
    <mergeCell ref="A125:B125"/>
    <mergeCell ref="A119:B119"/>
    <mergeCell ref="A120:B120"/>
    <mergeCell ref="A121:B121"/>
    <mergeCell ref="A122:B122"/>
    <mergeCell ref="A114:B114"/>
    <mergeCell ref="A115:B115"/>
    <mergeCell ref="D110:D111"/>
    <mergeCell ref="A116:B116"/>
    <mergeCell ref="A113:H113"/>
    <mergeCell ref="C110:C111"/>
    <mergeCell ref="E110:E111"/>
    <mergeCell ref="C67:D67"/>
    <mergeCell ref="C68:D68"/>
    <mergeCell ref="C69:D69"/>
    <mergeCell ref="C70:D70"/>
    <mergeCell ref="C76:D76"/>
    <mergeCell ref="C72:D72"/>
    <mergeCell ref="C89:D89"/>
    <mergeCell ref="C90:D90"/>
    <mergeCell ref="C91:D91"/>
    <mergeCell ref="A73:D74"/>
    <mergeCell ref="A75:B75"/>
    <mergeCell ref="C75:H75"/>
    <mergeCell ref="A76:B76"/>
    <mergeCell ref="G76:H76"/>
    <mergeCell ref="E101:F101"/>
    <mergeCell ref="C83:D83"/>
    <mergeCell ref="A84:B84"/>
    <mergeCell ref="C84:D84"/>
    <mergeCell ref="G77:H86"/>
    <mergeCell ref="A78:B78"/>
    <mergeCell ref="C78:D78"/>
    <mergeCell ref="A79:B79"/>
    <mergeCell ref="C101:D101"/>
    <mergeCell ref="A58:H58"/>
    <mergeCell ref="A59:D60"/>
    <mergeCell ref="A61:B61"/>
    <mergeCell ref="G100:H100"/>
    <mergeCell ref="A99:B99"/>
    <mergeCell ref="A66:B66"/>
    <mergeCell ref="A67:B67"/>
    <mergeCell ref="A94:B94"/>
    <mergeCell ref="A95:B95"/>
    <mergeCell ref="A96:B96"/>
    <mergeCell ref="A97:B97"/>
    <mergeCell ref="C65:D65"/>
    <mergeCell ref="C66:D66"/>
    <mergeCell ref="C62:D62"/>
    <mergeCell ref="C63:D63"/>
    <mergeCell ref="C64:D64"/>
    <mergeCell ref="C82:D82"/>
    <mergeCell ref="G62:H62"/>
    <mergeCell ref="G63:H72"/>
    <mergeCell ref="A63:B63"/>
    <mergeCell ref="C71:D71"/>
    <mergeCell ref="A64:B64"/>
    <mergeCell ref="A65:B65"/>
    <mergeCell ref="A83:B83"/>
    <mergeCell ref="E52:H52"/>
    <mergeCell ref="C42:F42"/>
    <mergeCell ref="C43:F43"/>
    <mergeCell ref="C46:F46"/>
    <mergeCell ref="C45:F45"/>
    <mergeCell ref="E51:H51"/>
    <mergeCell ref="C57:D57"/>
    <mergeCell ref="C53:F53"/>
    <mergeCell ref="C49:F49"/>
    <mergeCell ref="C47:F47"/>
    <mergeCell ref="C50:D50"/>
    <mergeCell ref="C51:D51"/>
    <mergeCell ref="C52:D52"/>
    <mergeCell ref="C3:E3"/>
    <mergeCell ref="C4:E4"/>
    <mergeCell ref="C5:E5"/>
    <mergeCell ref="G3:H3"/>
    <mergeCell ref="G4:H4"/>
    <mergeCell ref="G5:H5"/>
    <mergeCell ref="C31:D31"/>
    <mergeCell ref="C32:D32"/>
    <mergeCell ref="A25:B25"/>
    <mergeCell ref="A26:B26"/>
    <mergeCell ref="A27:B27"/>
    <mergeCell ref="A28:B28"/>
    <mergeCell ref="A29:B29"/>
    <mergeCell ref="A30:B30"/>
    <mergeCell ref="A31:B34"/>
    <mergeCell ref="A7:B7"/>
    <mergeCell ref="A8:B8"/>
    <mergeCell ref="A9:B9"/>
    <mergeCell ref="A10:B10"/>
    <mergeCell ref="A11:B11"/>
    <mergeCell ref="A12:B12"/>
    <mergeCell ref="A13:B13"/>
    <mergeCell ref="A14:B14"/>
    <mergeCell ref="C33:D33"/>
    <mergeCell ref="F18:H18"/>
    <mergeCell ref="A98:H98"/>
    <mergeCell ref="A35:B35"/>
    <mergeCell ref="A36:B36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68:B68"/>
    <mergeCell ref="A69:B69"/>
    <mergeCell ref="A70:B70"/>
    <mergeCell ref="A71:B71"/>
    <mergeCell ref="A72:B72"/>
    <mergeCell ref="A87:B87"/>
    <mergeCell ref="A89:B89"/>
    <mergeCell ref="A90:B90"/>
    <mergeCell ref="A91:B91"/>
    <mergeCell ref="A92:B92"/>
    <mergeCell ref="A93:B93"/>
    <mergeCell ref="A15:B15"/>
    <mergeCell ref="E106:F106"/>
    <mergeCell ref="G106:H106"/>
    <mergeCell ref="E107:F107"/>
    <mergeCell ref="G107:H107"/>
    <mergeCell ref="C29:H29"/>
    <mergeCell ref="C30:H30"/>
    <mergeCell ref="A37:B37"/>
    <mergeCell ref="A38:B38"/>
    <mergeCell ref="A47:B47"/>
    <mergeCell ref="A48:B48"/>
    <mergeCell ref="A49:B49"/>
    <mergeCell ref="A50:B52"/>
    <mergeCell ref="A53:B53"/>
    <mergeCell ref="A57:B57"/>
    <mergeCell ref="A62:B62"/>
    <mergeCell ref="G43:H43"/>
    <mergeCell ref="G45:H45"/>
    <mergeCell ref="C61:H61"/>
    <mergeCell ref="C27:E27"/>
    <mergeCell ref="A56:H56"/>
    <mergeCell ref="F57:H57"/>
    <mergeCell ref="C48:H48"/>
    <mergeCell ref="E50:H50"/>
    <mergeCell ref="A302:H302"/>
    <mergeCell ref="A303:H303"/>
    <mergeCell ref="A304:H304"/>
    <mergeCell ref="A305:H305"/>
    <mergeCell ref="A306:H306"/>
    <mergeCell ref="A294:H294"/>
    <mergeCell ref="A295:H295"/>
    <mergeCell ref="A296:H296"/>
    <mergeCell ref="A297:H297"/>
    <mergeCell ref="A193:E193"/>
    <mergeCell ref="F193:H193"/>
    <mergeCell ref="E92:F92"/>
    <mergeCell ref="E93:F93"/>
    <mergeCell ref="E94:F94"/>
    <mergeCell ref="E95:F95"/>
    <mergeCell ref="G96:H96"/>
    <mergeCell ref="G97:H97"/>
    <mergeCell ref="E96:F96"/>
    <mergeCell ref="F192:H192"/>
    <mergeCell ref="A117:B117"/>
    <mergeCell ref="A118:B118"/>
    <mergeCell ref="A110:A111"/>
    <mergeCell ref="E103:F103"/>
    <mergeCell ref="G103:H103"/>
    <mergeCell ref="C99:D99"/>
    <mergeCell ref="C100:D100"/>
    <mergeCell ref="C96:D96"/>
    <mergeCell ref="A158:B158"/>
    <mergeCell ref="A159:B159"/>
    <mergeCell ref="A143:H143"/>
    <mergeCell ref="A144:B144"/>
    <mergeCell ref="A145:B145"/>
    <mergeCell ref="A146:B146"/>
    <mergeCell ref="A271:H271"/>
    <mergeCell ref="A191:H191"/>
    <mergeCell ref="A286:H286"/>
    <mergeCell ref="A287:H287"/>
    <mergeCell ref="A192:E192"/>
    <mergeCell ref="A112:H112"/>
    <mergeCell ref="A299:H299"/>
    <mergeCell ref="A300:H300"/>
    <mergeCell ref="C260:H260"/>
    <mergeCell ref="A261:H261"/>
    <mergeCell ref="A262:H262"/>
    <mergeCell ref="E127:E128"/>
    <mergeCell ref="F127:F128"/>
    <mergeCell ref="A127:A128"/>
    <mergeCell ref="C127:C128"/>
    <mergeCell ref="D127:D128"/>
    <mergeCell ref="C171:H174"/>
    <mergeCell ref="A139:B139"/>
    <mergeCell ref="A140:B140"/>
    <mergeCell ref="A141:B141"/>
    <mergeCell ref="A142:B142"/>
    <mergeCell ref="A131:H131"/>
    <mergeCell ref="A130:H130"/>
    <mergeCell ref="A132:H132"/>
    <mergeCell ref="C9:H9"/>
    <mergeCell ref="C13:H13"/>
    <mergeCell ref="C14:H14"/>
    <mergeCell ref="C15:H15"/>
    <mergeCell ref="C18:E18"/>
    <mergeCell ref="C11:H11"/>
    <mergeCell ref="C12:H12"/>
    <mergeCell ref="A5:B5"/>
    <mergeCell ref="E364:F364"/>
    <mergeCell ref="G364:H364"/>
    <mergeCell ref="C87:H87"/>
    <mergeCell ref="A88:H88"/>
    <mergeCell ref="E89:F89"/>
    <mergeCell ref="E90:F90"/>
    <mergeCell ref="E97:F97"/>
    <mergeCell ref="A108:H108"/>
    <mergeCell ref="A263:H263"/>
    <mergeCell ref="A264:H264"/>
    <mergeCell ref="A265:H265"/>
    <mergeCell ref="A266:H266"/>
    <mergeCell ref="A267:H267"/>
    <mergeCell ref="A268:H268"/>
    <mergeCell ref="A269:H269"/>
    <mergeCell ref="A270:H270"/>
    <mergeCell ref="A55:B55"/>
    <mergeCell ref="C55:F55"/>
    <mergeCell ref="A54:B54"/>
    <mergeCell ref="C54:F54"/>
    <mergeCell ref="G41:H41"/>
    <mergeCell ref="C41:F41"/>
    <mergeCell ref="C44:F44"/>
    <mergeCell ref="C85:D85"/>
    <mergeCell ref="A1:H1"/>
    <mergeCell ref="C23:H23"/>
    <mergeCell ref="C22:H22"/>
    <mergeCell ref="C26:H26"/>
    <mergeCell ref="C17:H17"/>
    <mergeCell ref="C16:H16"/>
    <mergeCell ref="C25:H25"/>
    <mergeCell ref="C10:H10"/>
    <mergeCell ref="A6:H6"/>
    <mergeCell ref="C20:H20"/>
    <mergeCell ref="C21:H21"/>
    <mergeCell ref="C24:H24"/>
    <mergeCell ref="A2:H2"/>
    <mergeCell ref="C7:H7"/>
    <mergeCell ref="C8:H8"/>
    <mergeCell ref="C19:H19"/>
    <mergeCell ref="C28:E28"/>
    <mergeCell ref="E36:F36"/>
    <mergeCell ref="G27:H27"/>
    <mergeCell ref="G28:H28"/>
    <mergeCell ref="C35:H35"/>
    <mergeCell ref="G36:H36"/>
    <mergeCell ref="A39:H39"/>
    <mergeCell ref="C40:F40"/>
    <mergeCell ref="G40:H40"/>
    <mergeCell ref="C38:H38"/>
    <mergeCell ref="C34:D34"/>
    <mergeCell ref="C36:D36"/>
    <mergeCell ref="C37:H37"/>
    <mergeCell ref="A40:B46"/>
    <mergeCell ref="G44:H44"/>
    <mergeCell ref="G42:H42"/>
    <mergeCell ref="G46:H46"/>
    <mergeCell ref="A208:H208"/>
    <mergeCell ref="A209:H209"/>
    <mergeCell ref="A210:H210"/>
    <mergeCell ref="A211:H211"/>
    <mergeCell ref="A212:H212"/>
    <mergeCell ref="A194:H194"/>
    <mergeCell ref="B196:H196"/>
    <mergeCell ref="B197:H197"/>
    <mergeCell ref="B198:H198"/>
    <mergeCell ref="B199:H199"/>
    <mergeCell ref="B201:H201"/>
    <mergeCell ref="B202:H202"/>
    <mergeCell ref="B203:H203"/>
    <mergeCell ref="B204:H204"/>
    <mergeCell ref="A206:B206"/>
    <mergeCell ref="B200:E200"/>
    <mergeCell ref="B205:H205"/>
    <mergeCell ref="C206:H206"/>
    <mergeCell ref="A207:H207"/>
    <mergeCell ref="A213:H213"/>
    <mergeCell ref="A214:H214"/>
    <mergeCell ref="A215:H215"/>
    <mergeCell ref="A216:H216"/>
    <mergeCell ref="A217:H217"/>
    <mergeCell ref="A218:H218"/>
    <mergeCell ref="A219:H219"/>
    <mergeCell ref="A220:H220"/>
    <mergeCell ref="A221:H221"/>
    <mergeCell ref="A222:H222"/>
    <mergeCell ref="A223:H223"/>
    <mergeCell ref="A224:H224"/>
    <mergeCell ref="A225:H225"/>
    <mergeCell ref="A226:H226"/>
    <mergeCell ref="A227:H227"/>
    <mergeCell ref="A228:H228"/>
    <mergeCell ref="A229:H229"/>
    <mergeCell ref="A230:H230"/>
    <mergeCell ref="A231:H231"/>
    <mergeCell ref="A232:H232"/>
    <mergeCell ref="A233:H233"/>
    <mergeCell ref="A234:H234"/>
    <mergeCell ref="A235:H235"/>
    <mergeCell ref="A236:H236"/>
    <mergeCell ref="A237:H237"/>
    <mergeCell ref="A238:H238"/>
    <mergeCell ref="A239:H239"/>
    <mergeCell ref="A240:H240"/>
    <mergeCell ref="A241:H241"/>
    <mergeCell ref="A242:H242"/>
    <mergeCell ref="A243:H243"/>
    <mergeCell ref="A244:H244"/>
    <mergeCell ref="A245:H245"/>
    <mergeCell ref="A246:H246"/>
    <mergeCell ref="A247:H247"/>
    <mergeCell ref="A248:H248"/>
    <mergeCell ref="A335:H335"/>
    <mergeCell ref="A336:H336"/>
    <mergeCell ref="A337:H337"/>
    <mergeCell ref="A318:H318"/>
    <mergeCell ref="A319:H319"/>
    <mergeCell ref="A320:H320"/>
    <mergeCell ref="A321:H321"/>
    <mergeCell ref="A322:H322"/>
    <mergeCell ref="A323:H323"/>
    <mergeCell ref="A324:H324"/>
    <mergeCell ref="A325:H325"/>
    <mergeCell ref="A326:H326"/>
    <mergeCell ref="A327:H327"/>
    <mergeCell ref="A328:H328"/>
    <mergeCell ref="A329:H329"/>
    <mergeCell ref="A330:H330"/>
    <mergeCell ref="A331:H331"/>
    <mergeCell ref="A332:H332"/>
    <mergeCell ref="A333:H333"/>
    <mergeCell ref="A334:H334"/>
    <mergeCell ref="A348:H348"/>
    <mergeCell ref="A349:H349"/>
    <mergeCell ref="A350:H350"/>
    <mergeCell ref="A351:H351"/>
    <mergeCell ref="A352:H352"/>
    <mergeCell ref="A353:H353"/>
    <mergeCell ref="A363:H363"/>
    <mergeCell ref="A354:H354"/>
    <mergeCell ref="A355:H355"/>
    <mergeCell ref="A356:H356"/>
    <mergeCell ref="A357:H357"/>
    <mergeCell ref="A358:H358"/>
    <mergeCell ref="A359:H359"/>
    <mergeCell ref="A360:H360"/>
    <mergeCell ref="A361:H361"/>
    <mergeCell ref="A362:H362"/>
    <mergeCell ref="A314:H314"/>
    <mergeCell ref="A315:H315"/>
    <mergeCell ref="A316:H316"/>
    <mergeCell ref="A317:H317"/>
    <mergeCell ref="A258:H258"/>
    <mergeCell ref="A259:H259"/>
    <mergeCell ref="A249:H249"/>
    <mergeCell ref="A250:H250"/>
    <mergeCell ref="A251:H251"/>
    <mergeCell ref="A252:H252"/>
    <mergeCell ref="A253:H253"/>
    <mergeCell ref="A254:H254"/>
    <mergeCell ref="A255:H255"/>
    <mergeCell ref="A256:H256"/>
    <mergeCell ref="A257:H257"/>
    <mergeCell ref="A272:H272"/>
    <mergeCell ref="A273:H273"/>
    <mergeCell ref="A274:H274"/>
    <mergeCell ref="A275:H275"/>
    <mergeCell ref="A276:H276"/>
    <mergeCell ref="A277:H277"/>
    <mergeCell ref="A278:H278"/>
    <mergeCell ref="A279:H279"/>
    <mergeCell ref="A298:H298"/>
    <mergeCell ref="A345:H345"/>
    <mergeCell ref="A346:H346"/>
    <mergeCell ref="A347:H347"/>
    <mergeCell ref="A338:H338"/>
    <mergeCell ref="A339:H339"/>
    <mergeCell ref="A340:H340"/>
    <mergeCell ref="A341:H341"/>
    <mergeCell ref="A342:H342"/>
    <mergeCell ref="A343:H343"/>
    <mergeCell ref="A344:H344"/>
    <mergeCell ref="A86:B86"/>
    <mergeCell ref="C86:D86"/>
    <mergeCell ref="A80:B80"/>
    <mergeCell ref="C80:D80"/>
    <mergeCell ref="A81:B81"/>
    <mergeCell ref="C81:D81"/>
    <mergeCell ref="A82:B82"/>
    <mergeCell ref="C107:D107"/>
    <mergeCell ref="A100:B100"/>
    <mergeCell ref="A101:B101"/>
    <mergeCell ref="A103:B103"/>
    <mergeCell ref="A104:B104"/>
    <mergeCell ref="A105:B105"/>
    <mergeCell ref="A106:B106"/>
    <mergeCell ref="A107:B107"/>
    <mergeCell ref="C92:D92"/>
    <mergeCell ref="C93:D93"/>
    <mergeCell ref="C94:D94"/>
    <mergeCell ref="C106:D106"/>
    <mergeCell ref="A102:H102"/>
    <mergeCell ref="G104:H104"/>
    <mergeCell ref="G105:H105"/>
    <mergeCell ref="E104:F104"/>
    <mergeCell ref="C105:D105"/>
    <mergeCell ref="B127:B128"/>
    <mergeCell ref="A129:H129"/>
    <mergeCell ref="C138:H142"/>
    <mergeCell ref="A154:H154"/>
    <mergeCell ref="A155:B155"/>
    <mergeCell ref="C97:D97"/>
    <mergeCell ref="C103:D103"/>
    <mergeCell ref="C104:D104"/>
    <mergeCell ref="A77:B77"/>
    <mergeCell ref="C77:D77"/>
    <mergeCell ref="E91:F91"/>
    <mergeCell ref="E99:F99"/>
    <mergeCell ref="G99:H99"/>
    <mergeCell ref="E100:F100"/>
    <mergeCell ref="A150:B150"/>
    <mergeCell ref="A151:B151"/>
    <mergeCell ref="A152:B152"/>
    <mergeCell ref="A153:B153"/>
    <mergeCell ref="A85:B85"/>
    <mergeCell ref="F110:F111"/>
    <mergeCell ref="C95:D95"/>
    <mergeCell ref="C79:D79"/>
    <mergeCell ref="G101:H101"/>
    <mergeCell ref="E105:F105"/>
    <mergeCell ref="A178:B178"/>
    <mergeCell ref="A179:B179"/>
    <mergeCell ref="A180:B180"/>
    <mergeCell ref="A167:H167"/>
    <mergeCell ref="A168:B168"/>
    <mergeCell ref="A169:B169"/>
    <mergeCell ref="A170:B170"/>
    <mergeCell ref="A171:B171"/>
    <mergeCell ref="A176:B176"/>
    <mergeCell ref="A177:B177"/>
    <mergeCell ref="A172:B172"/>
    <mergeCell ref="A173:B173"/>
    <mergeCell ref="A175:H175"/>
    <mergeCell ref="A190:B190"/>
    <mergeCell ref="C187:H187"/>
    <mergeCell ref="A181:B181"/>
    <mergeCell ref="A182:B182"/>
    <mergeCell ref="A183:H183"/>
    <mergeCell ref="A184:B184"/>
    <mergeCell ref="A185:B185"/>
    <mergeCell ref="A186:B186"/>
    <mergeCell ref="A187:B187"/>
    <mergeCell ref="A188:B188"/>
    <mergeCell ref="A189:B189"/>
  </mergeCells>
  <dataValidations count="6">
    <dataValidation type="list" allowBlank="1" showInputMessage="1" showErrorMessage="1" sqref="A9:B9">
      <formula1>"CTS No,Survey No,Plot No,Gut No,FP No,"</formula1>
    </dataValidation>
    <dataValidation type="list" allowBlank="1" showInputMessage="1" showErrorMessage="1" sqref="B127">
      <formula1>"Flat No. (Sale Plan),Sale / Rehab,Sale / Mhada"</formula1>
    </dataValidation>
    <dataValidation type="list" allowBlank="1" showInputMessage="1" showErrorMessage="1" sqref="D110 D127">
      <formula1>"Carpet area,RERA Carpet area"</formula1>
    </dataValidation>
    <dataValidation type="list" allowBlank="1" showInputMessage="1" showErrorMessage="1" sqref="E127:E128">
      <formula1>"Fungible area, Balcony Area + Chajja Area,Cornice Area,AP Area,WS Area"</formula1>
    </dataValidation>
    <dataValidation type="list" allowBlank="1" showInputMessage="1" showErrorMessage="1" sqref="E110:E111">
      <formula1>"Attached Loft area,Attached Otla area,Attached Mezzanine area"</formula1>
    </dataValidation>
    <dataValidation type="list" allowBlank="1" showInputMessage="1" showErrorMessage="1" sqref="B110">
      <formula1>"Shop No. (Sale Plan),Sale / Rehab,Sale / Mhada"</formula1>
    </dataValidation>
  </dataValidations>
  <hyperlinks>
    <hyperlink ref="C19" r:id="rId1"/>
  </hyperlinks>
  <printOptions horizontalCentered="1"/>
  <pageMargins left="0.23622047244094491" right="0.23622047244094491" top="0.78740157480314965" bottom="0.70866141732283472" header="0.19685039370078741" footer="0.19685039370078741"/>
  <pageSetup paperSize="2" fitToHeight="0" orientation="portrait" r:id="rId2"/>
  <headerFooter>
    <oddHeader>&amp;C&amp;G</oddHeader>
    <oddFooter>&amp;L&amp;"Times New Roman,Bold"&amp;F&amp;R&amp;"Times New Roman,Bold"&amp;P</oddFooter>
  </headerFooter>
  <rowBreaks count="5" manualBreakCount="5">
    <brk id="57" max="7" man="1"/>
    <brk id="106" max="7" man="1"/>
    <brk id="205" max="7" man="1"/>
    <brk id="259" max="7" man="1"/>
    <brk id="313" max="7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="85" zoomScaleNormal="85" workbookViewId="0">
      <selection activeCell="L11" sqref="L11"/>
    </sheetView>
  </sheetViews>
  <sheetFormatPr defaultRowHeight="15" x14ac:dyDescent="0.25"/>
  <cols>
    <col min="1" max="1" width="24.140625" customWidth="1"/>
    <col min="2" max="6" width="17.5703125" customWidth="1"/>
    <col min="7" max="7" width="10.42578125" customWidth="1"/>
  </cols>
  <sheetData>
    <row r="1" spans="1:8" x14ac:dyDescent="0.25">
      <c r="A1" s="251" t="s">
        <v>112</v>
      </c>
      <c r="B1" s="252"/>
      <c r="C1" s="9" t="s">
        <v>59</v>
      </c>
      <c r="D1" s="9" t="s">
        <v>60</v>
      </c>
      <c r="E1" s="9" t="s">
        <v>61</v>
      </c>
      <c r="F1" s="10" t="s">
        <v>47</v>
      </c>
    </row>
    <row r="2" spans="1:8" x14ac:dyDescent="0.25">
      <c r="A2" s="253"/>
      <c r="B2" s="254"/>
      <c r="C2" s="7">
        <v>0</v>
      </c>
      <c r="D2" s="27">
        <v>1</v>
      </c>
      <c r="E2" s="7">
        <v>0</v>
      </c>
      <c r="F2" s="8">
        <f ca="1">--TRIM(RIGHT(SUBSTITUTE(LEFT(A1,_xlfn.AGGREGATE(16,6,FIND({0,1,2,3,4,5,6,7,8,9},A1,ROW(INDIRECT("1:"&amp;LEN(A1)))),1))," ",REPT(" ",LEN(A1))),LEN(A1)))</f>
        <v>3</v>
      </c>
    </row>
    <row r="3" spans="1:8" x14ac:dyDescent="0.25">
      <c r="A3" s="2" t="s">
        <v>62</v>
      </c>
      <c r="B3" s="3" t="s">
        <v>63</v>
      </c>
      <c r="C3" s="25" t="s">
        <v>64</v>
      </c>
      <c r="D3" s="28" t="s">
        <v>57</v>
      </c>
      <c r="E3" s="255" t="s">
        <v>131</v>
      </c>
      <c r="F3" s="256"/>
      <c r="G3" s="37" t="s">
        <v>65</v>
      </c>
      <c r="H3" s="32">
        <f ca="1">F2*25%</f>
        <v>0.75</v>
      </c>
    </row>
    <row r="4" spans="1:8" x14ac:dyDescent="0.25">
      <c r="A4" s="2" t="s">
        <v>66</v>
      </c>
      <c r="B4" s="4">
        <f ca="1">H5</f>
        <v>3</v>
      </c>
      <c r="C4" s="26">
        <f ca="1">((100/F2)*B4)/100</f>
        <v>1</v>
      </c>
      <c r="D4" s="30" t="str">
        <f ca="1">IF(C13=100%,"All work Completed. Possession granted to the Building.",IF(C12=100%,"All work Completed, Waiting for OC",D10&amp;""&amp;D11&amp;""&amp;D9&amp;""&amp;D12&amp;" "&amp;D13))</f>
        <v xml:space="preserve">Excavation, Plinth, RCC Slab, Brickwork Completed </v>
      </c>
      <c r="E4" s="257" t="str">
        <f ca="1">D4</f>
        <v xml:space="preserve">Excavation, Plinth, RCC Slab, Brickwork Completed </v>
      </c>
      <c r="F4" s="258"/>
      <c r="G4" s="1" t="s">
        <v>67</v>
      </c>
      <c r="H4" s="33">
        <f ca="1">F2*50%</f>
        <v>1.5</v>
      </c>
    </row>
    <row r="5" spans="1:8" x14ac:dyDescent="0.25">
      <c r="A5" s="2" t="s">
        <v>68</v>
      </c>
      <c r="B5" s="5">
        <f ca="1">H13</f>
        <v>3</v>
      </c>
      <c r="C5" s="26">
        <f ca="1">((100/F2)*B5)/100</f>
        <v>1</v>
      </c>
      <c r="D5" s="31"/>
      <c r="E5" s="259"/>
      <c r="F5" s="260"/>
      <c r="G5" s="1" t="s">
        <v>69</v>
      </c>
      <c r="H5" s="33">
        <f ca="1">F2</f>
        <v>3</v>
      </c>
    </row>
    <row r="6" spans="1:8" x14ac:dyDescent="0.25">
      <c r="A6" s="2" t="s">
        <v>70</v>
      </c>
      <c r="B6" s="5">
        <v>4</v>
      </c>
      <c r="C6" s="26">
        <f ca="1">((100/(D2+E2+F2))*B6)/100</f>
        <v>1</v>
      </c>
      <c r="D6" s="31"/>
      <c r="E6" s="259"/>
      <c r="F6" s="260"/>
      <c r="G6" s="1" t="s">
        <v>71</v>
      </c>
      <c r="H6" s="34">
        <f ca="1">(IF(C2&gt;1,(F2/(C2+2)),F2/4))</f>
        <v>0.75</v>
      </c>
    </row>
    <row r="7" spans="1:8" x14ac:dyDescent="0.25">
      <c r="A7" s="2" t="s">
        <v>72</v>
      </c>
      <c r="B7" s="4">
        <v>3</v>
      </c>
      <c r="C7" s="26">
        <f ca="1">((100/F2)*B7)/100</f>
        <v>1</v>
      </c>
      <c r="D7" s="31"/>
      <c r="E7" s="259"/>
      <c r="F7" s="260"/>
      <c r="G7" s="1" t="s">
        <v>73</v>
      </c>
      <c r="H7" s="34">
        <f ca="1">(IF(C2&gt;1,(F2/(C2+2)+H6),F2/4+H6))</f>
        <v>1.5</v>
      </c>
    </row>
    <row r="8" spans="1:8" x14ac:dyDescent="0.25">
      <c r="A8" s="2" t="s">
        <v>74</v>
      </c>
      <c r="B8" s="4">
        <v>0</v>
      </c>
      <c r="C8" s="26">
        <f ca="1">((100/F2)*B8)/100</f>
        <v>0</v>
      </c>
      <c r="D8" s="29">
        <f ca="1">(((B5/F2*10)+(40/(D2+E2+F2)*B6)+(15/(F2)*B7)+(5/(F2)*B8)+(5/F2*B9)+(10/F2*B10)+(5/F2*B11)+(5/F2*B12)+(5/F2*B13))/100)</f>
        <v>0.65</v>
      </c>
      <c r="E8" s="259"/>
      <c r="F8" s="260"/>
      <c r="G8" s="1" t="s">
        <v>75</v>
      </c>
      <c r="H8" s="34">
        <f>(IF(C2&gt;1,(F2/(C2+2)+H7),0))</f>
        <v>0</v>
      </c>
    </row>
    <row r="9" spans="1:8" x14ac:dyDescent="0.25">
      <c r="A9" s="2" t="s">
        <v>76</v>
      </c>
      <c r="B9" s="4">
        <v>0</v>
      </c>
      <c r="C9" s="26">
        <f ca="1">((100/(F2))*B9)/100</f>
        <v>0</v>
      </c>
      <c r="D9" s="31" t="str">
        <f ca="1">(IF(B4=0,"Work not yet Started.",IF(C4=25%,"Piling work in process",IF(C4=50%,"Excavation work in process",IF(C4=100%,"","0")))))&amp;(IF(B5=0%,"",IF(B5=H6,", Footing work is process",IF(B5=H7,", Footing work Completed",IF(B5=H8,", 1st Basement Completed",IF(B5=H9,", 1st &amp; 2nd Basement Completed",IF(B5=H10,", 1st to 3rd Basement Completed",IF(B5=H11,", 1st to 4th Basement Completed",IF(B5=H12,", Plinth work is process",IF(B5=H13,"","0"))))))))))</f>
        <v/>
      </c>
      <c r="E9" s="259"/>
      <c r="F9" s="260"/>
      <c r="G9" s="1" t="s">
        <v>77</v>
      </c>
      <c r="H9" s="34">
        <f>(IF(C2&gt;2,(F2/(C2+2)+H8),0))</f>
        <v>0</v>
      </c>
    </row>
    <row r="10" spans="1:8" x14ac:dyDescent="0.25">
      <c r="A10" s="2" t="s">
        <v>78</v>
      </c>
      <c r="B10" s="4">
        <v>0</v>
      </c>
      <c r="C10" s="26">
        <f ca="1">((100/F2)*B10)/100</f>
        <v>0</v>
      </c>
      <c r="D10" s="31" t="str">
        <f ca="1">IF(C4=100%,"Excavation","")&amp;IF(C5=100%,", Plinth","")&amp;IF(C6=100%,", RCC Slab","")&amp;IF(C7=100%,", Brickwork","")&amp;IF(C8=100%,", Internal Plaster","")&amp;IF(C9=100%,", External Plaster","")&amp;IF(C10=100%,", Flooring","")&amp;IF(C11=100%,", Painting","")&amp;IF(C12=100%,", Building common Amenities","")</f>
        <v>Excavation, Plinth, RCC Slab, Brickwork</v>
      </c>
      <c r="E10" s="259"/>
      <c r="F10" s="260"/>
      <c r="G10" s="1" t="s">
        <v>79</v>
      </c>
      <c r="H10" s="35">
        <f>(IF(C2&gt;3,(F2/(C2+2)+H9),0))</f>
        <v>0</v>
      </c>
    </row>
    <row r="11" spans="1:8" x14ac:dyDescent="0.25">
      <c r="A11" s="2" t="s">
        <v>80</v>
      </c>
      <c r="B11" s="4">
        <v>0</v>
      </c>
      <c r="C11" s="26">
        <f ca="1">((100/F2)*B11)/100</f>
        <v>0</v>
      </c>
      <c r="D11" s="31" t="str">
        <f ca="1">IF(D10&lt;&gt;""," Completed","")</f>
        <v xml:space="preserve"> Completed</v>
      </c>
      <c r="E11" s="259"/>
      <c r="F11" s="260"/>
      <c r="G11" s="1" t="s">
        <v>81</v>
      </c>
      <c r="H11" s="34">
        <f>(IF(C2&gt;4,(F2/(C2+2)+H10),0))</f>
        <v>0</v>
      </c>
    </row>
    <row r="12" spans="1:8" x14ac:dyDescent="0.25">
      <c r="A12" s="2" t="s">
        <v>82</v>
      </c>
      <c r="B12" s="4">
        <v>0</v>
      </c>
      <c r="C12" s="26">
        <f ca="1">((100/(F2))*B12)/100</f>
        <v>0</v>
      </c>
      <c r="D12" s="31" t="str">
        <f ca="1">(IF(B6=(D2+E2+F2),"",IF(B6&gt;0,", RCC upto "&amp;B6&amp;" Slab","")))&amp;(IF(B7=F2,"",IF(B7&gt;0,", Brickwork upto "&amp;B7&amp;" Floor","")))&amp;(IF(B8=F2,"",IF(B8&gt;0,", Internal Plaster upto "&amp;B8&amp;" Floor","")))&amp;(IF(B9=F2,"",IF(B9&gt;0,", External Plaster upto "&amp;B9&amp;" Floor","")))&amp;(IF(B10=F2,"",IF(B10&gt;0,", Flooring upto "&amp;B10&amp;" Floor","")))&amp;(IF(B11=F2,"",IF(B11&gt;0,", Painting upto "&amp;B11&amp;" Floor","")))&amp;(IF(B12=F2,"",IF(B12&gt;0,", Finishing upto "&amp;B12&amp;" Floor","")))&amp;(IF(B13=F2,"",IF(B13&gt;0,", Possession upto "&amp;B13&amp;" Floor","")))</f>
        <v/>
      </c>
      <c r="E12" s="259"/>
      <c r="F12" s="260"/>
      <c r="G12" s="1" t="s">
        <v>83</v>
      </c>
      <c r="H12" s="34">
        <f ca="1">(IF(C2=1,(F2/(C2+3)+H7),IF(C2=0,(F2/4+H7),IF(C2&gt;1,0))))</f>
        <v>2.25</v>
      </c>
    </row>
    <row r="13" spans="1:8" ht="15.75" thickBot="1" x14ac:dyDescent="0.3">
      <c r="A13" s="39" t="s">
        <v>84</v>
      </c>
      <c r="B13" s="40">
        <v>0</v>
      </c>
      <c r="C13" s="41">
        <f ca="1">((100/(F2))*B13)/100</f>
        <v>0</v>
      </c>
      <c r="D13" s="42" t="str">
        <f ca="1">IF(D12&lt;&gt;"","Completed","")</f>
        <v/>
      </c>
      <c r="E13" s="261"/>
      <c r="F13" s="262"/>
      <c r="G13" s="38" t="s">
        <v>85</v>
      </c>
      <c r="H13" s="36">
        <f ca="1">(IF(C2&gt;1.5,(F2/(C2+2)+H7+MAX(0,H8-H7)+MAX(0,H9-H8)+MAX(0,H10-H9)+MAX(0,H11-H10)+MAX(0,H12-H11)),IF(C2=1,(F2/(C2+3)+H12),IF(C2=0,F2/4+H12))))</f>
        <v>3</v>
      </c>
    </row>
  </sheetData>
  <mergeCells count="3">
    <mergeCell ref="A1:B2"/>
    <mergeCell ref="E3:F3"/>
    <mergeCell ref="E4:F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C%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MANGESH AMDEKAR</dc:creator>
  <cp:lastModifiedBy>VSJC</cp:lastModifiedBy>
  <cp:lastPrinted>2025-05-15T06:01:06Z</cp:lastPrinted>
  <dcterms:created xsi:type="dcterms:W3CDTF">2019-01-21T04:29:02Z</dcterms:created>
  <dcterms:modified xsi:type="dcterms:W3CDTF">2025-10-04T10:31:17Z</dcterms:modified>
</cp:coreProperties>
</file>