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D:\April 2025\Old\"/>
    </mc:Choice>
  </mc:AlternateContent>
  <xr:revisionPtr revIDLastSave="0" documentId="13_ncr:1_{37D1F2F0-DC39-4E6E-867D-A9BACCC9D39D}" xr6:coauthVersionLast="47" xr6:coauthVersionMax="47" xr10:uidLastSave="{00000000-0000-0000-0000-000000000000}"/>
  <bookViews>
    <workbookView xWindow="-120" yWindow="-120" windowWidth="20730" windowHeight="11160" xr2:uid="{00000000-000D-0000-FFFF-FFFF00000000}"/>
  </bookViews>
  <sheets>
    <sheet name="Report" sheetId="1" r:id="rId1"/>
    <sheet name="C%" sheetId="4" r:id="rId2"/>
  </sheets>
  <definedNames>
    <definedName name="_xlnm.Print_Area" localSheetId="0">Report!$A$1:$F$379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8" i="1" l="1"/>
  <c r="C211" i="1"/>
  <c r="G128" i="1"/>
  <c r="C221" i="1" l="1"/>
  <c r="E221" i="1" s="1"/>
  <c r="C220" i="1"/>
  <c r="E220" i="1" s="1"/>
  <c r="C219" i="1"/>
  <c r="E219" i="1" s="1"/>
  <c r="C218" i="1"/>
  <c r="E218" i="1" s="1"/>
  <c r="C217" i="1"/>
  <c r="E217" i="1" s="1"/>
  <c r="C216" i="1"/>
  <c r="E216" i="1" s="1"/>
  <c r="C214" i="1"/>
  <c r="E214" i="1" s="1"/>
  <c r="C213" i="1"/>
  <c r="E213" i="1" s="1"/>
  <c r="C212" i="1"/>
  <c r="E212" i="1" s="1"/>
  <c r="E211" i="1"/>
  <c r="A211" i="1"/>
  <c r="C209" i="1"/>
  <c r="E209" i="1" s="1"/>
  <c r="C208" i="1"/>
  <c r="E208" i="1" s="1"/>
  <c r="C207" i="1"/>
  <c r="C206" i="1"/>
  <c r="E206" i="1" s="1"/>
  <c r="C205" i="1"/>
  <c r="C204" i="1"/>
  <c r="E204" i="1" s="1"/>
  <c r="C203" i="1"/>
  <c r="E203" i="1" s="1"/>
  <c r="C202" i="1"/>
  <c r="E202" i="1" s="1"/>
  <c r="C201" i="1"/>
  <c r="E201" i="1" s="1"/>
  <c r="C200" i="1"/>
  <c r="E200" i="1" s="1"/>
  <c r="C199" i="1"/>
  <c r="E199" i="1" s="1"/>
  <c r="C195" i="1"/>
  <c r="E195" i="1" s="1"/>
  <c r="C192" i="1"/>
  <c r="E192" i="1" s="1"/>
  <c r="C191" i="1"/>
  <c r="E191" i="1" s="1"/>
  <c r="C190" i="1"/>
  <c r="C189" i="1"/>
  <c r="E189" i="1" s="1"/>
  <c r="C188" i="1"/>
  <c r="E188" i="1" s="1"/>
  <c r="C187" i="1"/>
  <c r="E187" i="1" s="1"/>
  <c r="G173" i="1"/>
  <c r="E207" i="1"/>
  <c r="A199" i="1"/>
  <c r="C197" i="1"/>
  <c r="E197" i="1" s="1"/>
  <c r="C196" i="1"/>
  <c r="E196" i="1" s="1"/>
  <c r="C194" i="1"/>
  <c r="C193" i="1"/>
  <c r="D194" i="1"/>
  <c r="D193" i="1"/>
  <c r="G179" i="1"/>
  <c r="A187" i="1"/>
  <c r="C183" i="1"/>
  <c r="E183" i="1" s="1"/>
  <c r="C182" i="1"/>
  <c r="E182" i="1" s="1"/>
  <c r="C180" i="1"/>
  <c r="C179" i="1"/>
  <c r="E179" i="1" s="1"/>
  <c r="C178" i="1"/>
  <c r="E178" i="1" s="1"/>
  <c r="C177" i="1"/>
  <c r="E177" i="1" s="1"/>
  <c r="C176" i="1"/>
  <c r="E176" i="1" s="1"/>
  <c r="C175" i="1"/>
  <c r="E175" i="1" s="1"/>
  <c r="C174" i="1"/>
  <c r="E174" i="1" s="1"/>
  <c r="C173" i="1"/>
  <c r="E173" i="1" s="1"/>
  <c r="A173" i="1"/>
  <c r="C171" i="1"/>
  <c r="C170" i="1"/>
  <c r="E170" i="1" s="1"/>
  <c r="C169" i="1"/>
  <c r="E169" i="1" s="1"/>
  <c r="C168" i="1"/>
  <c r="E168" i="1" s="1"/>
  <c r="C167" i="1"/>
  <c r="C166" i="1"/>
  <c r="C165" i="1"/>
  <c r="C164" i="1"/>
  <c r="C163" i="1"/>
  <c r="C162" i="1"/>
  <c r="C161" i="1"/>
  <c r="A161" i="1"/>
  <c r="C156" i="1"/>
  <c r="E156" i="1" s="1"/>
  <c r="C155" i="1"/>
  <c r="E155" i="1" s="1"/>
  <c r="C154" i="1"/>
  <c r="E154" i="1" s="1"/>
  <c r="C153" i="1"/>
  <c r="E153" i="1" s="1"/>
  <c r="C152" i="1"/>
  <c r="C151" i="1"/>
  <c r="E151" i="1" s="1"/>
  <c r="C150" i="1"/>
  <c r="E150" i="1" s="1"/>
  <c r="A150" i="1"/>
  <c r="H127" i="1"/>
  <c r="G142" i="1"/>
  <c r="G140" i="1"/>
  <c r="C148" i="1"/>
  <c r="C147" i="1"/>
  <c r="C146" i="1"/>
  <c r="C145" i="1"/>
  <c r="C144" i="1"/>
  <c r="C143" i="1"/>
  <c r="C142" i="1"/>
  <c r="C141" i="1"/>
  <c r="A141" i="1"/>
  <c r="C131" i="1"/>
  <c r="G130" i="1"/>
  <c r="G129" i="1"/>
  <c r="C133" i="1"/>
  <c r="E133" i="1" s="1"/>
  <c r="G132" i="1"/>
  <c r="C129" i="1"/>
  <c r="C128" i="1"/>
  <c r="C132" i="1"/>
  <c r="C130" i="1"/>
  <c r="C127" i="1"/>
  <c r="C126" i="1"/>
  <c r="D22" i="4"/>
  <c r="D21" i="4"/>
  <c r="D20" i="4"/>
  <c r="D19" i="4"/>
  <c r="D18" i="4"/>
  <c r="D17" i="4"/>
  <c r="D16" i="4"/>
  <c r="D15" i="4"/>
  <c r="G127" i="1"/>
  <c r="G113" i="1"/>
  <c r="B111" i="1" l="1"/>
  <c r="B112" i="1" s="1"/>
  <c r="C111" i="1"/>
  <c r="C115" i="1"/>
  <c r="B115" i="1"/>
  <c r="B116" i="1"/>
  <c r="C116" i="1"/>
  <c r="C117" i="1"/>
  <c r="B117" i="1"/>
  <c r="E205" i="1"/>
  <c r="E132" i="1"/>
  <c r="E152" i="1"/>
  <c r="E171" i="1"/>
  <c r="E190" i="1"/>
  <c r="E180" i="1"/>
  <c r="E194" i="1"/>
  <c r="E193" i="1"/>
  <c r="E131" i="1"/>
  <c r="E130" i="1"/>
  <c r="E129" i="1"/>
  <c r="E128" i="1"/>
  <c r="E127" i="1"/>
  <c r="E126" i="1"/>
  <c r="A126" i="1"/>
  <c r="E117" i="1" l="1"/>
  <c r="E111" i="1"/>
  <c r="C118" i="1"/>
  <c r="B118" i="1"/>
  <c r="B119" i="1" s="1"/>
  <c r="C112" i="1"/>
  <c r="H94" i="1"/>
  <c r="H93" i="1"/>
  <c r="H92" i="1"/>
  <c r="H91" i="1"/>
  <c r="H80" i="1"/>
  <c r="H79" i="1"/>
  <c r="H78" i="1"/>
  <c r="H77" i="1"/>
  <c r="F71" i="1"/>
  <c r="F85" i="1"/>
  <c r="C119" i="1" l="1"/>
  <c r="H88" i="1"/>
  <c r="D88" i="1"/>
  <c r="E88" i="1"/>
  <c r="D97" i="1"/>
  <c r="D95" i="1"/>
  <c r="D93" i="1"/>
  <c r="D91" i="1"/>
  <c r="D89" i="1"/>
  <c r="H86" i="1"/>
  <c r="H89" i="1"/>
  <c r="H90" i="1" s="1"/>
  <c r="H95" i="1" s="1"/>
  <c r="H96" i="1" s="1"/>
  <c r="H87" i="1"/>
  <c r="D96" i="1"/>
  <c r="D94" i="1"/>
  <c r="D92" i="1"/>
  <c r="D90" i="1"/>
  <c r="D83" i="1"/>
  <c r="D81" i="1"/>
  <c r="D79" i="1"/>
  <c r="D77" i="1"/>
  <c r="D75" i="1"/>
  <c r="H72" i="1"/>
  <c r="H75" i="1"/>
  <c r="H76" i="1" s="1"/>
  <c r="H81" i="1" s="1"/>
  <c r="H82" i="1" s="1"/>
  <c r="H73" i="1"/>
  <c r="D82" i="1"/>
  <c r="D80" i="1"/>
  <c r="D78" i="1"/>
  <c r="D76" i="1"/>
  <c r="E74" i="1"/>
  <c r="H74" i="1"/>
  <c r="D74" i="1"/>
  <c r="G69" i="1" l="1"/>
  <c r="B72" i="1" s="1"/>
  <c r="G83" i="1"/>
  <c r="B86" i="1" s="1"/>
  <c r="E39" i="1" l="1"/>
  <c r="G34" i="1"/>
  <c r="B8" i="1" l="1"/>
  <c r="H66" i="1" l="1"/>
  <c r="H65" i="1"/>
  <c r="H64" i="1"/>
  <c r="H63" i="1"/>
  <c r="F57" i="1"/>
  <c r="H60" i="1" l="1"/>
  <c r="H58" i="1"/>
  <c r="D64" i="1"/>
  <c r="D69" i="1"/>
  <c r="D63" i="1"/>
  <c r="H61" i="1"/>
  <c r="H62" i="1" s="1"/>
  <c r="H67" i="1" s="1"/>
  <c r="H68" i="1" s="1"/>
  <c r="D61" i="1"/>
  <c r="E60" i="1"/>
  <c r="D65" i="1"/>
  <c r="D68" i="1"/>
  <c r="D62" i="1"/>
  <c r="D66" i="1"/>
  <c r="D60" i="1"/>
  <c r="D67" i="1"/>
  <c r="H59" i="1"/>
  <c r="G55" i="1" l="1"/>
  <c r="B58" i="1" s="1"/>
  <c r="E167" i="1" l="1"/>
  <c r="E166" i="1"/>
  <c r="E165" i="1"/>
  <c r="E164" i="1"/>
  <c r="E163" i="1"/>
  <c r="E162" i="1"/>
  <c r="E161" i="1"/>
  <c r="E142" i="1"/>
  <c r="E143" i="1"/>
  <c r="E144" i="1"/>
  <c r="E145" i="1"/>
  <c r="E146" i="1"/>
  <c r="E147" i="1"/>
  <c r="E148" i="1"/>
  <c r="E141" i="1"/>
  <c r="E116" i="1" l="1"/>
  <c r="E115" i="1"/>
  <c r="E112" i="1"/>
  <c r="E40" i="1"/>
  <c r="E118" i="1" l="1"/>
  <c r="E119" i="1" s="1"/>
  <c r="F5" i="1"/>
  <c r="E41" i="1" l="1"/>
  <c r="H42" i="1" s="1"/>
  <c r="H11" i="4" l="1"/>
  <c r="H10" i="4"/>
  <c r="H9" i="4"/>
  <c r="H8" i="4"/>
  <c r="F2" i="4"/>
  <c r="C12" i="4" l="1"/>
  <c r="C8" i="4"/>
  <c r="C11" i="4"/>
  <c r="C7" i="4"/>
  <c r="H6" i="4"/>
  <c r="H7" i="4" s="1"/>
  <c r="H12" i="4" s="1"/>
  <c r="H13" i="4" s="1"/>
  <c r="B5" i="4" s="1"/>
  <c r="C13" i="4"/>
  <c r="H3" i="4"/>
  <c r="H4" i="4"/>
  <c r="C10" i="4"/>
  <c r="D12" i="4"/>
  <c r="C9" i="4"/>
  <c r="H5" i="4"/>
  <c r="B4" i="4" s="1"/>
  <c r="C4" i="4" l="1"/>
  <c r="D9" i="4" s="1"/>
  <c r="C6" i="4"/>
  <c r="D13" i="4"/>
  <c r="D8" i="4"/>
  <c r="C5" i="4"/>
  <c r="D10" i="4" l="1"/>
  <c r="D11" i="4" l="1"/>
  <c r="D4" i="4" s="1"/>
  <c r="E4" i="4" s="1"/>
  <c r="B22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Windows User</author>
  </authors>
  <commentList>
    <comment ref="A9" authorId="0" shapeId="0" xr:uid="{00000000-0006-0000-0000-000001000000}">
      <text>
        <r>
          <rPr>
            <b/>
            <sz val="9"/>
            <color indexed="81"/>
            <rFont val="Tahoma"/>
            <family val="2"/>
          </rPr>
          <t>SACHIN:</t>
        </r>
        <r>
          <rPr>
            <sz val="9"/>
            <color indexed="81"/>
            <rFont val="Tahoma"/>
            <family val="2"/>
          </rPr>
          <t xml:space="preserve">
As per CC</t>
        </r>
      </text>
    </comment>
    <comment ref="B9" authorId="0" shapeId="0" xr:uid="{00000000-0006-0000-0000-000002000000}">
      <text>
        <r>
          <rPr>
            <b/>
            <sz val="9"/>
            <color indexed="81"/>
            <rFont val="Tahoma"/>
            <family val="2"/>
          </rPr>
          <t>Take address from CC</t>
        </r>
      </text>
    </comment>
    <comment ref="B21" authorId="0" shapeId="0" xr:uid="{00000000-0006-0000-0000-000003000000}">
      <text>
        <r>
          <rPr>
            <b/>
            <sz val="9"/>
            <color indexed="81"/>
            <rFont val="Tahoma"/>
            <family val="2"/>
          </rPr>
          <t>Builder's office address from RERA</t>
        </r>
        <r>
          <rPr>
            <sz val="9"/>
            <color indexed="81"/>
            <rFont val="Tahoma"/>
            <family val="2"/>
          </rPr>
          <t xml:space="preserve">
</t>
        </r>
      </text>
    </comment>
    <comment ref="B24" authorId="0" shapeId="0" xr:uid="{00000000-0006-0000-0000-000004000000}">
      <text>
        <r>
          <rPr>
            <b/>
            <sz val="9"/>
            <color indexed="81"/>
            <rFont val="Tahoma"/>
            <family val="2"/>
          </rPr>
          <t>Provided during initiation</t>
        </r>
        <r>
          <rPr>
            <sz val="9"/>
            <color indexed="81"/>
            <rFont val="Tahoma"/>
            <family val="2"/>
          </rPr>
          <t xml:space="preserve">
</t>
        </r>
      </text>
    </comment>
    <comment ref="B25" authorId="1" shapeId="0" xr:uid="{00000000-0006-0000-0000-000005000000}">
      <text>
        <r>
          <rPr>
            <b/>
            <sz val="11"/>
            <color indexed="81"/>
            <rFont val="Tahoma"/>
            <family val="2"/>
          </rPr>
          <t xml:space="preserve">Authority
</t>
        </r>
      </text>
    </comment>
    <comment ref="B26" authorId="0" shapeId="0" xr:uid="{00000000-0006-0000-0000-000006000000}">
      <text>
        <r>
          <rPr>
            <b/>
            <sz val="9"/>
            <color indexed="81"/>
            <rFont val="Tahoma"/>
            <family val="2"/>
          </rPr>
          <t>Apartments or 
Apartments + Shops</t>
        </r>
      </text>
    </comment>
    <comment ref="E28" authorId="0" shapeId="0" xr:uid="{00000000-0006-0000-0000-000007000000}">
      <text>
        <r>
          <rPr>
            <b/>
            <sz val="9"/>
            <color indexed="81"/>
            <rFont val="Tahoma"/>
            <family val="2"/>
          </rPr>
          <t>15% of Total No of Flats</t>
        </r>
        <r>
          <rPr>
            <sz val="9"/>
            <color indexed="81"/>
            <rFont val="Tahoma"/>
            <family val="2"/>
          </rPr>
          <t xml:space="preserve">
</t>
        </r>
      </text>
    </comment>
    <comment ref="C30" authorId="0" shapeId="0" xr:uid="{00000000-0006-0000-0000-000008000000}">
      <text>
        <r>
          <rPr>
            <b/>
            <sz val="9"/>
            <color indexed="81"/>
            <rFont val="Tahoma"/>
            <family val="2"/>
          </rPr>
          <t>If Sale deed is provided</t>
        </r>
        <r>
          <rPr>
            <sz val="9"/>
            <color indexed="81"/>
            <rFont val="Tahoma"/>
            <family val="2"/>
          </rPr>
          <t xml:space="preserve">
</t>
        </r>
      </text>
    </comment>
    <comment ref="D30" authorId="0" shapeId="0" xr:uid="{00000000-0006-0000-0000-000009000000}">
      <text>
        <r>
          <rPr>
            <b/>
            <sz val="9"/>
            <color indexed="81"/>
            <rFont val="Tahoma"/>
            <family val="2"/>
          </rPr>
          <t>If Sale deed is provided</t>
        </r>
        <r>
          <rPr>
            <sz val="9"/>
            <color indexed="81"/>
            <rFont val="Tahoma"/>
            <family val="2"/>
          </rPr>
          <t xml:space="preserve">
</t>
        </r>
      </text>
    </comment>
    <comment ref="E30" authorId="0" shapeId="0" xr:uid="{00000000-0006-0000-0000-00000A000000}">
      <text>
        <r>
          <rPr>
            <b/>
            <sz val="9"/>
            <color indexed="81"/>
            <rFont val="Tahoma"/>
            <family val="2"/>
          </rPr>
          <t>If Sale deed is provided</t>
        </r>
        <r>
          <rPr>
            <sz val="9"/>
            <color indexed="81"/>
            <rFont val="Tahoma"/>
            <family val="2"/>
          </rPr>
          <t xml:space="preserve">
</t>
        </r>
      </text>
    </comment>
    <comment ref="F30" authorId="0" shapeId="0" xr:uid="{00000000-0006-0000-0000-00000B000000}">
      <text>
        <r>
          <rPr>
            <b/>
            <sz val="9"/>
            <color indexed="81"/>
            <rFont val="Tahoma"/>
            <family val="2"/>
          </rPr>
          <t>If Sale deed is provided</t>
        </r>
        <r>
          <rPr>
            <sz val="9"/>
            <color indexed="81"/>
            <rFont val="Tahoma"/>
            <family val="2"/>
          </rPr>
          <t xml:space="preserve">
</t>
        </r>
      </text>
    </comment>
    <comment ref="B45" authorId="0" shapeId="0" xr:uid="{00000000-0006-0000-0000-00000C000000}">
      <text>
        <r>
          <rPr>
            <b/>
            <sz val="9"/>
            <color indexed="81"/>
            <rFont val="Tahoma"/>
            <family val="2"/>
          </rPr>
          <t>height should also be mentioned</t>
        </r>
      </text>
    </comment>
    <comment ref="B54" authorId="0" shapeId="0" xr:uid="{00000000-0006-0000-0000-00000D000000}">
      <text>
        <r>
          <rPr>
            <b/>
            <sz val="9"/>
            <color indexed="81"/>
            <rFont val="Tahoma"/>
            <family val="2"/>
          </rPr>
          <t>RERA Start date</t>
        </r>
      </text>
    </comment>
    <comment ref="D54" authorId="0" shapeId="0" xr:uid="{00000000-0006-0000-0000-00000E000000}">
      <text>
        <r>
          <rPr>
            <b/>
            <sz val="9"/>
            <color indexed="81"/>
            <rFont val="Tahoma"/>
            <family val="2"/>
          </rPr>
          <t>RERA completion date</t>
        </r>
      </text>
    </comment>
    <comment ref="F100" authorId="0" shapeId="0" xr:uid="{00000000-0006-0000-0000-00000F000000}">
      <text>
        <r>
          <rPr>
            <b/>
            <sz val="9"/>
            <color indexed="81"/>
            <rFont val="Tahoma"/>
            <family val="2"/>
          </rPr>
          <t>if multiple buildings are in project and are connected internally</t>
        </r>
      </text>
    </comment>
    <comment ref="B102" authorId="0" shapeId="0" xr:uid="{00000000-0006-0000-0000-000010000000}">
      <text>
        <r>
          <rPr>
            <b/>
            <sz val="9"/>
            <color indexed="81"/>
            <rFont val="Tahoma"/>
            <family val="2"/>
          </rPr>
          <t>AAC Block or Brick</t>
        </r>
      </text>
    </comment>
    <comment ref="F104" authorId="0" shapeId="0" xr:uid="{00000000-0006-0000-0000-000011000000}">
      <text>
        <r>
          <rPr>
            <b/>
            <sz val="9"/>
            <color indexed="81"/>
            <rFont val="Tahoma"/>
            <family val="2"/>
          </rPr>
          <t>If present on slopy area</t>
        </r>
        <r>
          <rPr>
            <sz val="9"/>
            <color indexed="81"/>
            <rFont val="Tahoma"/>
            <family val="2"/>
          </rPr>
          <t xml:space="preserve">
</t>
        </r>
      </text>
    </comment>
  </commentList>
</comments>
</file>

<file path=xl/sharedStrings.xml><?xml version="1.0" encoding="utf-8"?>
<sst xmlns="http://schemas.openxmlformats.org/spreadsheetml/2006/main" count="486" uniqueCount="275">
  <si>
    <t>Name of the project</t>
  </si>
  <si>
    <t xml:space="preserve">Address </t>
  </si>
  <si>
    <t>Name of the builder / developer</t>
  </si>
  <si>
    <t xml:space="preserve">Office address (agreement) </t>
  </si>
  <si>
    <t>Builder Bank Details</t>
  </si>
  <si>
    <t>Contact No.</t>
  </si>
  <si>
    <t>Village</t>
  </si>
  <si>
    <t>Other HFC's Approval / Funding</t>
  </si>
  <si>
    <t>No. of Tenements / Units in Project</t>
  </si>
  <si>
    <t>Verification of the schedule of the property</t>
  </si>
  <si>
    <t>Sale deed</t>
  </si>
  <si>
    <t>Physical on site</t>
  </si>
  <si>
    <t>North</t>
  </si>
  <si>
    <t>South</t>
  </si>
  <si>
    <t>East</t>
  </si>
  <si>
    <t>West</t>
  </si>
  <si>
    <t>Verification of survey No. (Title document)</t>
  </si>
  <si>
    <t xml:space="preserve">Approach road </t>
  </si>
  <si>
    <t>Yes/No</t>
  </si>
  <si>
    <t>Layout approval if applicable</t>
  </si>
  <si>
    <t>Building height / No. of Floors</t>
  </si>
  <si>
    <t>Construction/Building Permission</t>
  </si>
  <si>
    <t>NA / Land conversion</t>
  </si>
  <si>
    <t>Other statutory permissions (Fire NOC/ Environmental Clearance/ Airport NOC)</t>
  </si>
  <si>
    <t>CONSTRUCTION PROGRESS</t>
  </si>
  <si>
    <t>Baseline start date</t>
  </si>
  <si>
    <t>Baseline finish date</t>
  </si>
  <si>
    <t>General comment on progress</t>
  </si>
  <si>
    <t>QUALITY/NDMC Parameters</t>
  </si>
  <si>
    <t>Type of Structure</t>
  </si>
  <si>
    <t>Expansion Joint Available</t>
  </si>
  <si>
    <t>Mortar Type</t>
  </si>
  <si>
    <t>Flood Prone Area</t>
  </si>
  <si>
    <t>Masonry Type</t>
  </si>
  <si>
    <t>Projected Parts Available</t>
  </si>
  <si>
    <t>Footing Type</t>
  </si>
  <si>
    <t>Fire Exit Available</t>
  </si>
  <si>
    <t>Soil Type</t>
  </si>
  <si>
    <t>Ground Slope &gt;20%</t>
  </si>
  <si>
    <t>Concrete Grade</t>
  </si>
  <si>
    <t>Ground Slope Vulnerable to land slide</t>
  </si>
  <si>
    <t>Steel Grade</t>
  </si>
  <si>
    <t>Soil liquefiable</t>
  </si>
  <si>
    <t>Cyclone Zone-Wind speed (m/s)</t>
  </si>
  <si>
    <t>Coastal regulatory Zone</t>
  </si>
  <si>
    <t>Seismic Zone</t>
  </si>
  <si>
    <t>Environment exposure condition</t>
  </si>
  <si>
    <t>BUILDING / BLOCK - Configuration Details</t>
  </si>
  <si>
    <t>Floors</t>
  </si>
  <si>
    <t>Flat / Unit No</t>
  </si>
  <si>
    <t>REMARKS ON RECOMMENDATION</t>
  </si>
  <si>
    <t>RERA No.-</t>
  </si>
  <si>
    <t>Cement &amp; Sand</t>
  </si>
  <si>
    <t>RCC</t>
  </si>
  <si>
    <t>Yes</t>
  </si>
  <si>
    <t>No</t>
  </si>
  <si>
    <t>Moderate</t>
  </si>
  <si>
    <t>III</t>
  </si>
  <si>
    <t>1BHK</t>
  </si>
  <si>
    <t>Progress %</t>
  </si>
  <si>
    <t>Construction details:</t>
  </si>
  <si>
    <t>Basement</t>
  </si>
  <si>
    <t>Ground</t>
  </si>
  <si>
    <t>Podium</t>
  </si>
  <si>
    <t>Type of Work</t>
  </si>
  <si>
    <t>Slab/Floor</t>
  </si>
  <si>
    <t>Complition %</t>
  </si>
  <si>
    <t>Piling Work in process</t>
  </si>
  <si>
    <t>Excavation</t>
  </si>
  <si>
    <t>Excavation in process</t>
  </si>
  <si>
    <t>Plinth</t>
  </si>
  <si>
    <t>Excavation Completed</t>
  </si>
  <si>
    <t>RCC (Including podiums)</t>
  </si>
  <si>
    <t>Footing in Process</t>
  </si>
  <si>
    <t>Brickwork</t>
  </si>
  <si>
    <t>Footing Completed</t>
  </si>
  <si>
    <t>Internal Plaster</t>
  </si>
  <si>
    <t>Basement 1</t>
  </si>
  <si>
    <t>Ext. Plaster &amp; Plumbing</t>
  </si>
  <si>
    <t>Basement 2</t>
  </si>
  <si>
    <t>Flooring &amp; Fitting</t>
  </si>
  <si>
    <t>Basement 3</t>
  </si>
  <si>
    <t>Painting &amp; Wooden</t>
  </si>
  <si>
    <t>Basement 4</t>
  </si>
  <si>
    <t>Building Common Amenities</t>
  </si>
  <si>
    <t>Plinth in process</t>
  </si>
  <si>
    <t>Possession</t>
  </si>
  <si>
    <t>Plinth completed</t>
  </si>
  <si>
    <t xml:space="preserve">APF Valuation Report </t>
  </si>
  <si>
    <t>Approved Plan</t>
  </si>
  <si>
    <t>Location of the project 
Municipal Limit :</t>
  </si>
  <si>
    <t>Project Type
(Apartments/Plot/ Combined)</t>
  </si>
  <si>
    <t>Geo Coordinates</t>
  </si>
  <si>
    <t>Landmark</t>
  </si>
  <si>
    <t>None</t>
  </si>
  <si>
    <t>No of Wings / Buildings</t>
  </si>
  <si>
    <t>Description</t>
  </si>
  <si>
    <t>Yes, Approx 9ft</t>
  </si>
  <si>
    <t xml:space="preserve">Approval Detail : Plan approval </t>
  </si>
  <si>
    <t>Total land area of the project in Sq. Mt.</t>
  </si>
  <si>
    <t>Permissible FSI</t>
  </si>
  <si>
    <t>Permissible TDR/Paid FSI</t>
  </si>
  <si>
    <t>Total FSI availaible for the project</t>
  </si>
  <si>
    <t>Total Approved Builtup area of the project (Sq.Mt)</t>
  </si>
  <si>
    <t>Building plan approvals - Approval No :</t>
  </si>
  <si>
    <t>Project Details</t>
  </si>
  <si>
    <t xml:space="preserve">Name of Valuation Agency </t>
  </si>
  <si>
    <t>Date of
Initiation</t>
  </si>
  <si>
    <t>Date &amp; Time of Site Visit</t>
  </si>
  <si>
    <t>Date of Report
Release</t>
  </si>
  <si>
    <t xml:space="preserve">Branch Name/ID </t>
  </si>
  <si>
    <t>Name of the person met at site &amp; Contact No</t>
  </si>
  <si>
    <t>V.S.JADON &amp; CO VALUERS LLP</t>
  </si>
  <si>
    <t>Builder Office Verified</t>
  </si>
  <si>
    <t>Name of the authority :</t>
  </si>
  <si>
    <t>Reference No :</t>
  </si>
  <si>
    <t>Validity &amp; area :
mentioned</t>
  </si>
  <si>
    <t xml:space="preserve"> Building No.4 = G + 3rd Floor</t>
  </si>
  <si>
    <t xml:space="preserve">Speed of Construction is Average. </t>
  </si>
  <si>
    <t>Recommended Rates of the Property :</t>
  </si>
  <si>
    <t>Recommended rate of the flat Per Sq. Ft. ( on Saleable area)</t>
  </si>
  <si>
    <t>Recommended of Parking ( If Available)</t>
  </si>
  <si>
    <t>Name of Engineer Visited the property</t>
  </si>
  <si>
    <t xml:space="preserve">Authorized Signatory
Name &amp; Seal of the agency
                                               </t>
  </si>
  <si>
    <t>Photographs Of Property :</t>
  </si>
  <si>
    <t xml:space="preserve">Google Map : </t>
  </si>
  <si>
    <t>Isolated Footing</t>
  </si>
  <si>
    <t>FE415</t>
  </si>
  <si>
    <t>Connectivity</t>
  </si>
  <si>
    <t>Exposure Limit
(Proposed)</t>
  </si>
  <si>
    <t>Date - - Valid For one Year. Area -  Sq.Mt.</t>
  </si>
  <si>
    <t>44 meter per sec</t>
  </si>
  <si>
    <t>Alluvial Soil</t>
  </si>
  <si>
    <t>Total Permissible Builtup area of the project (Sq.Mt)</t>
  </si>
  <si>
    <t>Plot area mentioned in the sale deed (As per 7/12)</t>
  </si>
  <si>
    <t>Plot area mentioned in the approved drg. on which FSI/FAR calculations computed (Net Plot Area)</t>
  </si>
  <si>
    <t>Stage of construction</t>
  </si>
  <si>
    <t>Building No.1</t>
  </si>
  <si>
    <t>Taluka</t>
  </si>
  <si>
    <t>District</t>
  </si>
  <si>
    <t>Pincode</t>
  </si>
  <si>
    <t>Geo Link</t>
  </si>
  <si>
    <t xml:space="preserve">Stage of construction: </t>
  </si>
  <si>
    <t>All work Completed. OC Received.</t>
  </si>
  <si>
    <t>Project Progress %</t>
  </si>
  <si>
    <t>M20</t>
  </si>
  <si>
    <t>Flat / Unit Area
(Carpet Area) 
Sq. Ft.</t>
  </si>
  <si>
    <t>Attached Terrace Area
Sq. Ft.</t>
  </si>
  <si>
    <t>Saleable Area Sq.Ft.
Loading:</t>
  </si>
  <si>
    <t>Layout Of Property :</t>
  </si>
  <si>
    <t>Office No. 1031, Wing J, Akshar Business Park, Plot No. 03 Sector 25, Near APMC Market, Vashi, Navi Mumbai, Maharashtra 400703 TEL: 022-46090378/79/80                                                                       
E mail : vsjcapf@gmail.com. Web site : www.vsjadon.com</t>
  </si>
  <si>
    <t xml:space="preserve">Latitude, Longitude   </t>
  </si>
  <si>
    <t>Road</t>
  </si>
  <si>
    <t>City</t>
  </si>
  <si>
    <t xml:space="preserve">Thane </t>
  </si>
  <si>
    <t>Palghar</t>
  </si>
  <si>
    <t>Mumbai</t>
  </si>
  <si>
    <t>Raigad</t>
  </si>
  <si>
    <t>Pune</t>
  </si>
  <si>
    <t>Thane</t>
  </si>
  <si>
    <t>Mokhada</t>
  </si>
  <si>
    <t>Andheri</t>
  </si>
  <si>
    <t>Alibag</t>
  </si>
  <si>
    <t>Pune City</t>
  </si>
  <si>
    <t>Shahpur</t>
  </si>
  <si>
    <t>Talasari</t>
  </si>
  <si>
    <t>Borivali</t>
  </si>
  <si>
    <t>Panvel</t>
  </si>
  <si>
    <t>Haveli</t>
  </si>
  <si>
    <t>Kalyan</t>
  </si>
  <si>
    <t>Vasai</t>
  </si>
  <si>
    <t>Kurla</t>
  </si>
  <si>
    <t>Uran</t>
  </si>
  <si>
    <t>Khed</t>
  </si>
  <si>
    <t>Bhiwandi</t>
  </si>
  <si>
    <t>Vikramgad</t>
  </si>
  <si>
    <t>Karjat</t>
  </si>
  <si>
    <t>Baramati</t>
  </si>
  <si>
    <t>Ulhasnagar</t>
  </si>
  <si>
    <t>Khalapur</t>
  </si>
  <si>
    <t>Junnar</t>
  </si>
  <si>
    <t>Ambernath</t>
  </si>
  <si>
    <t>Dahanu</t>
  </si>
  <si>
    <t>Pen</t>
  </si>
  <si>
    <t>Shirur</t>
  </si>
  <si>
    <t>Murbad</t>
  </si>
  <si>
    <t>Wada</t>
  </si>
  <si>
    <t>Sudhagad</t>
  </si>
  <si>
    <t>Indapur</t>
  </si>
  <si>
    <t>Mahad</t>
  </si>
  <si>
    <t>Daund</t>
  </si>
  <si>
    <t>Roha</t>
  </si>
  <si>
    <t>Mawal</t>
  </si>
  <si>
    <t>Mangaon</t>
  </si>
  <si>
    <t>Ambegaon</t>
  </si>
  <si>
    <t>Poladpur</t>
  </si>
  <si>
    <t>Purandhar</t>
  </si>
  <si>
    <t>Mahasala</t>
  </si>
  <si>
    <t>Bhor</t>
  </si>
  <si>
    <t>Shriwardhan</t>
  </si>
  <si>
    <t>Mulshi</t>
  </si>
  <si>
    <t>Murud</t>
  </si>
  <si>
    <t>Velhe</t>
  </si>
  <si>
    <t>Mangalam</t>
  </si>
  <si>
    <t>Old Gut No</t>
  </si>
  <si>
    <t>149/1, New Gut No. 19/1</t>
  </si>
  <si>
    <t>19.098340,73.079046</t>
  </si>
  <si>
    <t>https://maps.app.goo.gl/WVbWz88bGejvbyRw7</t>
  </si>
  <si>
    <t>Internal Road</t>
  </si>
  <si>
    <t>Taloja Panchnand East</t>
  </si>
  <si>
    <t>P52000032461</t>
  </si>
  <si>
    <t>Super Ispat</t>
  </si>
  <si>
    <t>Today Prachar Developers LLP</t>
  </si>
  <si>
    <t xml:space="preserve">Kesar Solitaire, Office No.-1601 &amp; 1602, 16th Floor,  Plot No.-05, Sector No.-19, Palm Beach Road, Sanpada, Navi Mumbai, Tal &amp; Dist. Thane 400705
</t>
  </si>
  <si>
    <t xml:space="preserve">Bank Name - ICICI Bank Limited
IFSC Code - ICIC0006990
</t>
  </si>
  <si>
    <t>Mr. Nikhil Daur 8779525273</t>
  </si>
  <si>
    <t>Panvel Municipal Corporation</t>
  </si>
  <si>
    <t>Apartments + Shops</t>
  </si>
  <si>
    <t>Building No. 1 (Wing A &amp; B)
Building No. 2 (Wing C )</t>
  </si>
  <si>
    <t>NA</t>
  </si>
  <si>
    <t>Other Plot</t>
  </si>
  <si>
    <t>Old S. No.149/2, New S.No.19/2
12.00 M Wide Row</t>
  </si>
  <si>
    <t>Open Plot</t>
  </si>
  <si>
    <t>9975.508 Sq.M</t>
  </si>
  <si>
    <t>8183.057 Sq.M</t>
  </si>
  <si>
    <t xml:space="preserve">SCHOOL :
Shree Chhatrapati Shivaji High School Rohinjan - 1.1Km
Raja Prasenjeet Public School &amp; Junior College, Rohinjan - 1.3Km
SHOPPING :
Vighnahar Complex - 9.0Km
Prime Mall - 9.2Km
HOSPITALS :
Ayesha Hospital - 4.0Km
Tata Memorial Hospital - 6.4Km
PETROL PUMP :
Bharat Petroleum - 800M
Jio-Petrol Pump - 2.3Km
</t>
  </si>
  <si>
    <t>PMP/NRV/16184/JK-2441/2021
Date - 30/11/2021</t>
  </si>
  <si>
    <t>PMC/TP/Dharna Camp/19/1/21-21/16184/2441/2021    Date - 30/11/2021
Valid Upto - 
Building No. 1 (A &amp; B Wing) = Gr + 1st to 11th Floor.
Building No. 2 (C Wing) = Gr + 1st to 11th Floor</t>
  </si>
  <si>
    <t>Building No. 1 (Wing A) = G/St + 1st to 11th Floor</t>
  </si>
  <si>
    <t>Building No. 1 (Wing B) = G/St + 1st to 11th Floor</t>
  </si>
  <si>
    <t>Building No. 2 (Wing C) = Gr + 1st to 11th Floor</t>
  </si>
  <si>
    <t>AAC Block</t>
  </si>
  <si>
    <t>Wing A</t>
  </si>
  <si>
    <t>Shop</t>
  </si>
  <si>
    <t>Wing C</t>
  </si>
  <si>
    <t>Building No. 2</t>
  </si>
  <si>
    <t>Ground Floor For Commercial, Society Office, Driver's Room, Meter Room &amp; Parking</t>
  </si>
  <si>
    <t>Ground Floor For Society Office, Driver's Room, Meter Room, Waiting Area &amp; Parking</t>
  </si>
  <si>
    <t>1st to 7th &amp; 9th to 11th Floor for Residential</t>
  </si>
  <si>
    <t>2BHK</t>
  </si>
  <si>
    <t>8th Floor (Part Refuge Area)</t>
  </si>
  <si>
    <t>Refuge Area</t>
  </si>
  <si>
    <t>Wing B</t>
  </si>
  <si>
    <t>Ground Floor For Meter Room, Waiting Area &amp; Parking</t>
  </si>
  <si>
    <t>1st to 7th &amp; 9th to 11th Floor For Residential</t>
  </si>
  <si>
    <t>1st Floor For Residential</t>
  </si>
  <si>
    <t>2nd to 7th &amp; 9th to 11th Floor</t>
  </si>
  <si>
    <t>Commercial Area Details : Shops</t>
  </si>
  <si>
    <t>Building &amp; Wing</t>
  </si>
  <si>
    <t>No. of Units</t>
  </si>
  <si>
    <t>Total Carpet Area</t>
  </si>
  <si>
    <t>Total Saleable Area</t>
  </si>
  <si>
    <t>Total</t>
  </si>
  <si>
    <t>Residential Area Details : Flats</t>
  </si>
  <si>
    <t>Building No.1 (Wing A)</t>
  </si>
  <si>
    <t>Building No.1 (Wing B)</t>
  </si>
  <si>
    <t>Grand Total</t>
  </si>
  <si>
    <t>Building No.2 (Wing C)</t>
  </si>
  <si>
    <r>
      <t>Remark (</t>
    </r>
    <r>
      <rPr>
        <sz val="10"/>
        <color rgb="FF000000"/>
        <rFont val="Times New Roman"/>
        <family val="1"/>
      </rPr>
      <t>Commercial Configuration )</t>
    </r>
  </si>
  <si>
    <t>Shop = 8 
Flat = 327</t>
  </si>
  <si>
    <t>Other statutory permissions</t>
  </si>
  <si>
    <r>
      <t>Remark
 (</t>
    </r>
    <r>
      <rPr>
        <sz val="10"/>
        <color rgb="FF000000"/>
        <rFont val="Times New Roman"/>
        <family val="1"/>
      </rPr>
      <t>Flat configuration /Bungalows, etc.)</t>
    </r>
  </si>
  <si>
    <t>Mahindra Rural Housing Finance - Panvel</t>
  </si>
  <si>
    <t>Building No.1 (Wing A &amp; B) = 40.40 M
Building No.2 ( Wing C) = 40.50 M</t>
  </si>
  <si>
    <t>Airport NOC 
Valid upto</t>
  </si>
  <si>
    <t>Dharna Camp</t>
  </si>
  <si>
    <t>Mahatransco NOC
Valid upto</t>
  </si>
  <si>
    <t>CE/EHV/PC O&amp;M/Zone/VSH/EE/Tech/No.02425  
Date:29/10/2021
Survey No.19/1, At. Dansar, Tal - Panvel, Dist. Raigad
Right of Way of 35 Meter (i.e 17.5 Mt on either side from the center line of Tower) for 220 KV line)</t>
  </si>
  <si>
    <t xml:space="preserve">NAVI/WEST/B/100819/432115  
Date -: 09/10/2019
Site Elevation = 18.85 Mtrs (AMSL )
Permissible Top Elevation = 68.85 Mtrs (AMSL)
</t>
  </si>
  <si>
    <t>3,00,000/-</t>
  </si>
  <si>
    <t>02/04/2025 at 01:41PM</t>
  </si>
  <si>
    <t>Ms. Simran 9324984421</t>
  </si>
  <si>
    <t>Survey No. 19/1</t>
  </si>
  <si>
    <t>1. Building No. 1 Finishing Work is in process and Building No. 2  construction work is in process at the time of visit. 
2. AAC block, Cement bags, aggregate, Sand, etc found on site in average quantity.
3. 4 to 5 labours found on site at the time of visit. 
4. We considered Carpet area as per Approved Plan.
5. We considered  Saleable area  as per our calculation. (i.e 50% Loading)
6. We considered Gross carpet area = Net carpet + Balcony Area
7. We have considered rate by verifying it from market inquire.
8. Recommended rate should be considered as all inclusive rate if other charges are not mentioned. (Excluding GST &amp; other government Taxes)
9. Car parking is subjected to authentic documentation.
10. On Site, we meet Ms. Simran 9324984421.</t>
  </si>
  <si>
    <t>Mr. Sunil Peravi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</si>
</sst>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19" x14ac:knownFonts="1">
    <font>
      <sz val="11"/>
      <color theme="1"/>
      <name val="Calibri"/>
      <family val="2"/>
      <scheme val="minor"/>
    </font>
    <font>
      <b/>
      <sz val="10"/>
      <color theme="1"/>
      <name val="Times New Roman"/>
      <family val="1"/>
    </font>
    <font>
      <sz val="11"/>
      <color theme="1"/>
      <name val="Calibri"/>
      <family val="2"/>
      <scheme val="minor"/>
    </font>
    <font>
      <b/>
      <sz val="11"/>
      <color theme="1"/>
      <name val="Times New Roman"/>
      <family val="1"/>
    </font>
    <font>
      <sz val="10"/>
      <color theme="1"/>
      <name val="Calibri"/>
      <family val="2"/>
      <scheme val="minor"/>
    </font>
    <font>
      <sz val="10"/>
      <color rgb="FF000000"/>
      <name val="Times New Roman"/>
      <family val="1"/>
    </font>
    <font>
      <sz val="10"/>
      <color theme="1"/>
      <name val="Times New Roman"/>
      <family val="1"/>
    </font>
    <font>
      <b/>
      <sz val="10"/>
      <name val="Times New Roman"/>
      <family val="1"/>
    </font>
    <font>
      <sz val="10"/>
      <name val="Times New Roman"/>
      <family val="1"/>
    </font>
    <font>
      <b/>
      <sz val="10"/>
      <color rgb="FF000000"/>
      <name val="Times New Roman"/>
      <family val="1"/>
    </font>
    <font>
      <b/>
      <sz val="11"/>
      <color rgb="FF000000"/>
      <name val="Times New Roman"/>
      <family val="1"/>
    </font>
    <font>
      <b/>
      <sz val="10"/>
      <color rgb="FFFF0000"/>
      <name val="Times New Roman"/>
      <family val="1"/>
    </font>
    <font>
      <sz val="10"/>
      <color rgb="FFE3F2F3"/>
      <name val="Times New Roman"/>
      <family val="1"/>
    </font>
    <font>
      <sz val="9"/>
      <color indexed="81"/>
      <name val="Tahoma"/>
      <family val="2"/>
    </font>
    <font>
      <b/>
      <sz val="9"/>
      <color indexed="81"/>
      <name val="Tahoma"/>
      <family val="2"/>
    </font>
    <font>
      <b/>
      <sz val="11"/>
      <color indexed="81"/>
      <name val="Tahoma"/>
      <family val="2"/>
    </font>
    <font>
      <u/>
      <sz val="11"/>
      <color theme="10"/>
      <name val="Calibri"/>
      <family val="2"/>
      <scheme val="minor"/>
    </font>
    <font>
      <sz val="10"/>
      <color indexed="8"/>
      <name val="Times New Roman"/>
      <family val="1"/>
    </font>
    <font>
      <b/>
      <sz val="10"/>
      <color indexed="8"/>
      <name val="Times New Roman"/>
      <family val="1"/>
    </font>
  </fonts>
  <fills count="6">
    <fill>
      <patternFill patternType="none"/>
    </fill>
    <fill>
      <patternFill patternType="gray125"/>
    </fill>
    <fill>
      <patternFill patternType="solid">
        <fgColor theme="8" tint="0.59999389629810485"/>
        <bgColor indexed="64"/>
      </patternFill>
    </fill>
    <fill>
      <patternFill patternType="solid">
        <fgColor rgb="FFE3F2F3"/>
        <bgColor indexed="64"/>
      </patternFill>
    </fill>
    <fill>
      <patternFill patternType="solid">
        <fgColor rgb="FFE5EEF1"/>
        <bgColor indexed="64"/>
      </patternFill>
    </fill>
    <fill>
      <patternFill patternType="solid">
        <fgColor theme="8" tint="0.79998168889431442"/>
        <bgColor indexed="64"/>
      </patternFill>
    </fill>
  </fills>
  <borders count="38">
    <border>
      <left/>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0" fontId="2" fillId="0" borderId="0"/>
    <xf numFmtId="0" fontId="16" fillId="0" borderId="0" applyNumberFormat="0" applyFill="0" applyBorder="0" applyAlignment="0" applyProtection="0"/>
  </cellStyleXfs>
  <cellXfs count="195">
    <xf numFmtId="0" fontId="0" fillId="0" borderId="0" xfId="0"/>
    <xf numFmtId="0" fontId="5" fillId="0" borderId="0" xfId="0" applyFont="1" applyFill="1" applyBorder="1" applyProtection="1">
      <protection hidden="1"/>
    </xf>
    <xf numFmtId="0" fontId="8" fillId="4" borderId="5" xfId="1" applyFont="1" applyFill="1" applyBorder="1" applyAlignment="1" applyProtection="1">
      <alignment horizontal="center" vertical="top" wrapText="1"/>
      <protection locked="0"/>
    </xf>
    <xf numFmtId="0" fontId="8" fillId="4" borderId="4" xfId="1" applyFont="1" applyFill="1" applyBorder="1" applyAlignment="1" applyProtection="1">
      <alignment horizontal="center" vertical="top" wrapText="1"/>
      <protection locked="0"/>
    </xf>
    <xf numFmtId="0" fontId="8" fillId="4" borderId="4" xfId="1" applyFont="1" applyFill="1" applyBorder="1" applyAlignment="1" applyProtection="1">
      <alignment horizontal="center" wrapText="1"/>
      <protection locked="0"/>
    </xf>
    <xf numFmtId="1" fontId="8" fillId="4" borderId="4" xfId="1" applyNumberFormat="1" applyFont="1" applyFill="1" applyBorder="1" applyAlignment="1" applyProtection="1">
      <alignment horizontal="center" wrapText="1"/>
      <protection locked="0"/>
    </xf>
    <xf numFmtId="0" fontId="6" fillId="0" borderId="0" xfId="0" applyFont="1"/>
    <xf numFmtId="0" fontId="8" fillId="2" borderId="4" xfId="1" applyFont="1" applyFill="1" applyBorder="1" applyAlignment="1" applyProtection="1">
      <alignment horizontal="center" vertical="center"/>
      <protection locked="0"/>
    </xf>
    <xf numFmtId="0" fontId="8" fillId="2" borderId="6" xfId="1" applyFont="1" applyFill="1" applyBorder="1" applyAlignment="1" applyProtection="1">
      <alignment horizontal="center" vertical="center"/>
      <protection locked="0"/>
    </xf>
    <xf numFmtId="0" fontId="8" fillId="2" borderId="16" xfId="1" applyFont="1" applyFill="1" applyBorder="1" applyAlignment="1" applyProtection="1">
      <alignment horizontal="center" vertical="center"/>
      <protection locked="0"/>
    </xf>
    <xf numFmtId="0" fontId="8" fillId="2" borderId="17" xfId="1" applyFont="1" applyFill="1" applyBorder="1" applyAlignment="1" applyProtection="1">
      <alignment horizontal="center" vertical="center"/>
      <protection locked="0"/>
    </xf>
    <xf numFmtId="0" fontId="1" fillId="2" borderId="4" xfId="0" applyFont="1" applyFill="1" applyBorder="1" applyAlignment="1">
      <alignment horizontal="left" vertical="center" wrapText="1"/>
    </xf>
    <xf numFmtId="0" fontId="1" fillId="2" borderId="4" xfId="0" applyFont="1" applyFill="1" applyBorder="1" applyAlignment="1">
      <alignment horizontal="left" vertical="center"/>
    </xf>
    <xf numFmtId="0" fontId="9" fillId="3" borderId="4"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4" xfId="0" applyFont="1" applyFill="1" applyBorder="1" applyAlignment="1">
      <alignment horizontal="left" vertical="top" wrapText="1"/>
    </xf>
    <xf numFmtId="0" fontId="9" fillId="3" borderId="4" xfId="0" applyFont="1" applyFill="1" applyBorder="1" applyAlignment="1">
      <alignment horizontal="left" vertical="top" wrapText="1"/>
    </xf>
    <xf numFmtId="0" fontId="9" fillId="2" borderId="4" xfId="0" applyFont="1" applyFill="1" applyBorder="1" applyAlignment="1">
      <alignment horizontal="center" vertical="top" wrapText="1"/>
    </xf>
    <xf numFmtId="0" fontId="9" fillId="3" borderId="4" xfId="0" applyFont="1" applyFill="1" applyBorder="1" applyAlignment="1">
      <alignment horizontal="center" vertical="top" wrapText="1"/>
    </xf>
    <xf numFmtId="0" fontId="5" fillId="3" borderId="4" xfId="0" applyFont="1" applyFill="1" applyBorder="1" applyAlignment="1">
      <alignment horizontal="center" vertical="center" wrapText="1"/>
    </xf>
    <xf numFmtId="0" fontId="5" fillId="3" borderId="4" xfId="0" applyFont="1" applyFill="1" applyBorder="1" applyAlignment="1">
      <alignment horizontal="center" vertical="center"/>
    </xf>
    <xf numFmtId="0" fontId="9" fillId="2" borderId="4" xfId="0" applyFont="1" applyFill="1" applyBorder="1" applyAlignment="1">
      <alignment horizontal="left" vertical="center" wrapText="1"/>
    </xf>
    <xf numFmtId="0" fontId="5" fillId="3" borderId="4" xfId="0" applyFont="1" applyFill="1" applyBorder="1" applyAlignment="1">
      <alignment horizontal="left" vertical="center" wrapText="1"/>
    </xf>
    <xf numFmtId="0" fontId="9" fillId="3" borderId="4" xfId="0" applyFont="1" applyFill="1" applyBorder="1" applyAlignment="1">
      <alignment horizontal="center" vertical="center"/>
    </xf>
    <xf numFmtId="1" fontId="5" fillId="3" borderId="4" xfId="0" applyNumberFormat="1" applyFont="1" applyFill="1" applyBorder="1" applyAlignment="1">
      <alignment horizontal="center" vertical="center"/>
    </xf>
    <xf numFmtId="0" fontId="6" fillId="0" borderId="0" xfId="0" applyFont="1" applyFill="1"/>
    <xf numFmtId="0" fontId="9" fillId="2" borderId="4" xfId="0" applyFont="1" applyFill="1" applyBorder="1" applyAlignment="1">
      <alignment vertical="center" wrapText="1"/>
    </xf>
    <xf numFmtId="0" fontId="9" fillId="2" borderId="4" xfId="0" applyFont="1" applyFill="1" applyBorder="1" applyAlignment="1">
      <alignment horizontal="left" vertical="top" wrapText="1"/>
    </xf>
    <xf numFmtId="164" fontId="8" fillId="3" borderId="4" xfId="1" applyNumberFormat="1" applyFont="1" applyFill="1" applyBorder="1" applyAlignment="1" applyProtection="1">
      <alignment horizontal="left" vertical="center" wrapText="1"/>
      <protection locked="0"/>
    </xf>
    <xf numFmtId="0" fontId="5" fillId="3" borderId="4" xfId="0" applyFont="1" applyFill="1" applyBorder="1" applyAlignment="1">
      <alignment horizontal="center" vertical="center"/>
    </xf>
    <xf numFmtId="0" fontId="9" fillId="2" borderId="4" xfId="0" applyFont="1" applyFill="1" applyBorder="1" applyAlignment="1">
      <alignment horizontal="left" vertical="top" wrapText="1"/>
    </xf>
    <xf numFmtId="0" fontId="7" fillId="3" borderId="4" xfId="0" applyFont="1" applyFill="1" applyBorder="1" applyAlignment="1">
      <alignment horizontal="center" vertical="center" wrapText="1"/>
    </xf>
    <xf numFmtId="0" fontId="9" fillId="2" borderId="14" xfId="0" applyFont="1" applyFill="1" applyBorder="1" applyAlignment="1">
      <alignment horizontal="center" vertical="top" wrapText="1"/>
    </xf>
    <xf numFmtId="9" fontId="9" fillId="2" borderId="13" xfId="0" applyNumberFormat="1" applyFont="1" applyFill="1" applyBorder="1" applyAlignment="1">
      <alignment horizontal="center" vertical="top" wrapText="1"/>
    </xf>
    <xf numFmtId="0" fontId="8" fillId="4" borderId="7" xfId="1" applyFont="1" applyFill="1" applyBorder="1" applyAlignment="1" applyProtection="1">
      <alignment horizontal="center" vertical="top" wrapText="1"/>
      <protection locked="0"/>
    </xf>
    <xf numFmtId="9" fontId="8" fillId="4" borderId="7" xfId="1" applyNumberFormat="1" applyFont="1" applyFill="1" applyBorder="1" applyAlignment="1" applyProtection="1">
      <alignment horizontal="center" vertical="center" wrapText="1"/>
      <protection hidden="1"/>
    </xf>
    <xf numFmtId="0" fontId="8" fillId="2" borderId="14" xfId="1" applyFont="1" applyFill="1" applyBorder="1" applyAlignment="1" applyProtection="1">
      <alignment horizontal="center" vertical="center"/>
      <protection locked="0"/>
    </xf>
    <xf numFmtId="0" fontId="8" fillId="4" borderId="14" xfId="1" applyFont="1" applyFill="1" applyBorder="1" applyAlignment="1" applyProtection="1">
      <alignment horizontal="center" vertical="top" wrapText="1"/>
      <protection locked="0"/>
    </xf>
    <xf numFmtId="9" fontId="8" fillId="4" borderId="26" xfId="1" applyNumberFormat="1" applyFont="1" applyFill="1" applyBorder="1" applyAlignment="1" applyProtection="1">
      <alignment horizontal="center" vertical="center"/>
      <protection hidden="1"/>
    </xf>
    <xf numFmtId="9" fontId="12" fillId="4" borderId="14" xfId="1" applyNumberFormat="1" applyFont="1" applyFill="1" applyBorder="1" applyAlignment="1" applyProtection="1">
      <alignment horizontal="left" vertical="center"/>
      <protection hidden="1"/>
    </xf>
    <xf numFmtId="9" fontId="12" fillId="4" borderId="26" xfId="1" applyNumberFormat="1" applyFont="1" applyFill="1" applyBorder="1" applyAlignment="1" applyProtection="1">
      <alignment horizontal="left" vertical="center"/>
      <protection hidden="1"/>
    </xf>
    <xf numFmtId="0" fontId="6" fillId="0" borderId="24" xfId="1" applyFont="1" applyBorder="1"/>
    <xf numFmtId="0" fontId="5" fillId="0" borderId="19" xfId="0" applyNumberFormat="1" applyFont="1" applyBorder="1" applyProtection="1">
      <protection hidden="1"/>
    </xf>
    <xf numFmtId="1" fontId="4" fillId="0" borderId="19" xfId="0" applyNumberFormat="1" applyFont="1" applyBorder="1"/>
    <xf numFmtId="1" fontId="4" fillId="0" borderId="19" xfId="0" applyNumberFormat="1" applyFont="1" applyBorder="1" applyAlignment="1">
      <alignment horizontal="right"/>
    </xf>
    <xf numFmtId="1" fontId="4" fillId="0" borderId="22" xfId="0" applyNumberFormat="1" applyFont="1" applyBorder="1"/>
    <xf numFmtId="0" fontId="5" fillId="0" borderId="25" xfId="0" applyFont="1" applyFill="1" applyBorder="1" applyProtection="1">
      <protection hidden="1"/>
    </xf>
    <xf numFmtId="0" fontId="5" fillId="0" borderId="21" xfId="0" applyFont="1" applyFill="1" applyBorder="1" applyProtection="1">
      <protection hidden="1"/>
    </xf>
    <xf numFmtId="0" fontId="8" fillId="4" borderId="11" xfId="1" applyFont="1" applyFill="1" applyBorder="1" applyAlignment="1" applyProtection="1">
      <alignment horizontal="center" vertical="top" wrapText="1"/>
      <protection locked="0"/>
    </xf>
    <xf numFmtId="0" fontId="8" fillId="4" borderId="12" xfId="1" applyFont="1" applyFill="1" applyBorder="1" applyAlignment="1" applyProtection="1">
      <alignment horizontal="center" wrapText="1"/>
      <protection locked="0"/>
    </xf>
    <xf numFmtId="9" fontId="8" fillId="4" borderId="27" xfId="1" applyNumberFormat="1" applyFont="1" applyFill="1" applyBorder="1" applyAlignment="1" applyProtection="1">
      <alignment horizontal="center" vertical="center" wrapText="1"/>
      <protection hidden="1"/>
    </xf>
    <xf numFmtId="9" fontId="12" fillId="4" borderId="28" xfId="1" applyNumberFormat="1" applyFont="1" applyFill="1" applyBorder="1" applyAlignment="1" applyProtection="1">
      <alignment horizontal="left" vertical="center"/>
      <protection hidden="1"/>
    </xf>
    <xf numFmtId="0" fontId="6" fillId="2" borderId="16" xfId="1" applyFont="1" applyFill="1" applyBorder="1" applyAlignment="1" applyProtection="1">
      <alignment horizontal="center" vertical="center"/>
      <protection locked="0"/>
    </xf>
    <xf numFmtId="0" fontId="6" fillId="2" borderId="17" xfId="1" applyFont="1" applyFill="1" applyBorder="1" applyAlignment="1" applyProtection="1">
      <alignment horizontal="center" vertical="center"/>
      <protection locked="0"/>
    </xf>
    <xf numFmtId="0" fontId="6" fillId="0" borderId="31" xfId="1" applyFont="1" applyFill="1" applyBorder="1" applyProtection="1">
      <protection hidden="1"/>
    </xf>
    <xf numFmtId="0" fontId="6" fillId="0" borderId="32" xfId="1" applyFont="1" applyBorder="1" applyProtection="1">
      <protection hidden="1"/>
    </xf>
    <xf numFmtId="0" fontId="6" fillId="2" borderId="4" xfId="1" applyFont="1" applyFill="1" applyBorder="1" applyAlignment="1" applyProtection="1">
      <alignment horizontal="center" vertical="center"/>
      <protection locked="0"/>
    </xf>
    <xf numFmtId="0" fontId="6" fillId="2" borderId="6" xfId="1" applyFont="1" applyFill="1" applyBorder="1" applyAlignment="1" applyProtection="1">
      <alignment horizontal="center" vertical="center"/>
      <protection locked="0"/>
    </xf>
    <xf numFmtId="0" fontId="6" fillId="0" borderId="0" xfId="1" applyFont="1" applyFill="1" applyBorder="1" applyProtection="1">
      <protection hidden="1"/>
    </xf>
    <xf numFmtId="0" fontId="6" fillId="0" borderId="3" xfId="1" applyFont="1" applyBorder="1" applyProtection="1">
      <protection hidden="1"/>
    </xf>
    <xf numFmtId="0" fontId="1" fillId="3" borderId="33" xfId="0" applyFont="1" applyFill="1" applyBorder="1" applyAlignment="1">
      <alignment horizontal="left" vertical="top"/>
    </xf>
    <xf numFmtId="0" fontId="6" fillId="3" borderId="5" xfId="1" applyFont="1" applyFill="1" applyBorder="1" applyAlignment="1" applyProtection="1">
      <alignment horizontal="center" vertical="top" wrapText="1"/>
      <protection locked="0"/>
    </xf>
    <xf numFmtId="0" fontId="6" fillId="3" borderId="4" xfId="0" applyFont="1" applyFill="1" applyBorder="1" applyAlignment="1">
      <alignment horizontal="center"/>
    </xf>
    <xf numFmtId="0" fontId="6" fillId="3" borderId="4" xfId="1" applyFont="1" applyFill="1" applyBorder="1" applyAlignment="1" applyProtection="1">
      <alignment horizontal="center" vertical="top" wrapText="1"/>
      <protection locked="0"/>
    </xf>
    <xf numFmtId="0" fontId="6" fillId="0" borderId="3" xfId="1" applyFont="1" applyBorder="1"/>
    <xf numFmtId="9" fontId="6" fillId="3" borderId="4" xfId="0" applyNumberFormat="1" applyFont="1" applyFill="1" applyBorder="1" applyAlignment="1">
      <alignment horizontal="center"/>
    </xf>
    <xf numFmtId="0" fontId="6" fillId="3" borderId="4" xfId="1" applyFont="1" applyFill="1" applyBorder="1" applyAlignment="1" applyProtection="1">
      <alignment horizontal="center" wrapText="1"/>
      <protection locked="0"/>
    </xf>
    <xf numFmtId="9" fontId="6" fillId="3" borderId="4" xfId="1" applyNumberFormat="1" applyFont="1" applyFill="1" applyBorder="1" applyAlignment="1" applyProtection="1">
      <alignment horizontal="center" vertical="center" wrapText="1"/>
      <protection hidden="1"/>
    </xf>
    <xf numFmtId="0" fontId="5" fillId="0" borderId="3" xfId="0" applyNumberFormat="1" applyFont="1" applyBorder="1" applyProtection="1">
      <protection hidden="1"/>
    </xf>
    <xf numFmtId="1" fontId="6" fillId="3" borderId="4" xfId="1" applyNumberFormat="1" applyFont="1" applyFill="1" applyBorder="1" applyAlignment="1" applyProtection="1">
      <alignment horizontal="center" wrapText="1"/>
      <protection locked="0"/>
    </xf>
    <xf numFmtId="1" fontId="6" fillId="0" borderId="3" xfId="0" applyNumberFormat="1" applyFont="1" applyBorder="1"/>
    <xf numFmtId="1" fontId="6" fillId="0" borderId="3" xfId="0" applyNumberFormat="1" applyFont="1" applyBorder="1" applyAlignment="1">
      <alignment horizontal="right"/>
    </xf>
    <xf numFmtId="0" fontId="6" fillId="3" borderId="11" xfId="1" applyFont="1" applyFill="1" applyBorder="1" applyAlignment="1" applyProtection="1">
      <alignment horizontal="center" vertical="top" wrapText="1"/>
      <protection locked="0"/>
    </xf>
    <xf numFmtId="9" fontId="6" fillId="3" borderId="12" xfId="0" applyNumberFormat="1" applyFont="1" applyFill="1" applyBorder="1" applyAlignment="1">
      <alignment horizontal="center"/>
    </xf>
    <xf numFmtId="0" fontId="6" fillId="3" borderId="12" xfId="1" applyFont="1" applyFill="1" applyBorder="1" applyAlignment="1" applyProtection="1">
      <alignment horizontal="center" wrapText="1"/>
      <protection locked="0"/>
    </xf>
    <xf numFmtId="9" fontId="6" fillId="3" borderId="12" xfId="1" applyNumberFormat="1" applyFont="1" applyFill="1" applyBorder="1" applyAlignment="1" applyProtection="1">
      <alignment horizontal="center" vertical="center" wrapText="1"/>
      <protection hidden="1"/>
    </xf>
    <xf numFmtId="0" fontId="5" fillId="0" borderId="2" xfId="0" applyFont="1" applyFill="1" applyBorder="1" applyProtection="1">
      <protection hidden="1"/>
    </xf>
    <xf numFmtId="1" fontId="6" fillId="0" borderId="1" xfId="0" applyNumberFormat="1" applyFont="1" applyBorder="1"/>
    <xf numFmtId="0" fontId="9" fillId="2" borderId="4" xfId="0" applyFont="1" applyFill="1" applyBorder="1" applyAlignment="1">
      <alignment horizontal="left" vertical="top" wrapText="1"/>
    </xf>
    <xf numFmtId="0" fontId="0" fillId="0" borderId="4" xfId="0" applyBorder="1" applyAlignment="1">
      <alignment horizontal="center" vertical="center"/>
    </xf>
    <xf numFmtId="0" fontId="9" fillId="3"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9" fillId="2" borderId="14" xfId="0" applyFont="1" applyFill="1" applyBorder="1" applyAlignment="1">
      <alignment horizontal="center" vertical="top" wrapText="1"/>
    </xf>
    <xf numFmtId="22" fontId="8" fillId="3" borderId="4" xfId="0" applyNumberFormat="1" applyFont="1" applyFill="1" applyBorder="1" applyAlignment="1">
      <alignment horizontal="left" vertical="center" wrapText="1"/>
    </xf>
    <xf numFmtId="0" fontId="7" fillId="2" borderId="4" xfId="0" applyFont="1" applyFill="1" applyBorder="1" applyAlignment="1">
      <alignment horizontal="left" vertical="top" wrapText="1"/>
    </xf>
    <xf numFmtId="0" fontId="11" fillId="0" borderId="0" xfId="0" applyFont="1" applyAlignment="1">
      <alignment horizontal="center" vertical="center"/>
    </xf>
    <xf numFmtId="0" fontId="8" fillId="3" borderId="4" xfId="0" applyFont="1" applyFill="1" applyBorder="1" applyAlignment="1">
      <alignment horizontal="center" vertical="center" wrapText="1"/>
    </xf>
    <xf numFmtId="14" fontId="8" fillId="3" borderId="4" xfId="0" applyNumberFormat="1" applyFont="1" applyFill="1" applyBorder="1" applyAlignment="1">
      <alignment horizontal="left" vertical="center"/>
    </xf>
    <xf numFmtId="1" fontId="17" fillId="0" borderId="4" xfId="1" applyNumberFormat="1" applyFont="1" applyFill="1" applyBorder="1" applyAlignment="1" applyProtection="1">
      <alignment horizontal="center" vertical="center" wrapText="1"/>
      <protection locked="0"/>
    </xf>
    <xf numFmtId="1" fontId="17" fillId="3" borderId="4" xfId="1" applyNumberFormat="1" applyFont="1" applyFill="1" applyBorder="1" applyAlignment="1" applyProtection="1">
      <alignment horizontal="center" vertical="center" wrapText="1"/>
      <protection locked="0"/>
    </xf>
    <xf numFmtId="2" fontId="6" fillId="0" borderId="0" xfId="0" applyNumberFormat="1" applyFont="1"/>
    <xf numFmtId="1" fontId="17" fillId="5" borderId="4" xfId="0" applyNumberFormat="1" applyFont="1" applyFill="1" applyBorder="1" applyAlignment="1" applyProtection="1">
      <alignment horizontal="center" vertical="center" wrapText="1"/>
      <protection locked="0"/>
    </xf>
    <xf numFmtId="1" fontId="18" fillId="5" borderId="4" xfId="0" applyNumberFormat="1" applyFont="1" applyFill="1" applyBorder="1" applyAlignment="1" applyProtection="1">
      <alignment horizontal="center" vertical="center" wrapText="1"/>
      <protection locked="0"/>
    </xf>
    <xf numFmtId="0" fontId="11" fillId="2" borderId="0" xfId="0" applyFont="1" applyFill="1" applyBorder="1" applyAlignment="1">
      <alignment horizontal="left" vertical="center" wrapText="1"/>
    </xf>
    <xf numFmtId="0" fontId="9" fillId="2" borderId="4" xfId="0" applyFont="1" applyFill="1" applyBorder="1" applyAlignment="1">
      <alignment horizontal="left" vertical="center" wrapText="1"/>
    </xf>
    <xf numFmtId="0" fontId="7" fillId="2" borderId="4" xfId="0" applyFont="1" applyFill="1" applyBorder="1" applyAlignment="1">
      <alignment vertical="top" wrapText="1"/>
    </xf>
    <xf numFmtId="1" fontId="18" fillId="5" borderId="5" xfId="0" applyNumberFormat="1" applyFont="1" applyFill="1" applyBorder="1" applyAlignment="1" applyProtection="1">
      <alignment horizontal="center" vertical="center" wrapText="1"/>
      <protection locked="0"/>
    </xf>
    <xf numFmtId="1" fontId="18" fillId="5" borderId="11" xfId="0" applyNumberFormat="1" applyFont="1" applyFill="1" applyBorder="1" applyAlignment="1" applyProtection="1">
      <alignment horizontal="center" vertical="center" wrapText="1"/>
      <protection locked="0"/>
    </xf>
    <xf numFmtId="0" fontId="9" fillId="2" borderId="4" xfId="0" applyFont="1" applyFill="1" applyBorder="1" applyAlignment="1">
      <alignment vertical="top" wrapText="1"/>
    </xf>
    <xf numFmtId="0" fontId="9" fillId="3" borderId="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10"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10" xfId="0" applyFont="1" applyFill="1" applyBorder="1" applyAlignment="1">
      <alignment horizontal="left" vertical="center" wrapText="1"/>
    </xf>
    <xf numFmtId="9" fontId="6" fillId="3" borderId="29" xfId="1" applyNumberFormat="1" applyFont="1" applyFill="1" applyBorder="1" applyAlignment="1" applyProtection="1">
      <alignment horizontal="center" vertical="center" wrapText="1"/>
      <protection hidden="1"/>
    </xf>
    <xf numFmtId="9" fontId="6" fillId="3" borderId="23" xfId="1" applyNumberFormat="1" applyFont="1" applyFill="1" applyBorder="1" applyAlignment="1" applyProtection="1">
      <alignment horizontal="center" vertical="center" wrapText="1"/>
      <protection hidden="1"/>
    </xf>
    <xf numFmtId="9" fontId="6" fillId="3" borderId="18" xfId="1" applyNumberFormat="1" applyFont="1" applyFill="1" applyBorder="1" applyAlignment="1" applyProtection="1">
      <alignment horizontal="center" vertical="center" wrapText="1"/>
      <protection hidden="1"/>
    </xf>
    <xf numFmtId="9" fontId="6" fillId="3" borderId="3" xfId="1" applyNumberFormat="1" applyFont="1" applyFill="1" applyBorder="1" applyAlignment="1" applyProtection="1">
      <alignment horizontal="center" vertical="center" wrapText="1"/>
      <protection hidden="1"/>
    </xf>
    <xf numFmtId="9" fontId="6" fillId="3" borderId="30" xfId="1" applyNumberFormat="1" applyFont="1" applyFill="1" applyBorder="1" applyAlignment="1" applyProtection="1">
      <alignment horizontal="center" vertical="center" wrapText="1"/>
      <protection hidden="1"/>
    </xf>
    <xf numFmtId="9" fontId="6" fillId="3" borderId="1" xfId="1" applyNumberFormat="1" applyFont="1" applyFill="1" applyBorder="1" applyAlignment="1" applyProtection="1">
      <alignment horizontal="center" vertical="center" wrapText="1"/>
      <protection hidden="1"/>
    </xf>
    <xf numFmtId="0" fontId="1" fillId="3" borderId="34" xfId="1" applyFont="1" applyFill="1" applyBorder="1" applyAlignment="1" applyProtection="1">
      <alignment horizontal="left" vertical="top" wrapText="1"/>
      <protection locked="0"/>
    </xf>
    <xf numFmtId="0" fontId="1" fillId="3" borderId="8" xfId="1" applyFont="1" applyFill="1" applyBorder="1" applyAlignment="1" applyProtection="1">
      <alignment horizontal="left" vertical="top" wrapText="1"/>
      <protection locked="0"/>
    </xf>
    <xf numFmtId="0" fontId="1" fillId="3" borderId="9" xfId="1" applyFont="1" applyFill="1" applyBorder="1" applyAlignment="1" applyProtection="1">
      <alignment horizontal="left" vertical="top" wrapText="1"/>
      <protection locked="0"/>
    </xf>
    <xf numFmtId="1" fontId="1" fillId="5" borderId="4" xfId="0" applyNumberFormat="1" applyFont="1" applyFill="1" applyBorder="1" applyAlignment="1" applyProtection="1">
      <alignment horizontal="center" vertical="center"/>
      <protection locked="0"/>
    </xf>
    <xf numFmtId="1" fontId="18" fillId="2" borderId="35" xfId="0" applyNumberFormat="1" applyFont="1" applyFill="1" applyBorder="1" applyAlignment="1" applyProtection="1">
      <alignment horizontal="center" vertical="center" wrapText="1"/>
      <protection locked="0"/>
    </xf>
    <xf numFmtId="1" fontId="18" fillId="2" borderId="36" xfId="0" applyNumberFormat="1" applyFont="1" applyFill="1" applyBorder="1" applyAlignment="1" applyProtection="1">
      <alignment horizontal="center" vertical="center" wrapText="1"/>
      <protection locked="0"/>
    </xf>
    <xf numFmtId="1" fontId="18" fillId="2" borderId="37" xfId="0" applyNumberFormat="1" applyFont="1" applyFill="1" applyBorder="1" applyAlignment="1" applyProtection="1">
      <alignment horizontal="center" vertical="center" wrapText="1"/>
      <protection locked="0"/>
    </xf>
    <xf numFmtId="1" fontId="6" fillId="5" borderId="4" xfId="0" applyNumberFormat="1" applyFont="1" applyFill="1" applyBorder="1" applyAlignment="1" applyProtection="1">
      <alignment horizontal="center" vertical="center"/>
      <protection locked="0"/>
    </xf>
    <xf numFmtId="0" fontId="1" fillId="5" borderId="4" xfId="0" applyFont="1" applyFill="1" applyBorder="1" applyAlignment="1" applyProtection="1">
      <alignment horizontal="center" vertical="center"/>
      <protection locked="0"/>
    </xf>
    <xf numFmtId="0" fontId="1" fillId="5" borderId="4" xfId="0" applyFont="1" applyFill="1" applyBorder="1" applyAlignment="1" applyProtection="1">
      <alignment horizontal="center" vertical="center" wrapText="1"/>
      <protection locked="0"/>
    </xf>
    <xf numFmtId="0" fontId="1" fillId="5" borderId="6" xfId="0" applyFont="1" applyFill="1" applyBorder="1" applyAlignment="1" applyProtection="1">
      <alignment horizontal="center" vertical="center" wrapText="1"/>
      <protection locked="0"/>
    </xf>
    <xf numFmtId="0" fontId="7" fillId="3" borderId="18" xfId="0" applyFont="1" applyFill="1" applyBorder="1" applyAlignment="1">
      <alignment horizontal="left" vertical="top" wrapText="1"/>
    </xf>
    <xf numFmtId="0" fontId="7" fillId="3" borderId="0" xfId="0" applyFont="1" applyFill="1" applyBorder="1" applyAlignment="1">
      <alignment horizontal="left" vertical="top" wrapText="1"/>
    </xf>
    <xf numFmtId="0" fontId="7" fillId="3" borderId="19" xfId="0" applyFont="1" applyFill="1" applyBorder="1" applyAlignment="1">
      <alignment horizontal="left" vertical="top" wrapText="1"/>
    </xf>
    <xf numFmtId="0" fontId="7" fillId="3" borderId="20" xfId="0" applyFont="1" applyFill="1" applyBorder="1" applyAlignment="1">
      <alignment horizontal="left" vertical="top" wrapText="1"/>
    </xf>
    <xf numFmtId="0" fontId="7" fillId="3" borderId="21" xfId="0" applyFont="1" applyFill="1" applyBorder="1" applyAlignment="1">
      <alignment horizontal="left" vertical="top" wrapText="1"/>
    </xf>
    <xf numFmtId="0" fontId="7" fillId="3" borderId="22" xfId="0" applyFont="1" applyFill="1" applyBorder="1" applyAlignment="1">
      <alignment horizontal="left" vertical="top" wrapText="1"/>
    </xf>
    <xf numFmtId="0" fontId="5" fillId="3" borderId="7" xfId="0" applyFont="1" applyFill="1" applyBorder="1" applyAlignment="1">
      <alignment horizontal="left" vertical="top" wrapText="1"/>
    </xf>
    <xf numFmtId="0" fontId="5" fillId="3" borderId="10" xfId="0" applyFont="1" applyFill="1" applyBorder="1" applyAlignment="1">
      <alignment horizontal="left" vertical="top" wrapText="1"/>
    </xf>
    <xf numFmtId="0" fontId="5" fillId="3" borderId="8" xfId="0" applyFont="1" applyFill="1" applyBorder="1" applyAlignment="1">
      <alignment horizontal="left" vertical="top" wrapText="1"/>
    </xf>
    <xf numFmtId="0" fontId="5" fillId="3" borderId="4" xfId="0" applyFont="1" applyFill="1" applyBorder="1" applyAlignment="1">
      <alignment horizontal="left" vertical="center"/>
    </xf>
    <xf numFmtId="165" fontId="8" fillId="3" borderId="4" xfId="0" applyNumberFormat="1" applyFont="1" applyFill="1" applyBorder="1" applyAlignment="1">
      <alignment horizontal="center" vertical="center"/>
    </xf>
    <xf numFmtId="2" fontId="8" fillId="3" borderId="4" xfId="0" applyNumberFormat="1" applyFont="1" applyFill="1" applyBorder="1" applyAlignment="1">
      <alignment horizontal="center" vertical="center"/>
    </xf>
    <xf numFmtId="0" fontId="9" fillId="2" borderId="7"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6" fillId="3" borderId="7" xfId="1" applyFont="1" applyFill="1" applyBorder="1" applyAlignment="1" applyProtection="1">
      <alignment horizontal="center" vertical="center" wrapText="1"/>
      <protection locked="0"/>
    </xf>
    <xf numFmtId="0" fontId="6" fillId="3" borderId="9" xfId="1" applyFont="1" applyFill="1" applyBorder="1" applyAlignment="1" applyProtection="1">
      <alignment horizontal="center" vertical="center" wrapText="1"/>
      <protection locked="0"/>
    </xf>
    <xf numFmtId="0" fontId="5" fillId="3" borderId="4" xfId="0" applyFont="1" applyFill="1" applyBorder="1" applyAlignment="1">
      <alignment horizontal="center" vertical="center" wrapText="1"/>
    </xf>
    <xf numFmtId="0" fontId="8" fillId="3" borderId="4" xfId="0" applyFont="1" applyFill="1" applyBorder="1" applyAlignment="1">
      <alignment horizontal="left" vertical="center" wrapText="1"/>
    </xf>
    <xf numFmtId="0" fontId="5" fillId="3" borderId="4" xfId="0" applyFont="1" applyFill="1" applyBorder="1" applyAlignment="1">
      <alignment horizontal="left" vertical="center" wrapText="1"/>
    </xf>
    <xf numFmtId="0" fontId="9" fillId="2" borderId="4" xfId="0" applyFont="1" applyFill="1" applyBorder="1" applyAlignment="1">
      <alignment horizontal="center" vertical="center" wrapText="1"/>
    </xf>
    <xf numFmtId="0" fontId="9" fillId="2" borderId="14" xfId="0" applyFont="1" applyFill="1" applyBorder="1" applyAlignment="1">
      <alignment horizontal="center" vertical="top" wrapText="1"/>
    </xf>
    <xf numFmtId="0" fontId="9" fillId="2" borderId="13" xfId="0" applyFont="1" applyFill="1" applyBorder="1" applyAlignment="1">
      <alignment horizontal="center" vertical="top" wrapText="1"/>
    </xf>
    <xf numFmtId="0" fontId="5" fillId="3" borderId="14"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10" xfId="0" applyFont="1" applyFill="1" applyBorder="1" applyAlignment="1">
      <alignment horizontal="center" vertical="center"/>
    </xf>
    <xf numFmtId="0" fontId="9" fillId="3" borderId="4"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8" fillId="3" borderId="4" xfId="0" applyFont="1" applyFill="1" applyBorder="1" applyAlignment="1">
      <alignment horizontal="left" vertical="center"/>
    </xf>
    <xf numFmtId="0" fontId="1" fillId="2" borderId="4" xfId="0" applyFont="1" applyFill="1" applyBorder="1" applyAlignment="1">
      <alignment horizontal="center" vertical="top" wrapText="1"/>
    </xf>
    <xf numFmtId="0" fontId="1" fillId="2" borderId="4" xfId="0" applyFont="1" applyFill="1" applyBorder="1" applyAlignment="1">
      <alignment horizontal="center" vertical="top"/>
    </xf>
    <xf numFmtId="0" fontId="5" fillId="3" borderId="4" xfId="0" applyFont="1" applyFill="1" applyBorder="1" applyAlignment="1">
      <alignment vertical="top" wrapText="1"/>
    </xf>
    <xf numFmtId="0" fontId="5" fillId="3" borderId="4" xfId="0" applyFont="1" applyFill="1" applyBorder="1" applyAlignment="1">
      <alignment vertical="top"/>
    </xf>
    <xf numFmtId="0" fontId="5" fillId="3" borderId="4" xfId="0" applyFont="1" applyFill="1" applyBorder="1" applyAlignment="1">
      <alignment horizontal="left" vertical="top"/>
    </xf>
    <xf numFmtId="0" fontId="8" fillId="3" borderId="4" xfId="0" applyFont="1" applyFill="1" applyBorder="1" applyAlignment="1">
      <alignment horizontal="left" vertical="top"/>
    </xf>
    <xf numFmtId="0" fontId="8" fillId="3" borderId="4" xfId="0" applyFont="1" applyFill="1" applyBorder="1" applyAlignment="1">
      <alignment horizontal="left" vertical="top" wrapText="1"/>
    </xf>
    <xf numFmtId="0" fontId="3" fillId="2" borderId="4" xfId="0" applyFont="1" applyFill="1" applyBorder="1" applyAlignment="1">
      <alignment horizontal="center" vertical="center"/>
    </xf>
    <xf numFmtId="0" fontId="6" fillId="3" borderId="4" xfId="0" applyFont="1" applyFill="1" applyBorder="1" applyAlignment="1">
      <alignment horizontal="left" vertical="center"/>
    </xf>
    <xf numFmtId="0" fontId="8" fillId="3" borderId="4" xfId="0" applyFont="1" applyFill="1" applyBorder="1" applyAlignment="1">
      <alignment vertical="top" wrapText="1"/>
    </xf>
    <xf numFmtId="0" fontId="10" fillId="3" borderId="4" xfId="0" applyFont="1" applyFill="1" applyBorder="1" applyAlignment="1">
      <alignment vertical="top" wrapText="1"/>
    </xf>
    <xf numFmtId="0" fontId="16" fillId="3" borderId="7" xfId="2" applyFill="1" applyBorder="1" applyAlignment="1">
      <alignment horizontal="left" vertical="top" wrapText="1"/>
    </xf>
    <xf numFmtId="0" fontId="5" fillId="3" borderId="4" xfId="0" applyFont="1" applyFill="1" applyBorder="1" applyAlignment="1">
      <alignment horizontal="left" vertical="top" wrapText="1"/>
    </xf>
    <xf numFmtId="14" fontId="8" fillId="3" borderId="4" xfId="0" applyNumberFormat="1" applyFont="1" applyFill="1" applyBorder="1" applyAlignment="1">
      <alignment horizontal="left" vertical="center"/>
    </xf>
    <xf numFmtId="0" fontId="9" fillId="2" borderId="4" xfId="0" applyFont="1" applyFill="1" applyBorder="1" applyAlignment="1">
      <alignment horizontal="left" vertical="top" wrapText="1"/>
    </xf>
    <xf numFmtId="1" fontId="8" fillId="3" borderId="4" xfId="0" applyNumberFormat="1" applyFont="1" applyFill="1" applyBorder="1" applyAlignment="1">
      <alignment horizontal="left" vertical="top"/>
    </xf>
    <xf numFmtId="0" fontId="9" fillId="2" borderId="4" xfId="0" applyFont="1" applyFill="1" applyBorder="1" applyAlignment="1">
      <alignment horizontal="left" vertical="center" wrapText="1"/>
    </xf>
    <xf numFmtId="0" fontId="9" fillId="2" borderId="4" xfId="0" applyFont="1" applyFill="1" applyBorder="1" applyAlignment="1">
      <alignment horizontal="center" vertical="top" wrapText="1"/>
    </xf>
    <xf numFmtId="0" fontId="8" fillId="3" borderId="4" xfId="0" applyFont="1" applyFill="1" applyBorder="1" applyAlignment="1">
      <alignment horizontal="center" vertical="center"/>
    </xf>
    <xf numFmtId="0" fontId="7" fillId="2" borderId="14" xfId="1" applyFont="1" applyFill="1" applyBorder="1" applyAlignment="1" applyProtection="1">
      <alignment horizontal="center" vertical="top" wrapText="1"/>
      <protection locked="0"/>
    </xf>
    <xf numFmtId="0" fontId="1" fillId="2" borderId="15" xfId="1" applyFont="1" applyFill="1" applyBorder="1" applyAlignment="1" applyProtection="1">
      <alignment horizontal="left" vertical="top" wrapText="1"/>
      <protection locked="0"/>
    </xf>
    <xf numFmtId="0" fontId="1" fillId="2" borderId="16" xfId="1" applyFont="1" applyFill="1" applyBorder="1" applyAlignment="1" applyProtection="1">
      <alignment horizontal="left" vertical="top" wrapText="1"/>
      <protection locked="0"/>
    </xf>
    <xf numFmtId="0" fontId="1" fillId="2" borderId="5" xfId="1" applyFont="1" applyFill="1" applyBorder="1" applyAlignment="1" applyProtection="1">
      <alignment horizontal="left" vertical="top" wrapText="1"/>
      <protection locked="0"/>
    </xf>
    <xf numFmtId="0" fontId="1" fillId="2" borderId="4" xfId="1" applyFont="1" applyFill="1" applyBorder="1" applyAlignment="1" applyProtection="1">
      <alignment horizontal="left" vertical="top" wrapText="1"/>
      <protection locked="0"/>
    </xf>
    <xf numFmtId="0" fontId="7" fillId="3" borderId="4" xfId="0" applyFont="1" applyFill="1" applyBorder="1" applyAlignment="1">
      <alignment horizontal="left" vertical="top" wrapText="1"/>
    </xf>
    <xf numFmtId="0" fontId="7" fillId="2" borderId="15" xfId="1" applyFont="1" applyFill="1" applyBorder="1" applyAlignment="1" applyProtection="1">
      <alignment horizontal="left" vertical="top" wrapText="1"/>
      <protection locked="0"/>
    </xf>
    <xf numFmtId="0" fontId="7" fillId="2" borderId="16" xfId="1" applyFont="1" applyFill="1" applyBorder="1" applyAlignment="1" applyProtection="1">
      <alignment horizontal="left" vertical="top" wrapText="1"/>
      <protection locked="0"/>
    </xf>
    <xf numFmtId="0" fontId="7" fillId="2" borderId="5" xfId="1" applyFont="1" applyFill="1" applyBorder="1" applyAlignment="1" applyProtection="1">
      <alignment horizontal="left" vertical="top" wrapText="1"/>
      <protection locked="0"/>
    </xf>
    <xf numFmtId="0" fontId="7" fillId="2" borderId="4" xfId="1" applyFont="1" applyFill="1" applyBorder="1" applyAlignment="1" applyProtection="1">
      <alignment horizontal="left" vertical="top" wrapText="1"/>
      <protection locked="0"/>
    </xf>
    <xf numFmtId="0" fontId="8" fillId="4" borderId="8" xfId="1" applyFont="1" applyFill="1" applyBorder="1" applyAlignment="1" applyProtection="1">
      <alignment horizontal="center" vertical="center" wrapText="1"/>
      <protection locked="0"/>
    </xf>
    <xf numFmtId="0" fontId="8" fillId="4" borderId="9" xfId="1" applyFont="1" applyFill="1" applyBorder="1" applyAlignment="1" applyProtection="1">
      <alignment horizontal="center" vertical="center" wrapText="1"/>
      <protection locked="0"/>
    </xf>
    <xf numFmtId="9" fontId="8" fillId="4" borderId="25" xfId="1" applyNumberFormat="1" applyFont="1" applyFill="1" applyBorder="1" applyAlignment="1" applyProtection="1">
      <alignment horizontal="center" vertical="center" wrapText="1"/>
      <protection hidden="1"/>
    </xf>
    <xf numFmtId="9" fontId="8" fillId="4" borderId="23" xfId="1" applyNumberFormat="1" applyFont="1" applyFill="1" applyBorder="1" applyAlignment="1" applyProtection="1">
      <alignment horizontal="center" vertical="center" wrapText="1"/>
      <protection hidden="1"/>
    </xf>
    <xf numFmtId="9" fontId="8" fillId="4" borderId="0" xfId="1" applyNumberFormat="1" applyFont="1" applyFill="1" applyBorder="1" applyAlignment="1" applyProtection="1">
      <alignment horizontal="center" vertical="center" wrapText="1"/>
      <protection hidden="1"/>
    </xf>
    <xf numFmtId="9" fontId="8" fillId="4" borderId="3" xfId="1" applyNumberFormat="1" applyFont="1" applyFill="1" applyBorder="1" applyAlignment="1" applyProtection="1">
      <alignment horizontal="center" vertical="center" wrapText="1"/>
      <protection hidden="1"/>
    </xf>
    <xf numFmtId="9" fontId="8" fillId="4" borderId="2" xfId="1" applyNumberFormat="1" applyFont="1" applyFill="1" applyBorder="1" applyAlignment="1" applyProtection="1">
      <alignment horizontal="center" vertical="center" wrapText="1"/>
      <protection hidden="1"/>
    </xf>
    <xf numFmtId="9" fontId="8" fillId="4" borderId="1" xfId="1" applyNumberFormat="1" applyFont="1" applyFill="1" applyBorder="1" applyAlignment="1" applyProtection="1">
      <alignment horizontal="center" vertical="center" wrapText="1"/>
      <protection hidden="1"/>
    </xf>
  </cellXfs>
  <cellStyles count="3">
    <cellStyle name="Hyperlink" xfId="2" builtinId="8"/>
    <cellStyle name="Normal" xfId="0" builtinId="0"/>
    <cellStyle name="Normal 3" xfId="1" xr:uid="{00000000-0005-0000-0000-000002000000}"/>
  </cellStyles>
  <dxfs count="0"/>
  <tableStyles count="0" defaultTableStyle="TableStyleMedium2" defaultPivotStyle="PivotStyleLight16"/>
  <colors>
    <mruColors>
      <color rgb="FF006600"/>
      <color rgb="FF0BC314"/>
      <color rgb="FF33CC33"/>
      <color rgb="FFE3F2F3"/>
      <color rgb="FFE5EEF1"/>
      <color rgb="FFBBDDBD"/>
      <color rgb="FFE1F5E7"/>
      <color rgb="FFF2FCDA"/>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3.png"/><Relationship Id="rId21" Type="http://schemas.openxmlformats.org/officeDocument/2006/relationships/image" Target="../media/image21.jpeg"/><Relationship Id="rId34" Type="http://schemas.openxmlformats.org/officeDocument/2006/relationships/image" Target="../media/image34.jpe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jpeg"/><Relationship Id="rId32" Type="http://schemas.openxmlformats.org/officeDocument/2006/relationships/image" Target="../media/image32.jpe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jpeg"/><Relationship Id="rId10" Type="http://schemas.openxmlformats.org/officeDocument/2006/relationships/image" Target="../media/image10.png"/><Relationship Id="rId19" Type="http://schemas.openxmlformats.org/officeDocument/2006/relationships/image" Target="../media/image19.jpeg"/><Relationship Id="rId31" Type="http://schemas.openxmlformats.org/officeDocument/2006/relationships/image" Target="../media/image31.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 Id="rId8" Type="http://schemas.openxmlformats.org/officeDocument/2006/relationships/image" Target="../media/image8.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7.png"/></Relationships>
</file>

<file path=xl/drawings/drawing1.xml><?xml version="1.0" encoding="utf-8"?>
<xdr:wsDr xmlns:xdr="http://schemas.openxmlformats.org/drawingml/2006/spreadsheetDrawing" xmlns:a="http://schemas.openxmlformats.org/drawingml/2006/main">
  <xdr:twoCellAnchor editAs="oneCell">
    <xdr:from>
      <xdr:col>6</xdr:col>
      <xdr:colOff>647285</xdr:colOff>
      <xdr:row>4</xdr:row>
      <xdr:rowOff>127138</xdr:rowOff>
    </xdr:from>
    <xdr:to>
      <xdr:col>13</xdr:col>
      <xdr:colOff>246624</xdr:colOff>
      <xdr:row>11</xdr:row>
      <xdr:rowOff>176111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438610" y="1479688"/>
          <a:ext cx="4180863" cy="1630123"/>
        </a:xfrm>
        <a:prstGeom prst="rect">
          <a:avLst/>
        </a:prstGeom>
      </xdr:spPr>
    </xdr:pic>
    <xdr:clientData/>
  </xdr:twoCellAnchor>
  <xdr:twoCellAnchor>
    <xdr:from>
      <xdr:col>1</xdr:col>
      <xdr:colOff>373978</xdr:colOff>
      <xdr:row>283</xdr:row>
      <xdr:rowOff>122464</xdr:rowOff>
    </xdr:from>
    <xdr:to>
      <xdr:col>3</xdr:col>
      <xdr:colOff>762000</xdr:colOff>
      <xdr:row>295</xdr:row>
      <xdr:rowOff>13564</xdr:rowOff>
    </xdr:to>
    <xdr:grpSp>
      <xdr:nvGrpSpPr>
        <xdr:cNvPr id="35" name="Group 34">
          <a:extLst>
            <a:ext uri="{FF2B5EF4-FFF2-40B4-BE49-F238E27FC236}">
              <a16:creationId xmlns:a16="http://schemas.microsoft.com/office/drawing/2014/main" id="{00000000-0008-0000-0000-000023000000}"/>
            </a:ext>
          </a:extLst>
        </xdr:cNvPr>
        <xdr:cNvGrpSpPr/>
      </xdr:nvGrpSpPr>
      <xdr:grpSpPr>
        <a:xfrm>
          <a:off x="2013935" y="58084160"/>
          <a:ext cx="2425543" cy="2541534"/>
          <a:chOff x="1239678" y="0"/>
          <a:chExt cx="2292368" cy="3170767"/>
        </a:xfrm>
      </xdr:grpSpPr>
      <xdr:pic>
        <xdr:nvPicPr>
          <xdr:cNvPr id="36" name="Picture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2"/>
          <a:stretch>
            <a:fillRect/>
          </a:stretch>
        </xdr:blipFill>
        <xdr:spPr>
          <a:xfrm rot="5400000">
            <a:off x="746957" y="492721"/>
            <a:ext cx="3170767" cy="2185325"/>
          </a:xfrm>
          <a:prstGeom prst="rect">
            <a:avLst/>
          </a:prstGeom>
          <a:ln>
            <a:solidFill>
              <a:schemeClr val="tx1"/>
            </a:solidFill>
          </a:ln>
        </xdr:spPr>
      </xdr:pic>
      <xdr:grpSp>
        <xdr:nvGrpSpPr>
          <xdr:cNvPr id="37" name="Group 36">
            <a:extLst>
              <a:ext uri="{FF2B5EF4-FFF2-40B4-BE49-F238E27FC236}">
                <a16:creationId xmlns:a16="http://schemas.microsoft.com/office/drawing/2014/main" id="{00000000-0008-0000-0000-000025000000}"/>
              </a:ext>
            </a:extLst>
          </xdr:cNvPr>
          <xdr:cNvGrpSpPr/>
        </xdr:nvGrpSpPr>
        <xdr:grpSpPr>
          <a:xfrm>
            <a:off x="3172819" y="2443133"/>
            <a:ext cx="359227" cy="549781"/>
            <a:chOff x="3172819" y="2443132"/>
            <a:chExt cx="221944" cy="688516"/>
          </a:xfrm>
        </xdr:grpSpPr>
        <xdr:sp macro="" textlink="">
          <xdr:nvSpPr>
            <xdr:cNvPr id="38" name="TextBox 7">
              <a:extLst>
                <a:ext uri="{FF2B5EF4-FFF2-40B4-BE49-F238E27FC236}">
                  <a16:creationId xmlns:a16="http://schemas.microsoft.com/office/drawing/2014/main" id="{00000000-0008-0000-0000-000026000000}"/>
                </a:ext>
              </a:extLst>
            </xdr:cNvPr>
            <xdr:cNvSpPr txBox="1"/>
          </xdr:nvSpPr>
          <xdr:spPr>
            <a:xfrm>
              <a:off x="3172819" y="2443132"/>
              <a:ext cx="221944" cy="309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1600" b="1"/>
                <a:t>N</a:t>
              </a:r>
            </a:p>
          </xdr:txBody>
        </xdr:sp>
        <xdr:cxnSp macro="">
          <xdr:nvCxnSpPr>
            <xdr:cNvPr id="39" name="Straight Arrow Connector 38">
              <a:extLst>
                <a:ext uri="{FF2B5EF4-FFF2-40B4-BE49-F238E27FC236}">
                  <a16:creationId xmlns:a16="http://schemas.microsoft.com/office/drawing/2014/main" id="{00000000-0008-0000-0000-000027000000}"/>
                </a:ext>
              </a:extLst>
            </xdr:cNvPr>
            <xdr:cNvCxnSpPr/>
          </xdr:nvCxnSpPr>
          <xdr:spPr>
            <a:xfrm flipV="1">
              <a:off x="3266931" y="2807647"/>
              <a:ext cx="0" cy="324001"/>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editAs="oneCell">
    <xdr:from>
      <xdr:col>0</xdr:col>
      <xdr:colOff>1548608</xdr:colOff>
      <xdr:row>333</xdr:row>
      <xdr:rowOff>119423</xdr:rowOff>
    </xdr:from>
    <xdr:to>
      <xdr:col>4</xdr:col>
      <xdr:colOff>444765</xdr:colOff>
      <xdr:row>349</xdr:row>
      <xdr:rowOff>26851</xdr:rowOff>
    </xdr:to>
    <xdr:pic>
      <xdr:nvPicPr>
        <xdr:cNvPr id="52" name="Picture 51">
          <a:extLst>
            <a:ext uri="{FF2B5EF4-FFF2-40B4-BE49-F238E27FC236}">
              <a16:creationId xmlns:a16="http://schemas.microsoft.com/office/drawing/2014/main" id="{00000000-0008-0000-0000-000034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1548608" y="66701894"/>
          <a:ext cx="3560686" cy="2520000"/>
        </a:xfrm>
        <a:prstGeom prst="rect">
          <a:avLst/>
        </a:prstGeom>
        <a:ln>
          <a:solidFill>
            <a:schemeClr val="tx1"/>
          </a:solidFill>
        </a:ln>
      </xdr:spPr>
    </xdr:pic>
    <xdr:clientData/>
  </xdr:twoCellAnchor>
  <xdr:twoCellAnchor>
    <xdr:from>
      <xdr:col>0</xdr:col>
      <xdr:colOff>463006</xdr:colOff>
      <xdr:row>296</xdr:row>
      <xdr:rowOff>46369</xdr:rowOff>
    </xdr:from>
    <xdr:to>
      <xdr:col>5</xdr:col>
      <xdr:colOff>530203</xdr:colOff>
      <xdr:row>329</xdr:row>
      <xdr:rowOff>87085</xdr:rowOff>
    </xdr:to>
    <xdr:grpSp>
      <xdr:nvGrpSpPr>
        <xdr:cNvPr id="76" name="Group 75">
          <a:extLst>
            <a:ext uri="{FF2B5EF4-FFF2-40B4-BE49-F238E27FC236}">
              <a16:creationId xmlns:a16="http://schemas.microsoft.com/office/drawing/2014/main" id="{00000000-0008-0000-0000-00004C000000}"/>
            </a:ext>
          </a:extLst>
        </xdr:cNvPr>
        <xdr:cNvGrpSpPr/>
      </xdr:nvGrpSpPr>
      <xdr:grpSpPr>
        <a:xfrm>
          <a:off x="463006" y="60824152"/>
          <a:ext cx="5757349" cy="5507237"/>
          <a:chOff x="770059" y="43066188"/>
          <a:chExt cx="5390139" cy="5140209"/>
        </a:xfrm>
      </xdr:grpSpPr>
      <xdr:grpSp>
        <xdr:nvGrpSpPr>
          <xdr:cNvPr id="56" name="Group 55">
            <a:extLst>
              <a:ext uri="{FF2B5EF4-FFF2-40B4-BE49-F238E27FC236}">
                <a16:creationId xmlns:a16="http://schemas.microsoft.com/office/drawing/2014/main" id="{00000000-0008-0000-0000-000038000000}"/>
              </a:ext>
            </a:extLst>
          </xdr:cNvPr>
          <xdr:cNvGrpSpPr/>
        </xdr:nvGrpSpPr>
        <xdr:grpSpPr>
          <a:xfrm>
            <a:off x="770059" y="43066188"/>
            <a:ext cx="5390139" cy="5140209"/>
            <a:chOff x="0" y="-1"/>
            <a:chExt cx="4991542" cy="5481911"/>
          </a:xfrm>
        </xdr:grpSpPr>
        <xdr:grpSp>
          <xdr:nvGrpSpPr>
            <xdr:cNvPr id="57" name="Group 56">
              <a:extLst>
                <a:ext uri="{FF2B5EF4-FFF2-40B4-BE49-F238E27FC236}">
                  <a16:creationId xmlns:a16="http://schemas.microsoft.com/office/drawing/2014/main" id="{00000000-0008-0000-0000-000039000000}"/>
                </a:ext>
              </a:extLst>
            </xdr:cNvPr>
            <xdr:cNvGrpSpPr/>
          </xdr:nvGrpSpPr>
          <xdr:grpSpPr>
            <a:xfrm rot="5400000">
              <a:off x="-239606" y="239605"/>
              <a:ext cx="5470753" cy="4991542"/>
              <a:chOff x="-239607" y="239606"/>
              <a:chExt cx="5665900" cy="4902127"/>
            </a:xfrm>
          </xdr:grpSpPr>
          <xdr:grpSp>
            <xdr:nvGrpSpPr>
              <xdr:cNvPr id="61" name="Group 60">
                <a:extLst>
                  <a:ext uri="{FF2B5EF4-FFF2-40B4-BE49-F238E27FC236}">
                    <a16:creationId xmlns:a16="http://schemas.microsoft.com/office/drawing/2014/main" id="{00000000-0008-0000-0000-00003D000000}"/>
                  </a:ext>
                </a:extLst>
              </xdr:cNvPr>
              <xdr:cNvGrpSpPr/>
            </xdr:nvGrpSpPr>
            <xdr:grpSpPr>
              <a:xfrm>
                <a:off x="-239607" y="239606"/>
                <a:ext cx="5665900" cy="4902127"/>
                <a:chOff x="-239607" y="239606"/>
                <a:chExt cx="5665900" cy="4902127"/>
              </a:xfrm>
            </xdr:grpSpPr>
            <xdr:pic>
              <xdr:nvPicPr>
                <xdr:cNvPr id="65" name="Picture 64">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4"/>
                <a:stretch>
                  <a:fillRect/>
                </a:stretch>
              </xdr:blipFill>
              <xdr:spPr>
                <a:xfrm>
                  <a:off x="-239607" y="239606"/>
                  <a:ext cx="5665900" cy="4902127"/>
                </a:xfrm>
                <a:prstGeom prst="rect">
                  <a:avLst/>
                </a:prstGeom>
                <a:ln>
                  <a:solidFill>
                    <a:schemeClr val="tx1"/>
                  </a:solidFill>
                </a:ln>
              </xdr:spPr>
            </xdr:pic>
            <xdr:grpSp>
              <xdr:nvGrpSpPr>
                <xdr:cNvPr id="66" name="Group 65">
                  <a:extLst>
                    <a:ext uri="{FF2B5EF4-FFF2-40B4-BE49-F238E27FC236}">
                      <a16:creationId xmlns:a16="http://schemas.microsoft.com/office/drawing/2014/main" id="{00000000-0008-0000-0000-000042000000}"/>
                    </a:ext>
                  </a:extLst>
                </xdr:cNvPr>
                <xdr:cNvGrpSpPr/>
              </xdr:nvGrpSpPr>
              <xdr:grpSpPr>
                <a:xfrm>
                  <a:off x="4798128" y="4128142"/>
                  <a:ext cx="336177" cy="604146"/>
                  <a:chOff x="4798128" y="4128142"/>
                  <a:chExt cx="336177" cy="604146"/>
                </a:xfrm>
              </xdr:grpSpPr>
              <xdr:sp macro="" textlink="">
                <xdr:nvSpPr>
                  <xdr:cNvPr id="67" name="TextBox 7">
                    <a:extLst>
                      <a:ext uri="{FF2B5EF4-FFF2-40B4-BE49-F238E27FC236}">
                        <a16:creationId xmlns:a16="http://schemas.microsoft.com/office/drawing/2014/main" id="{00000000-0008-0000-0000-000043000000}"/>
                      </a:ext>
                    </a:extLst>
                  </xdr:cNvPr>
                  <xdr:cNvSpPr txBox="1"/>
                </xdr:nvSpPr>
                <xdr:spPr>
                  <a:xfrm>
                    <a:off x="4798128" y="4128142"/>
                    <a:ext cx="336177" cy="347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1600" b="1"/>
                      <a:t>N</a:t>
                    </a:r>
                  </a:p>
                </xdr:txBody>
              </xdr:sp>
              <xdr:cxnSp macro="">
                <xdr:nvCxnSpPr>
                  <xdr:cNvPr id="68" name="Straight Arrow Connector 67">
                    <a:extLst>
                      <a:ext uri="{FF2B5EF4-FFF2-40B4-BE49-F238E27FC236}">
                        <a16:creationId xmlns:a16="http://schemas.microsoft.com/office/drawing/2014/main" id="{00000000-0008-0000-0000-000044000000}"/>
                      </a:ext>
                    </a:extLst>
                  </xdr:cNvPr>
                  <xdr:cNvCxnSpPr/>
                </xdr:nvCxnSpPr>
                <xdr:spPr>
                  <a:xfrm rot="16200000">
                    <a:off x="4793011" y="4570288"/>
                    <a:ext cx="324000"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62" name="Rectangle 61">
                <a:extLst>
                  <a:ext uri="{FF2B5EF4-FFF2-40B4-BE49-F238E27FC236}">
                    <a16:creationId xmlns:a16="http://schemas.microsoft.com/office/drawing/2014/main" id="{00000000-0008-0000-0000-00003E000000}"/>
                  </a:ext>
                </a:extLst>
              </xdr:cNvPr>
              <xdr:cNvSpPr/>
            </xdr:nvSpPr>
            <xdr:spPr>
              <a:xfrm>
                <a:off x="4364685" y="381711"/>
                <a:ext cx="688659" cy="1566865"/>
              </a:xfrm>
              <a:prstGeom prst="rect">
                <a:avLst/>
              </a:prstGeom>
              <a:no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63" name="L-Shape 62">
                <a:extLst>
                  <a:ext uri="{FF2B5EF4-FFF2-40B4-BE49-F238E27FC236}">
                    <a16:creationId xmlns:a16="http://schemas.microsoft.com/office/drawing/2014/main" id="{00000000-0008-0000-0000-00003F000000}"/>
                  </a:ext>
                </a:extLst>
              </xdr:cNvPr>
              <xdr:cNvSpPr/>
            </xdr:nvSpPr>
            <xdr:spPr>
              <a:xfrm rot="16200000">
                <a:off x="3849540" y="2015492"/>
                <a:ext cx="1243011" cy="1164597"/>
              </a:xfrm>
              <a:prstGeom prst="corner">
                <a:avLst>
                  <a:gd name="adj1" fmla="val 57934"/>
                  <a:gd name="adj2" fmla="val 76435"/>
                </a:avLst>
              </a:prstGeom>
              <a:noFill/>
              <a:ln>
                <a:solidFill>
                  <a:srgbClr val="CC0099"/>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64" name="Rectangle 63">
                <a:extLst>
                  <a:ext uri="{FF2B5EF4-FFF2-40B4-BE49-F238E27FC236}">
                    <a16:creationId xmlns:a16="http://schemas.microsoft.com/office/drawing/2014/main" id="{00000000-0008-0000-0000-000040000000}"/>
                  </a:ext>
                </a:extLst>
              </xdr:cNvPr>
              <xdr:cNvSpPr/>
            </xdr:nvSpPr>
            <xdr:spPr>
              <a:xfrm rot="3733356">
                <a:off x="1469438" y="3280920"/>
                <a:ext cx="727848" cy="1829015"/>
              </a:xfrm>
              <a:prstGeom prst="rect">
                <a:avLst/>
              </a:prstGeom>
              <a:noFill/>
              <a:ln>
                <a:solidFill>
                  <a:srgbClr val="0066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sp macro="" textlink="">
          <xdr:nvSpPr>
            <xdr:cNvPr id="58" name="TextBox 50">
              <a:extLst>
                <a:ext uri="{FF2B5EF4-FFF2-40B4-BE49-F238E27FC236}">
                  <a16:creationId xmlns:a16="http://schemas.microsoft.com/office/drawing/2014/main" id="{00000000-0008-0000-0000-00003A000000}"/>
                </a:ext>
              </a:extLst>
            </xdr:cNvPr>
            <xdr:cNvSpPr txBox="1"/>
          </xdr:nvSpPr>
          <xdr:spPr>
            <a:xfrm>
              <a:off x="2155193" y="5107068"/>
              <a:ext cx="924376" cy="37126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900" b="1">
                  <a:solidFill>
                    <a:srgbClr val="CC0099"/>
                  </a:solidFill>
                  <a:latin typeface="Times New Roman" panose="02020603050405020304" pitchFamily="18" charset="0"/>
                  <a:cs typeface="Times New Roman" panose="02020603050405020304" pitchFamily="18" charset="0"/>
                </a:rPr>
                <a:t>Building No.1  Wing B</a:t>
              </a:r>
              <a:endParaRPr lang="en-IN" sz="900" b="1">
                <a:solidFill>
                  <a:srgbClr val="CC0099"/>
                </a:solidFill>
                <a:latin typeface="Times New Roman" panose="02020603050405020304" pitchFamily="18" charset="0"/>
                <a:cs typeface="Times New Roman" panose="02020603050405020304" pitchFamily="18" charset="0"/>
              </a:endParaRPr>
            </a:p>
          </xdr:txBody>
        </xdr:sp>
        <xdr:sp macro="" textlink="">
          <xdr:nvSpPr>
            <xdr:cNvPr id="59" name="TextBox 50">
              <a:extLst>
                <a:ext uri="{FF2B5EF4-FFF2-40B4-BE49-F238E27FC236}">
                  <a16:creationId xmlns:a16="http://schemas.microsoft.com/office/drawing/2014/main" id="{00000000-0008-0000-0000-00003B000000}"/>
                </a:ext>
              </a:extLst>
            </xdr:cNvPr>
            <xdr:cNvSpPr txBox="1"/>
          </xdr:nvSpPr>
          <xdr:spPr>
            <a:xfrm>
              <a:off x="3532046" y="5110649"/>
              <a:ext cx="804534" cy="37126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900" b="1">
                  <a:solidFill>
                    <a:srgbClr val="002060"/>
                  </a:solidFill>
                  <a:latin typeface="Times New Roman" panose="02020603050405020304" pitchFamily="18" charset="0"/>
                  <a:cs typeface="Times New Roman" panose="02020603050405020304" pitchFamily="18" charset="0"/>
                </a:rPr>
                <a:t>Building No.1 Wing  A</a:t>
              </a:r>
              <a:endParaRPr lang="en-IN" sz="900" b="1">
                <a:solidFill>
                  <a:srgbClr val="002060"/>
                </a:solidFill>
                <a:latin typeface="Times New Roman" panose="02020603050405020304" pitchFamily="18" charset="0"/>
                <a:cs typeface="Times New Roman" panose="02020603050405020304" pitchFamily="18" charset="0"/>
              </a:endParaRPr>
            </a:p>
          </xdr:txBody>
        </xdr:sp>
        <xdr:sp macro="" textlink="">
          <xdr:nvSpPr>
            <xdr:cNvPr id="60" name="TextBox 50">
              <a:extLst>
                <a:ext uri="{FF2B5EF4-FFF2-40B4-BE49-F238E27FC236}">
                  <a16:creationId xmlns:a16="http://schemas.microsoft.com/office/drawing/2014/main" id="{00000000-0008-0000-0000-00003C000000}"/>
                </a:ext>
              </a:extLst>
            </xdr:cNvPr>
            <xdr:cNvSpPr txBox="1"/>
          </xdr:nvSpPr>
          <xdr:spPr>
            <a:xfrm rot="3708279">
              <a:off x="27374" y="2053417"/>
              <a:ext cx="948333" cy="310088"/>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900" b="1">
                  <a:solidFill>
                    <a:srgbClr val="006600"/>
                  </a:solidFill>
                  <a:latin typeface="Times New Roman" panose="02020603050405020304" pitchFamily="18" charset="0"/>
                  <a:cs typeface="Times New Roman" panose="02020603050405020304" pitchFamily="18" charset="0"/>
                </a:rPr>
                <a:t>Building No.2 Wing C</a:t>
              </a:r>
              <a:endParaRPr lang="en-IN" sz="900" b="1">
                <a:solidFill>
                  <a:srgbClr val="006600"/>
                </a:solidFill>
                <a:latin typeface="Times New Roman" panose="02020603050405020304" pitchFamily="18" charset="0"/>
                <a:cs typeface="Times New Roman" panose="02020603050405020304" pitchFamily="18" charset="0"/>
              </a:endParaRPr>
            </a:p>
          </xdr:txBody>
        </xdr:sp>
        <xdr:sp macro="" textlink="">
          <xdr:nvSpPr>
            <xdr:cNvPr id="74" name="TextBox 50">
              <a:extLst>
                <a:ext uri="{FF2B5EF4-FFF2-40B4-BE49-F238E27FC236}">
                  <a16:creationId xmlns:a16="http://schemas.microsoft.com/office/drawing/2014/main" id="{00000000-0008-0000-0000-00004A000000}"/>
                </a:ext>
              </a:extLst>
            </xdr:cNvPr>
            <xdr:cNvSpPr txBox="1"/>
          </xdr:nvSpPr>
          <xdr:spPr>
            <a:xfrm rot="20545989">
              <a:off x="1076362" y="3153569"/>
              <a:ext cx="1433448" cy="25575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000" b="1">
                  <a:solidFill>
                    <a:srgbClr val="FF0000"/>
                  </a:solidFill>
                  <a:latin typeface="Times New Roman" panose="02020603050405020304" pitchFamily="18" charset="0"/>
                  <a:cs typeface="Times New Roman" panose="02020603050405020304" pitchFamily="18" charset="0"/>
                </a:rPr>
                <a:t>High Tension Lines</a:t>
              </a:r>
              <a:endParaRPr lang="en-IN" sz="1000" b="1">
                <a:solidFill>
                  <a:srgbClr val="FF0000"/>
                </a:solidFill>
                <a:latin typeface="Times New Roman" panose="02020603050405020304" pitchFamily="18" charset="0"/>
                <a:cs typeface="Times New Roman" panose="02020603050405020304" pitchFamily="18" charset="0"/>
              </a:endParaRPr>
            </a:p>
          </xdr:txBody>
        </xdr:sp>
      </xdr:grpSp>
      <xdr:grpSp>
        <xdr:nvGrpSpPr>
          <xdr:cNvPr id="75" name="Group 74">
            <a:extLst>
              <a:ext uri="{FF2B5EF4-FFF2-40B4-BE49-F238E27FC236}">
                <a16:creationId xmlns:a16="http://schemas.microsoft.com/office/drawing/2014/main" id="{00000000-0008-0000-0000-00004B000000}"/>
              </a:ext>
            </a:extLst>
          </xdr:cNvPr>
          <xdr:cNvGrpSpPr/>
        </xdr:nvGrpSpPr>
        <xdr:grpSpPr>
          <a:xfrm>
            <a:off x="1406768" y="45712674"/>
            <a:ext cx="2769578" cy="981808"/>
            <a:chOff x="1370134" y="45961789"/>
            <a:chExt cx="2769578" cy="981808"/>
          </a:xfrm>
        </xdr:grpSpPr>
        <xdr:cxnSp macro="">
          <xdr:nvCxnSpPr>
            <xdr:cNvPr id="70" name="Straight Connector 69">
              <a:extLst>
                <a:ext uri="{FF2B5EF4-FFF2-40B4-BE49-F238E27FC236}">
                  <a16:creationId xmlns:a16="http://schemas.microsoft.com/office/drawing/2014/main" id="{00000000-0008-0000-0000-000046000000}"/>
                </a:ext>
              </a:extLst>
            </xdr:cNvPr>
            <xdr:cNvCxnSpPr/>
          </xdr:nvCxnSpPr>
          <xdr:spPr>
            <a:xfrm flipV="1">
              <a:off x="1370134" y="45961789"/>
              <a:ext cx="2637693" cy="725366"/>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72" name="Straight Connector 71">
              <a:extLst>
                <a:ext uri="{FF2B5EF4-FFF2-40B4-BE49-F238E27FC236}">
                  <a16:creationId xmlns:a16="http://schemas.microsoft.com/office/drawing/2014/main" id="{00000000-0008-0000-0000-000048000000}"/>
                </a:ext>
              </a:extLst>
            </xdr:cNvPr>
            <xdr:cNvCxnSpPr/>
          </xdr:nvCxnSpPr>
          <xdr:spPr>
            <a:xfrm flipV="1">
              <a:off x="1502019" y="46218231"/>
              <a:ext cx="2637693" cy="725366"/>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73" name="Straight Connector 72">
              <a:extLst>
                <a:ext uri="{FF2B5EF4-FFF2-40B4-BE49-F238E27FC236}">
                  <a16:creationId xmlns:a16="http://schemas.microsoft.com/office/drawing/2014/main" id="{00000000-0008-0000-0000-000049000000}"/>
                </a:ext>
              </a:extLst>
            </xdr:cNvPr>
            <xdr:cNvCxnSpPr/>
          </xdr:nvCxnSpPr>
          <xdr:spPr>
            <a:xfrm flipV="1">
              <a:off x="1465385" y="46086346"/>
              <a:ext cx="2637693" cy="725366"/>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0</xdr:col>
      <xdr:colOff>353146</xdr:colOff>
      <xdr:row>350</xdr:row>
      <xdr:rowOff>50284</xdr:rowOff>
    </xdr:from>
    <xdr:to>
      <xdr:col>5</xdr:col>
      <xdr:colOff>792054</xdr:colOff>
      <xdr:row>376</xdr:row>
      <xdr:rowOff>101973</xdr:rowOff>
    </xdr:to>
    <xdr:grpSp>
      <xdr:nvGrpSpPr>
        <xdr:cNvPr id="89" name="Group 88">
          <a:extLst>
            <a:ext uri="{FF2B5EF4-FFF2-40B4-BE49-F238E27FC236}">
              <a16:creationId xmlns:a16="http://schemas.microsoft.com/office/drawing/2014/main" id="{00000000-0008-0000-0000-000059000000}"/>
            </a:ext>
          </a:extLst>
        </xdr:cNvPr>
        <xdr:cNvGrpSpPr/>
      </xdr:nvGrpSpPr>
      <xdr:grpSpPr>
        <a:xfrm>
          <a:off x="353146" y="69773284"/>
          <a:ext cx="6129060" cy="5203472"/>
          <a:chOff x="421823" y="52778443"/>
          <a:chExt cx="5814788" cy="4466807"/>
        </a:xfrm>
      </xdr:grpSpPr>
      <xdr:grpSp>
        <xdr:nvGrpSpPr>
          <xdr:cNvPr id="53" name="Group 52">
            <a:extLst>
              <a:ext uri="{FF2B5EF4-FFF2-40B4-BE49-F238E27FC236}">
                <a16:creationId xmlns:a16="http://schemas.microsoft.com/office/drawing/2014/main" id="{00000000-0008-0000-0000-000035000000}"/>
              </a:ext>
            </a:extLst>
          </xdr:cNvPr>
          <xdr:cNvGrpSpPr/>
        </xdr:nvGrpSpPr>
        <xdr:grpSpPr>
          <a:xfrm>
            <a:off x="421823" y="52778443"/>
            <a:ext cx="5814788" cy="4466807"/>
            <a:chOff x="629102" y="4100409"/>
            <a:chExt cx="5637895" cy="4133113"/>
          </a:xfrm>
        </xdr:grpSpPr>
        <xdr:pic>
          <xdr:nvPicPr>
            <xdr:cNvPr id="54" name="Picture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5"/>
            <a:stretch>
              <a:fillRect/>
            </a:stretch>
          </xdr:blipFill>
          <xdr:spPr>
            <a:xfrm>
              <a:off x="629102" y="4100409"/>
              <a:ext cx="5637895" cy="4133113"/>
            </a:xfrm>
            <a:prstGeom prst="rect">
              <a:avLst/>
            </a:prstGeom>
            <a:ln>
              <a:solidFill>
                <a:schemeClr val="tx1"/>
              </a:solidFill>
            </a:ln>
          </xdr:spPr>
        </xdr:pic>
        <xdr:sp macro="" textlink="">
          <xdr:nvSpPr>
            <xdr:cNvPr id="55" name="Freeform 54">
              <a:extLst>
                <a:ext uri="{FF2B5EF4-FFF2-40B4-BE49-F238E27FC236}">
                  <a16:creationId xmlns:a16="http://schemas.microsoft.com/office/drawing/2014/main" id="{00000000-0008-0000-0000-000037000000}"/>
                </a:ext>
              </a:extLst>
            </xdr:cNvPr>
            <xdr:cNvSpPr/>
          </xdr:nvSpPr>
          <xdr:spPr>
            <a:xfrm>
              <a:off x="2503467" y="5184386"/>
              <a:ext cx="1154133" cy="1233681"/>
            </a:xfrm>
            <a:custGeom>
              <a:avLst/>
              <a:gdLst>
                <a:gd name="connsiteX0" fmla="*/ 0 w 565150"/>
                <a:gd name="connsiteY0" fmla="*/ 717550 h 717550"/>
                <a:gd name="connsiteX1" fmla="*/ 19050 w 565150"/>
                <a:gd name="connsiteY1" fmla="*/ 660400 h 717550"/>
                <a:gd name="connsiteX2" fmla="*/ 304800 w 565150"/>
                <a:gd name="connsiteY2" fmla="*/ 317500 h 717550"/>
                <a:gd name="connsiteX3" fmla="*/ 412750 w 565150"/>
                <a:gd name="connsiteY3" fmla="*/ 0 h 717550"/>
                <a:gd name="connsiteX4" fmla="*/ 520700 w 565150"/>
                <a:gd name="connsiteY4" fmla="*/ 25400 h 717550"/>
                <a:gd name="connsiteX5" fmla="*/ 565150 w 565150"/>
                <a:gd name="connsiteY5" fmla="*/ 393700 h 717550"/>
                <a:gd name="connsiteX6" fmla="*/ 0 w 565150"/>
                <a:gd name="connsiteY6" fmla="*/ 717550 h 717550"/>
                <a:gd name="connsiteX0" fmla="*/ 0 w 569853"/>
                <a:gd name="connsiteY0" fmla="*/ 717550 h 717550"/>
                <a:gd name="connsiteX1" fmla="*/ 19050 w 569853"/>
                <a:gd name="connsiteY1" fmla="*/ 660400 h 717550"/>
                <a:gd name="connsiteX2" fmla="*/ 304800 w 569853"/>
                <a:gd name="connsiteY2" fmla="*/ 317500 h 717550"/>
                <a:gd name="connsiteX3" fmla="*/ 412750 w 569853"/>
                <a:gd name="connsiteY3" fmla="*/ 0 h 717550"/>
                <a:gd name="connsiteX4" fmla="*/ 520700 w 569853"/>
                <a:gd name="connsiteY4" fmla="*/ 25400 h 717550"/>
                <a:gd name="connsiteX5" fmla="*/ 569853 w 569853"/>
                <a:gd name="connsiteY5" fmla="*/ 360460 h 717550"/>
                <a:gd name="connsiteX6" fmla="*/ 0 w 569853"/>
                <a:gd name="connsiteY6" fmla="*/ 717550 h 7175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569853" h="717550">
                  <a:moveTo>
                    <a:pt x="0" y="717550"/>
                  </a:moveTo>
                  <a:lnTo>
                    <a:pt x="19050" y="660400"/>
                  </a:lnTo>
                  <a:lnTo>
                    <a:pt x="304800" y="317500"/>
                  </a:lnTo>
                  <a:lnTo>
                    <a:pt x="412750" y="0"/>
                  </a:lnTo>
                  <a:lnTo>
                    <a:pt x="520700" y="25400"/>
                  </a:lnTo>
                  <a:lnTo>
                    <a:pt x="569853" y="360460"/>
                  </a:lnTo>
                  <a:lnTo>
                    <a:pt x="0" y="717550"/>
                  </a:lnTo>
                  <a:close/>
                </a:path>
              </a:pathLst>
            </a:custGeom>
            <a:no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grpSp>
        <xdr:nvGrpSpPr>
          <xdr:cNvPr id="88" name="Group 87">
            <a:extLst>
              <a:ext uri="{FF2B5EF4-FFF2-40B4-BE49-F238E27FC236}">
                <a16:creationId xmlns:a16="http://schemas.microsoft.com/office/drawing/2014/main" id="{00000000-0008-0000-0000-000058000000}"/>
              </a:ext>
            </a:extLst>
          </xdr:cNvPr>
          <xdr:cNvGrpSpPr/>
        </xdr:nvGrpSpPr>
        <xdr:grpSpPr>
          <a:xfrm>
            <a:off x="2558560" y="53826273"/>
            <a:ext cx="864809" cy="1413801"/>
            <a:chOff x="2558560" y="53826273"/>
            <a:chExt cx="864809" cy="1413801"/>
          </a:xfrm>
        </xdr:grpSpPr>
        <xdr:cxnSp macro="">
          <xdr:nvCxnSpPr>
            <xdr:cNvPr id="78" name="Straight Connector 77">
              <a:extLst>
                <a:ext uri="{FF2B5EF4-FFF2-40B4-BE49-F238E27FC236}">
                  <a16:creationId xmlns:a16="http://schemas.microsoft.com/office/drawing/2014/main" id="{00000000-0008-0000-0000-00004E000000}"/>
                </a:ext>
              </a:extLst>
            </xdr:cNvPr>
            <xdr:cNvCxnSpPr/>
          </xdr:nvCxnSpPr>
          <xdr:spPr>
            <a:xfrm>
              <a:off x="2680789" y="54145922"/>
              <a:ext cx="673788" cy="1094152"/>
            </a:xfrm>
            <a:prstGeom prst="line">
              <a:avLst/>
            </a:prstGeom>
            <a:ln w="19050">
              <a:solidFill>
                <a:schemeClr val="bg1"/>
              </a:solidFill>
            </a:ln>
          </xdr:spPr>
          <xdr:style>
            <a:lnRef idx="1">
              <a:schemeClr val="accent1"/>
            </a:lnRef>
            <a:fillRef idx="0">
              <a:schemeClr val="accent1"/>
            </a:fillRef>
            <a:effectRef idx="0">
              <a:schemeClr val="accent1"/>
            </a:effectRef>
            <a:fontRef idx="minor">
              <a:schemeClr val="tx1"/>
            </a:fontRef>
          </xdr:style>
        </xdr:cxnSp>
        <xdr:cxnSp macro="">
          <xdr:nvCxnSpPr>
            <xdr:cNvPr id="80" name="Straight Connector 79">
              <a:extLst>
                <a:ext uri="{FF2B5EF4-FFF2-40B4-BE49-F238E27FC236}">
                  <a16:creationId xmlns:a16="http://schemas.microsoft.com/office/drawing/2014/main" id="{00000000-0008-0000-0000-000050000000}"/>
                </a:ext>
              </a:extLst>
            </xdr:cNvPr>
            <xdr:cNvCxnSpPr/>
          </xdr:nvCxnSpPr>
          <xdr:spPr>
            <a:xfrm>
              <a:off x="2753335" y="54111853"/>
              <a:ext cx="670034" cy="1090448"/>
            </a:xfrm>
            <a:prstGeom prst="line">
              <a:avLst/>
            </a:prstGeom>
            <a:ln w="19050">
              <a:solidFill>
                <a:schemeClr val="bg1"/>
              </a:solidFill>
            </a:ln>
          </xdr:spPr>
          <xdr:style>
            <a:lnRef idx="1">
              <a:schemeClr val="accent1"/>
            </a:lnRef>
            <a:fillRef idx="0">
              <a:schemeClr val="accent1"/>
            </a:fillRef>
            <a:effectRef idx="0">
              <a:schemeClr val="accent1"/>
            </a:effectRef>
            <a:fontRef idx="minor">
              <a:schemeClr val="tx1"/>
            </a:fontRef>
          </xdr:style>
        </xdr:cxnSp>
        <xdr:sp macro="" textlink="">
          <xdr:nvSpPr>
            <xdr:cNvPr id="87" name="TextBox 86">
              <a:extLst>
                <a:ext uri="{FF2B5EF4-FFF2-40B4-BE49-F238E27FC236}">
                  <a16:creationId xmlns:a16="http://schemas.microsoft.com/office/drawing/2014/main" id="{00000000-0008-0000-0000-000057000000}"/>
                </a:ext>
              </a:extLst>
            </xdr:cNvPr>
            <xdr:cNvSpPr txBox="1"/>
          </xdr:nvSpPr>
          <xdr:spPr>
            <a:xfrm rot="3708212">
              <a:off x="2084044" y="54300789"/>
              <a:ext cx="1308453" cy="3594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900" b="1">
                  <a:solidFill>
                    <a:schemeClr val="bg1"/>
                  </a:solidFill>
                </a:rPr>
                <a:t>High Tension Lines</a:t>
              </a:r>
            </a:p>
          </xdr:txBody>
        </xdr:sp>
      </xdr:grpSp>
    </xdr:grpSp>
    <xdr:clientData/>
  </xdr:twoCellAnchor>
  <xdr:twoCellAnchor editAs="oneCell">
    <xdr:from>
      <xdr:col>7</xdr:col>
      <xdr:colOff>96371</xdr:colOff>
      <xdr:row>38</xdr:row>
      <xdr:rowOff>15543</xdr:rowOff>
    </xdr:from>
    <xdr:to>
      <xdr:col>12</xdr:col>
      <xdr:colOff>118784</xdr:colOff>
      <xdr:row>45</xdr:row>
      <xdr:rowOff>647084</xdr:rowOff>
    </xdr:to>
    <xdr:pic>
      <xdr:nvPicPr>
        <xdr:cNvPr id="91" name="Picture 90">
          <a:extLst>
            <a:ext uri="{FF2B5EF4-FFF2-40B4-BE49-F238E27FC236}">
              <a16:creationId xmlns:a16="http://schemas.microsoft.com/office/drawing/2014/main" id="{00000000-0008-0000-0000-00005B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7806018" y="11613631"/>
          <a:ext cx="3025588" cy="2110716"/>
        </a:xfrm>
        <a:prstGeom prst="rect">
          <a:avLst/>
        </a:prstGeom>
      </xdr:spPr>
    </xdr:pic>
    <xdr:clientData/>
  </xdr:twoCellAnchor>
  <xdr:twoCellAnchor editAs="oneCell">
    <xdr:from>
      <xdr:col>6</xdr:col>
      <xdr:colOff>550063</xdr:colOff>
      <xdr:row>44</xdr:row>
      <xdr:rowOff>348356</xdr:rowOff>
    </xdr:from>
    <xdr:to>
      <xdr:col>19</xdr:col>
      <xdr:colOff>63731</xdr:colOff>
      <xdr:row>48</xdr:row>
      <xdr:rowOff>317192</xdr:rowOff>
    </xdr:to>
    <xdr:pic>
      <xdr:nvPicPr>
        <xdr:cNvPr id="92" name="Picture 91">
          <a:extLst>
            <a:ext uri="{FF2B5EF4-FFF2-40B4-BE49-F238E27FC236}">
              <a16:creationId xmlns:a16="http://schemas.microsoft.com/office/drawing/2014/main" id="{00000000-0008-0000-0000-00005C000000}"/>
            </a:ext>
          </a:extLst>
        </xdr:cNvPr>
        <xdr:cNvPicPr>
          <a:picLocks noChangeAspect="1"/>
        </xdr:cNvPicPr>
      </xdr:nvPicPr>
      <xdr:blipFill>
        <a:blip xmlns:r="http://schemas.openxmlformats.org/officeDocument/2006/relationships" r:embed="rId7"/>
        <a:stretch>
          <a:fillRect/>
        </a:stretch>
      </xdr:blipFill>
      <xdr:spPr>
        <a:xfrm>
          <a:off x="7340828" y="13033415"/>
          <a:ext cx="7693961" cy="1537660"/>
        </a:xfrm>
        <a:prstGeom prst="rect">
          <a:avLst/>
        </a:prstGeom>
      </xdr:spPr>
    </xdr:pic>
    <xdr:clientData/>
  </xdr:twoCellAnchor>
  <xdr:twoCellAnchor>
    <xdr:from>
      <xdr:col>0</xdr:col>
      <xdr:colOff>1050047</xdr:colOff>
      <xdr:row>241</xdr:row>
      <xdr:rowOff>94885</xdr:rowOff>
    </xdr:from>
    <xdr:to>
      <xdr:col>1</xdr:col>
      <xdr:colOff>323368</xdr:colOff>
      <xdr:row>243</xdr:row>
      <xdr:rowOff>8758</xdr:rowOff>
    </xdr:to>
    <xdr:sp macro="" textlink="">
      <xdr:nvSpPr>
        <xdr:cNvPr id="105" name="Rectangle 104">
          <a:extLst>
            <a:ext uri="{FF2B5EF4-FFF2-40B4-BE49-F238E27FC236}">
              <a16:creationId xmlns:a16="http://schemas.microsoft.com/office/drawing/2014/main" id="{00000000-0008-0000-0000-000069000000}"/>
            </a:ext>
          </a:extLst>
        </xdr:cNvPr>
        <xdr:cNvSpPr/>
      </xdr:nvSpPr>
      <xdr:spPr>
        <a:xfrm>
          <a:off x="1050047" y="34833921"/>
          <a:ext cx="906178" cy="2404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b="1">
              <a:solidFill>
                <a:schemeClr val="bg1"/>
              </a:solidFill>
              <a:latin typeface="Times New Roman" panose="02020603050405020304" pitchFamily="18" charset="0"/>
              <a:cs typeface="Times New Roman" panose="02020603050405020304" pitchFamily="18" charset="0"/>
            </a:rPr>
            <a:t>Wing A</a:t>
          </a:r>
          <a:endParaRPr lang="en-IN" sz="16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xdr:from>
      <xdr:col>2</xdr:col>
      <xdr:colOff>113235</xdr:colOff>
      <xdr:row>255</xdr:row>
      <xdr:rowOff>108332</xdr:rowOff>
    </xdr:from>
    <xdr:to>
      <xdr:col>3</xdr:col>
      <xdr:colOff>36498</xdr:colOff>
      <xdr:row>257</xdr:row>
      <xdr:rowOff>22205</xdr:rowOff>
    </xdr:to>
    <xdr:sp macro="" textlink="">
      <xdr:nvSpPr>
        <xdr:cNvPr id="106" name="Rectangle 105">
          <a:extLst>
            <a:ext uri="{FF2B5EF4-FFF2-40B4-BE49-F238E27FC236}">
              <a16:creationId xmlns:a16="http://schemas.microsoft.com/office/drawing/2014/main" id="{00000000-0008-0000-0000-00006A000000}"/>
            </a:ext>
          </a:extLst>
        </xdr:cNvPr>
        <xdr:cNvSpPr/>
      </xdr:nvSpPr>
      <xdr:spPr>
        <a:xfrm>
          <a:off x="2808810" y="52914932"/>
          <a:ext cx="904338" cy="23772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b="1">
              <a:solidFill>
                <a:schemeClr val="bg1"/>
              </a:solidFill>
              <a:latin typeface="Times New Roman" panose="02020603050405020304" pitchFamily="18" charset="0"/>
              <a:cs typeface="Times New Roman" panose="02020603050405020304" pitchFamily="18" charset="0"/>
            </a:rPr>
            <a:t>Wing B</a:t>
          </a:r>
          <a:endParaRPr lang="en-IN" sz="16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editAs="oneCell">
    <xdr:from>
      <xdr:col>6</xdr:col>
      <xdr:colOff>658133</xdr:colOff>
      <xdr:row>134</xdr:row>
      <xdr:rowOff>135200</xdr:rowOff>
    </xdr:from>
    <xdr:to>
      <xdr:col>13</xdr:col>
      <xdr:colOff>187453</xdr:colOff>
      <xdr:row>153</xdr:row>
      <xdr:rowOff>35497</xdr:rowOff>
    </xdr:to>
    <xdr:pic>
      <xdr:nvPicPr>
        <xdr:cNvPr id="107" name="Picture 106">
          <a:extLst>
            <a:ext uri="{FF2B5EF4-FFF2-40B4-BE49-F238E27FC236}">
              <a16:creationId xmlns:a16="http://schemas.microsoft.com/office/drawing/2014/main" id="{00000000-0008-0000-0000-00006B000000}"/>
            </a:ext>
          </a:extLst>
        </xdr:cNvPr>
        <xdr:cNvPicPr>
          <a:picLocks noChangeAspect="1"/>
        </xdr:cNvPicPr>
      </xdr:nvPicPr>
      <xdr:blipFill>
        <a:blip xmlns:r="http://schemas.openxmlformats.org/officeDocument/2006/relationships" r:embed="rId8"/>
        <a:stretch>
          <a:fillRect/>
        </a:stretch>
      </xdr:blipFill>
      <xdr:spPr>
        <a:xfrm>
          <a:off x="7449458" y="30405650"/>
          <a:ext cx="4110844" cy="3322376"/>
        </a:xfrm>
        <a:prstGeom prst="rect">
          <a:avLst/>
        </a:prstGeom>
      </xdr:spPr>
    </xdr:pic>
    <xdr:clientData/>
  </xdr:twoCellAnchor>
  <xdr:twoCellAnchor editAs="oneCell">
    <xdr:from>
      <xdr:col>6</xdr:col>
      <xdr:colOff>702609</xdr:colOff>
      <xdr:row>155</xdr:row>
      <xdr:rowOff>16695</xdr:rowOff>
    </xdr:from>
    <xdr:to>
      <xdr:col>14</xdr:col>
      <xdr:colOff>198515</xdr:colOff>
      <xdr:row>179</xdr:row>
      <xdr:rowOff>129490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9"/>
        <a:stretch>
          <a:fillRect/>
        </a:stretch>
      </xdr:blipFill>
      <xdr:spPr>
        <a:xfrm>
          <a:off x="7493374" y="34205842"/>
          <a:ext cx="4650611" cy="3877972"/>
        </a:xfrm>
        <a:prstGeom prst="rect">
          <a:avLst/>
        </a:prstGeom>
      </xdr:spPr>
    </xdr:pic>
    <xdr:clientData/>
  </xdr:twoCellAnchor>
  <xdr:twoCellAnchor editAs="oneCell">
    <xdr:from>
      <xdr:col>9</xdr:col>
      <xdr:colOff>20731</xdr:colOff>
      <xdr:row>163</xdr:row>
      <xdr:rowOff>91887</xdr:rowOff>
    </xdr:from>
    <xdr:to>
      <xdr:col>17</xdr:col>
      <xdr:colOff>20852</xdr:colOff>
      <xdr:row>180</xdr:row>
      <xdr:rowOff>63718</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0" cstate="screen">
          <a:extLst>
            <a:ext uri="{28A0092B-C50C-407E-A947-70E740481C1C}">
              <a14:useLocalDpi xmlns:a14="http://schemas.microsoft.com/office/drawing/2010/main"/>
            </a:ext>
          </a:extLst>
        </a:blip>
        <a:srcRect/>
        <a:stretch/>
      </xdr:blipFill>
      <xdr:spPr>
        <a:xfrm>
          <a:off x="8940613" y="35536093"/>
          <a:ext cx="4841062" cy="2638830"/>
        </a:xfrm>
        <a:prstGeom prst="rect">
          <a:avLst/>
        </a:prstGeom>
      </xdr:spPr>
    </xdr:pic>
    <xdr:clientData/>
  </xdr:twoCellAnchor>
  <xdr:twoCellAnchor editAs="oneCell">
    <xdr:from>
      <xdr:col>6</xdr:col>
      <xdr:colOff>819150</xdr:colOff>
      <xdr:row>182</xdr:row>
      <xdr:rowOff>85725</xdr:rowOff>
    </xdr:from>
    <xdr:to>
      <xdr:col>14</xdr:col>
      <xdr:colOff>372138</xdr:colOff>
      <xdr:row>202</xdr:row>
      <xdr:rowOff>105229</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1"/>
        <a:stretch>
          <a:fillRect/>
        </a:stretch>
      </xdr:blipFill>
      <xdr:spPr>
        <a:xfrm>
          <a:off x="7610475" y="38185725"/>
          <a:ext cx="4744112" cy="3258005"/>
        </a:xfrm>
        <a:prstGeom prst="rect">
          <a:avLst/>
        </a:prstGeom>
      </xdr:spPr>
    </xdr:pic>
    <xdr:clientData/>
  </xdr:twoCellAnchor>
  <xdr:twoCellAnchor editAs="oneCell">
    <xdr:from>
      <xdr:col>6</xdr:col>
      <xdr:colOff>536299</xdr:colOff>
      <xdr:row>206</xdr:row>
      <xdr:rowOff>67917</xdr:rowOff>
    </xdr:from>
    <xdr:to>
      <xdr:col>14</xdr:col>
      <xdr:colOff>44968</xdr:colOff>
      <xdr:row>217</xdr:row>
      <xdr:rowOff>153903</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2"/>
        <a:stretch>
          <a:fillRect/>
        </a:stretch>
      </xdr:blipFill>
      <xdr:spPr>
        <a:xfrm>
          <a:off x="7327624" y="42054117"/>
          <a:ext cx="4699793" cy="1867161"/>
        </a:xfrm>
        <a:prstGeom prst="rect">
          <a:avLst/>
        </a:prstGeom>
      </xdr:spPr>
    </xdr:pic>
    <xdr:clientData/>
  </xdr:twoCellAnchor>
  <xdr:twoCellAnchor editAs="oneCell">
    <xdr:from>
      <xdr:col>7</xdr:col>
      <xdr:colOff>38100</xdr:colOff>
      <xdr:row>120</xdr:row>
      <xdr:rowOff>35357</xdr:rowOff>
    </xdr:from>
    <xdr:to>
      <xdr:col>14</xdr:col>
      <xdr:colOff>553237</xdr:colOff>
      <xdr:row>132</xdr:row>
      <xdr:rowOff>134980</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3"/>
        <a:stretch>
          <a:fillRect/>
        </a:stretch>
      </xdr:blipFill>
      <xdr:spPr>
        <a:xfrm>
          <a:off x="7757491" y="28287335"/>
          <a:ext cx="4805528" cy="2410471"/>
        </a:xfrm>
        <a:prstGeom prst="rect">
          <a:avLst/>
        </a:prstGeom>
      </xdr:spPr>
    </xdr:pic>
    <xdr:clientData/>
  </xdr:twoCellAnchor>
  <xdr:twoCellAnchor>
    <xdr:from>
      <xdr:col>3</xdr:col>
      <xdr:colOff>669412</xdr:colOff>
      <xdr:row>268</xdr:row>
      <xdr:rowOff>150987</xdr:rowOff>
    </xdr:from>
    <xdr:to>
      <xdr:col>4</xdr:col>
      <xdr:colOff>583150</xdr:colOff>
      <xdr:row>270</xdr:row>
      <xdr:rowOff>64860</xdr:rowOff>
    </xdr:to>
    <xdr:sp macro="" textlink="">
      <xdr:nvSpPr>
        <xdr:cNvPr id="79" name="Rectangle 78">
          <a:extLst>
            <a:ext uri="{FF2B5EF4-FFF2-40B4-BE49-F238E27FC236}">
              <a16:creationId xmlns:a16="http://schemas.microsoft.com/office/drawing/2014/main" id="{00000000-0008-0000-0000-00004F000000}"/>
            </a:ext>
          </a:extLst>
        </xdr:cNvPr>
        <xdr:cNvSpPr/>
      </xdr:nvSpPr>
      <xdr:spPr>
        <a:xfrm>
          <a:off x="4346890" y="54725096"/>
          <a:ext cx="907651" cy="24517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b="1">
              <a:solidFill>
                <a:schemeClr val="bg1"/>
              </a:solidFill>
              <a:latin typeface="Times New Roman" panose="02020603050405020304" pitchFamily="18" charset="0"/>
              <a:cs typeface="Times New Roman" panose="02020603050405020304" pitchFamily="18" charset="0"/>
            </a:rPr>
            <a:t>Wing C</a:t>
          </a:r>
          <a:endParaRPr lang="en-IN" sz="16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editAs="oneCell">
    <xdr:from>
      <xdr:col>6</xdr:col>
      <xdr:colOff>597934</xdr:colOff>
      <xdr:row>45</xdr:row>
      <xdr:rowOff>416860</xdr:rowOff>
    </xdr:from>
    <xdr:to>
      <xdr:col>16</xdr:col>
      <xdr:colOff>152518</xdr:colOff>
      <xdr:row>50</xdr:row>
      <xdr:rowOff>537381</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4"/>
        <a:stretch>
          <a:fillRect/>
        </a:stretch>
      </xdr:blipFill>
      <xdr:spPr>
        <a:xfrm>
          <a:off x="7389673" y="13743577"/>
          <a:ext cx="5998453" cy="1801891"/>
        </a:xfrm>
        <a:prstGeom prst="rect">
          <a:avLst/>
        </a:prstGeom>
      </xdr:spPr>
    </xdr:pic>
    <xdr:clientData/>
  </xdr:twoCellAnchor>
  <xdr:twoCellAnchor>
    <xdr:from>
      <xdr:col>6</xdr:col>
      <xdr:colOff>496957</xdr:colOff>
      <xdr:row>231</xdr:row>
      <xdr:rowOff>16563</xdr:rowOff>
    </xdr:from>
    <xdr:to>
      <xdr:col>17</xdr:col>
      <xdr:colOff>178734</xdr:colOff>
      <xdr:row>275</xdr:row>
      <xdr:rowOff>136680</xdr:rowOff>
    </xdr:to>
    <xdr:grpSp>
      <xdr:nvGrpSpPr>
        <xdr:cNvPr id="9" name="Group 8">
          <a:extLst>
            <a:ext uri="{FF2B5EF4-FFF2-40B4-BE49-F238E27FC236}">
              <a16:creationId xmlns:a16="http://schemas.microsoft.com/office/drawing/2014/main" id="{00000000-0008-0000-0000-000009000000}"/>
            </a:ext>
          </a:extLst>
        </xdr:cNvPr>
        <xdr:cNvGrpSpPr/>
      </xdr:nvGrpSpPr>
      <xdr:grpSpPr>
        <a:xfrm>
          <a:off x="7446066" y="49339498"/>
          <a:ext cx="6738559" cy="7433660"/>
          <a:chOff x="140805" y="49314652"/>
          <a:chExt cx="6738559" cy="7433659"/>
        </a:xfrm>
      </xdr:grpSpPr>
      <xdr:pic>
        <xdr:nvPicPr>
          <xdr:cNvPr id="90" name="Picture 89" descr="insp-201258-1525.jpg (1079×810)">
            <a:extLst>
              <a:ext uri="{FF2B5EF4-FFF2-40B4-BE49-F238E27FC236}">
                <a16:creationId xmlns:a16="http://schemas.microsoft.com/office/drawing/2014/main" id="{00000000-0008-0000-0000-00005A000000}"/>
              </a:ext>
            </a:extLst>
          </xdr:cNvPr>
          <xdr:cNvPicPr>
            <a:picLocks noChangeAspect="1" noChangeArrowheads="1"/>
          </xdr:cNvPicPr>
        </xdr:nvPicPr>
        <xdr:blipFill>
          <a:blip xmlns:r="http://schemas.openxmlformats.org/officeDocument/2006/relationships" r:embed="rId15" cstate="screen">
            <a:extLst>
              <a:ext uri="{28A0092B-C50C-407E-A947-70E740481C1C}">
                <a14:useLocalDpi xmlns:a14="http://schemas.microsoft.com/office/drawing/2010/main"/>
              </a:ext>
            </a:extLst>
          </a:blip>
          <a:srcRect/>
          <a:stretch>
            <a:fillRect/>
          </a:stretch>
        </xdr:blipFill>
        <xdr:spPr bwMode="auto">
          <a:xfrm>
            <a:off x="3820685" y="54588311"/>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3" name="Picture 92" descr="insp-201258-844.jpg (959×1280)">
            <a:extLst>
              <a:ext uri="{FF2B5EF4-FFF2-40B4-BE49-F238E27FC236}">
                <a16:creationId xmlns:a16="http://schemas.microsoft.com/office/drawing/2014/main" id="{00000000-0008-0000-0000-00005D000000}"/>
              </a:ext>
            </a:extLst>
          </xdr:cNvPr>
          <xdr:cNvPicPr>
            <a:picLocks noChangeAspect="1" noChangeArrowheads="1"/>
          </xdr:cNvPicPr>
        </xdr:nvPicPr>
        <xdr:blipFill>
          <a:blip xmlns:r="http://schemas.openxmlformats.org/officeDocument/2006/relationships" r:embed="rId16" cstate="screen">
            <a:extLst>
              <a:ext uri="{28A0092B-C50C-407E-A947-70E740481C1C}">
                <a14:useLocalDpi xmlns:a14="http://schemas.microsoft.com/office/drawing/2010/main"/>
              </a:ext>
            </a:extLst>
          </a:blip>
          <a:srcRect/>
          <a:stretch>
            <a:fillRect/>
          </a:stretch>
        </xdr:blipFill>
        <xdr:spPr bwMode="auto">
          <a:xfrm>
            <a:off x="375473" y="54588311"/>
            <a:ext cx="1618312"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4" name="Picture 93" descr="insp-201258-847.jpg (959×1280)">
            <a:extLst>
              <a:ext uri="{FF2B5EF4-FFF2-40B4-BE49-F238E27FC236}">
                <a16:creationId xmlns:a16="http://schemas.microsoft.com/office/drawing/2014/main" id="{00000000-0008-0000-0000-00005E000000}"/>
              </a:ext>
            </a:extLst>
          </xdr:cNvPr>
          <xdr:cNvPicPr>
            <a:picLocks noChangeAspect="1" noChangeArrowheads="1"/>
          </xdr:cNvPicPr>
        </xdr:nvPicPr>
        <xdr:blipFill>
          <a:blip xmlns:r="http://schemas.openxmlformats.org/officeDocument/2006/relationships" r:embed="rId17" cstate="screen">
            <a:extLst>
              <a:ext uri="{28A0092B-C50C-407E-A947-70E740481C1C}">
                <a14:useLocalDpi xmlns:a14="http://schemas.microsoft.com/office/drawing/2010/main"/>
              </a:ext>
            </a:extLst>
          </a:blip>
          <a:srcRect/>
          <a:stretch>
            <a:fillRect/>
          </a:stretch>
        </xdr:blipFill>
        <xdr:spPr bwMode="auto">
          <a:xfrm>
            <a:off x="5079706" y="52313002"/>
            <a:ext cx="1618312"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5" name="Picture 94" descr="insp-201258-862.jpg (959×1280)">
            <a:extLst>
              <a:ext uri="{FF2B5EF4-FFF2-40B4-BE49-F238E27FC236}">
                <a16:creationId xmlns:a16="http://schemas.microsoft.com/office/drawing/2014/main" id="{00000000-0008-0000-0000-00005F000000}"/>
              </a:ext>
            </a:extLst>
          </xdr:cNvPr>
          <xdr:cNvPicPr>
            <a:picLocks noChangeAspect="1" noChangeArrowheads="1"/>
          </xdr:cNvPicPr>
        </xdr:nvPicPr>
        <xdr:blipFill>
          <a:blip xmlns:r="http://schemas.openxmlformats.org/officeDocument/2006/relationships" r:embed="rId18" cstate="screen">
            <a:extLst>
              <a:ext uri="{28A0092B-C50C-407E-A947-70E740481C1C}">
                <a14:useLocalDpi xmlns:a14="http://schemas.microsoft.com/office/drawing/2010/main"/>
              </a:ext>
            </a:extLst>
          </a:blip>
          <a:srcRect/>
          <a:stretch>
            <a:fillRect/>
          </a:stretch>
        </xdr:blipFill>
        <xdr:spPr bwMode="auto">
          <a:xfrm>
            <a:off x="3354106" y="52313002"/>
            <a:ext cx="1618312"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6" name="Picture 95" descr="insp-201258-931.jpg (1079×810)">
            <a:extLst>
              <a:ext uri="{FF2B5EF4-FFF2-40B4-BE49-F238E27FC236}">
                <a16:creationId xmlns:a16="http://schemas.microsoft.com/office/drawing/2014/main" id="{00000000-0008-0000-0000-000060000000}"/>
              </a:ext>
            </a:extLst>
          </xdr:cNvPr>
          <xdr:cNvPicPr>
            <a:picLocks noChangeAspect="1" noChangeArrowheads="1"/>
          </xdr:cNvPicPr>
        </xdr:nvPicPr>
        <xdr:blipFill>
          <a:blip xmlns:r="http://schemas.openxmlformats.org/officeDocument/2006/relationships" r:embed="rId19" cstate="screen">
            <a:extLst>
              <a:ext uri="{28A0092B-C50C-407E-A947-70E740481C1C}">
                <a14:useLocalDpi xmlns:a14="http://schemas.microsoft.com/office/drawing/2010/main"/>
              </a:ext>
            </a:extLst>
          </a:blip>
          <a:srcRect/>
          <a:stretch>
            <a:fillRect/>
          </a:stretch>
        </xdr:blipFill>
        <xdr:spPr bwMode="auto">
          <a:xfrm>
            <a:off x="369043" y="52313002"/>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7" name="Picture 96" descr="insp-201258-916.jpg (959×1280)">
            <a:extLst>
              <a:ext uri="{FF2B5EF4-FFF2-40B4-BE49-F238E27FC236}">
                <a16:creationId xmlns:a16="http://schemas.microsoft.com/office/drawing/2014/main" id="{00000000-0008-0000-0000-000061000000}"/>
              </a:ext>
            </a:extLst>
          </xdr:cNvPr>
          <xdr:cNvPicPr>
            <a:picLocks noChangeAspect="1" noChangeArrowheads="1"/>
          </xdr:cNvPicPr>
        </xdr:nvPicPr>
        <xdr:blipFill>
          <a:blip xmlns:r="http://schemas.openxmlformats.org/officeDocument/2006/relationships" r:embed="rId20" cstate="screen">
            <a:extLst>
              <a:ext uri="{28A0092B-C50C-407E-A947-70E740481C1C}">
                <a14:useLocalDpi xmlns:a14="http://schemas.microsoft.com/office/drawing/2010/main"/>
              </a:ext>
            </a:extLst>
          </a:blip>
          <a:srcRect/>
          <a:stretch>
            <a:fillRect/>
          </a:stretch>
        </xdr:blipFill>
        <xdr:spPr bwMode="auto">
          <a:xfrm>
            <a:off x="2079099" y="54588311"/>
            <a:ext cx="1618312"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8" name="Picture 97" descr="insp-201258-925.jpg (959×1280)">
            <a:extLst>
              <a:ext uri="{FF2B5EF4-FFF2-40B4-BE49-F238E27FC236}">
                <a16:creationId xmlns:a16="http://schemas.microsoft.com/office/drawing/2014/main" id="{00000000-0008-0000-0000-000062000000}"/>
              </a:ext>
            </a:extLst>
          </xdr:cNvPr>
          <xdr:cNvPicPr>
            <a:picLocks noChangeAspect="1" noChangeArrowheads="1"/>
          </xdr:cNvPicPr>
        </xdr:nvPicPr>
        <xdr:blipFill>
          <a:blip xmlns:r="http://schemas.openxmlformats.org/officeDocument/2006/relationships" r:embed="rId21" cstate="screen">
            <a:extLst>
              <a:ext uri="{28A0092B-C50C-407E-A947-70E740481C1C}">
                <a14:useLocalDpi xmlns:a14="http://schemas.microsoft.com/office/drawing/2010/main"/>
              </a:ext>
            </a:extLst>
          </a:blip>
          <a:srcRect/>
          <a:stretch>
            <a:fillRect/>
          </a:stretch>
        </xdr:blipFill>
        <xdr:spPr bwMode="auto">
          <a:xfrm>
            <a:off x="2430084" y="49314652"/>
            <a:ext cx="2157750" cy="288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9" name="Picture 98" descr="insp-201258-1512.jpg (959×1280)">
            <a:extLst>
              <a:ext uri="{FF2B5EF4-FFF2-40B4-BE49-F238E27FC236}">
                <a16:creationId xmlns:a16="http://schemas.microsoft.com/office/drawing/2014/main" id="{00000000-0008-0000-0000-000063000000}"/>
              </a:ext>
            </a:extLst>
          </xdr:cNvPr>
          <xdr:cNvPicPr>
            <a:picLocks noChangeAspect="1" noChangeArrowheads="1"/>
          </xdr:cNvPicPr>
        </xdr:nvPicPr>
        <xdr:blipFill>
          <a:blip xmlns:r="http://schemas.openxmlformats.org/officeDocument/2006/relationships" r:embed="rId22" cstate="screen">
            <a:extLst>
              <a:ext uri="{28A0092B-C50C-407E-A947-70E740481C1C}">
                <a14:useLocalDpi xmlns:a14="http://schemas.microsoft.com/office/drawing/2010/main"/>
              </a:ext>
            </a:extLst>
          </a:blip>
          <a:srcRect/>
          <a:stretch>
            <a:fillRect/>
          </a:stretch>
        </xdr:blipFill>
        <xdr:spPr bwMode="auto">
          <a:xfrm>
            <a:off x="140805" y="49314652"/>
            <a:ext cx="2157750" cy="288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01" name="Picture 100">
            <a:extLst>
              <a:ext uri="{FF2B5EF4-FFF2-40B4-BE49-F238E27FC236}">
                <a16:creationId xmlns:a16="http://schemas.microsoft.com/office/drawing/2014/main" id="{00000000-0008-0000-0000-000065000000}"/>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4719364" y="49314652"/>
            <a:ext cx="2160000" cy="2880000"/>
          </a:xfrm>
          <a:prstGeom prst="rect">
            <a:avLst/>
          </a:prstGeom>
          <a:ln>
            <a:solidFill>
              <a:schemeClr val="tx1"/>
            </a:solidFill>
          </a:ln>
        </xdr:spPr>
      </xdr:pic>
    </xdr:grpSp>
    <xdr:clientData/>
  </xdr:twoCellAnchor>
  <xdr:twoCellAnchor>
    <xdr:from>
      <xdr:col>6</xdr:col>
      <xdr:colOff>704021</xdr:colOff>
      <xdr:row>226</xdr:row>
      <xdr:rowOff>985630</xdr:rowOff>
    </xdr:from>
    <xdr:to>
      <xdr:col>8</xdr:col>
      <xdr:colOff>223630</xdr:colOff>
      <xdr:row>226</xdr:row>
      <xdr:rowOff>1432891</xdr:rowOff>
    </xdr:to>
    <xdr:sp macro="" textlink="">
      <xdr:nvSpPr>
        <xdr:cNvPr id="10" name="Rectangle 9">
          <a:extLst>
            <a:ext uri="{FF2B5EF4-FFF2-40B4-BE49-F238E27FC236}">
              <a16:creationId xmlns:a16="http://schemas.microsoft.com/office/drawing/2014/main" id="{00000000-0008-0000-0000-00000A000000}"/>
            </a:ext>
          </a:extLst>
        </xdr:cNvPr>
        <xdr:cNvSpPr/>
      </xdr:nvSpPr>
      <xdr:spPr>
        <a:xfrm>
          <a:off x="7653130" y="48088826"/>
          <a:ext cx="1060174" cy="44726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100">
              <a:solidFill>
                <a:schemeClr val="tx1"/>
              </a:solidFill>
            </a:rPr>
            <a:t>C Wing</a:t>
          </a:r>
        </a:p>
      </xdr:txBody>
    </xdr:sp>
    <xdr:clientData/>
  </xdr:twoCellAnchor>
  <xdr:twoCellAnchor>
    <xdr:from>
      <xdr:col>4</xdr:col>
      <xdr:colOff>491987</xdr:colOff>
      <xdr:row>229</xdr:row>
      <xdr:rowOff>94422</xdr:rowOff>
    </xdr:from>
    <xdr:to>
      <xdr:col>5</xdr:col>
      <xdr:colOff>533400</xdr:colOff>
      <xdr:row>232</xdr:row>
      <xdr:rowOff>44727</xdr:rowOff>
    </xdr:to>
    <xdr:sp macro="" textlink="">
      <xdr:nvSpPr>
        <xdr:cNvPr id="102" name="Rectangle 101">
          <a:extLst>
            <a:ext uri="{FF2B5EF4-FFF2-40B4-BE49-F238E27FC236}">
              <a16:creationId xmlns:a16="http://schemas.microsoft.com/office/drawing/2014/main" id="{00000000-0008-0000-0000-000066000000}"/>
            </a:ext>
          </a:extLst>
        </xdr:cNvPr>
        <xdr:cNvSpPr/>
      </xdr:nvSpPr>
      <xdr:spPr>
        <a:xfrm>
          <a:off x="5163378" y="49359379"/>
          <a:ext cx="1060174" cy="44726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100">
              <a:solidFill>
                <a:schemeClr val="tx1"/>
              </a:solidFill>
            </a:rPr>
            <a:t>C Wing</a:t>
          </a:r>
        </a:p>
      </xdr:txBody>
    </xdr:sp>
    <xdr:clientData/>
  </xdr:twoCellAnchor>
  <xdr:twoCellAnchor>
    <xdr:from>
      <xdr:col>0</xdr:col>
      <xdr:colOff>231913</xdr:colOff>
      <xdr:row>228</xdr:row>
      <xdr:rowOff>91109</xdr:rowOff>
    </xdr:from>
    <xdr:to>
      <xdr:col>5</xdr:col>
      <xdr:colOff>880147</xdr:colOff>
      <xdr:row>281</xdr:row>
      <xdr:rowOff>68581</xdr:rowOff>
    </xdr:to>
    <xdr:grpSp>
      <xdr:nvGrpSpPr>
        <xdr:cNvPr id="69" name="Group 68">
          <a:extLst>
            <a:ext uri="{FF2B5EF4-FFF2-40B4-BE49-F238E27FC236}">
              <a16:creationId xmlns:a16="http://schemas.microsoft.com/office/drawing/2014/main" id="{4795E7C6-5A7E-4BCD-A8EB-8BBFEC97E6AE}"/>
            </a:ext>
          </a:extLst>
        </xdr:cNvPr>
        <xdr:cNvGrpSpPr/>
      </xdr:nvGrpSpPr>
      <xdr:grpSpPr>
        <a:xfrm>
          <a:off x="231913" y="48917087"/>
          <a:ext cx="6338386" cy="8781885"/>
          <a:chOff x="159097" y="466165"/>
          <a:chExt cx="6338386" cy="8781885"/>
        </a:xfrm>
      </xdr:grpSpPr>
      <xdr:grpSp>
        <xdr:nvGrpSpPr>
          <xdr:cNvPr id="71" name="Group 70">
            <a:extLst>
              <a:ext uri="{FF2B5EF4-FFF2-40B4-BE49-F238E27FC236}">
                <a16:creationId xmlns:a16="http://schemas.microsoft.com/office/drawing/2014/main" id="{B7D8514D-5974-4848-B56B-3AAA74E4D177}"/>
              </a:ext>
            </a:extLst>
          </xdr:cNvPr>
          <xdr:cNvGrpSpPr/>
        </xdr:nvGrpSpPr>
        <xdr:grpSpPr>
          <a:xfrm>
            <a:off x="159097" y="466165"/>
            <a:ext cx="6338386" cy="8781885"/>
            <a:chOff x="159097" y="466165"/>
            <a:chExt cx="6338386" cy="8781885"/>
          </a:xfrm>
        </xdr:grpSpPr>
        <xdr:pic>
          <xdr:nvPicPr>
            <xdr:cNvPr id="86" name="Picture 85">
              <a:extLst>
                <a:ext uri="{FF2B5EF4-FFF2-40B4-BE49-F238E27FC236}">
                  <a16:creationId xmlns:a16="http://schemas.microsoft.com/office/drawing/2014/main" id="{7F27746A-E971-46C5-9981-5B0C79BA0156}"/>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3429000" y="466165"/>
              <a:ext cx="2292610" cy="3060000"/>
            </a:xfrm>
            <a:prstGeom prst="rect">
              <a:avLst/>
            </a:prstGeom>
            <a:ln>
              <a:solidFill>
                <a:schemeClr val="tx1"/>
              </a:solidFill>
            </a:ln>
          </xdr:spPr>
        </xdr:pic>
        <xdr:pic>
          <xdr:nvPicPr>
            <xdr:cNvPr id="100" name="Picture 99">
              <a:extLst>
                <a:ext uri="{FF2B5EF4-FFF2-40B4-BE49-F238E27FC236}">
                  <a16:creationId xmlns:a16="http://schemas.microsoft.com/office/drawing/2014/main" id="{98BDBEE5-82EB-49A5-B3B2-46AE789786A7}"/>
                </a:ext>
              </a:extLst>
            </xdr:cNvPr>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xfrm>
              <a:off x="953831" y="466165"/>
              <a:ext cx="2292609" cy="3060000"/>
            </a:xfrm>
            <a:prstGeom prst="rect">
              <a:avLst/>
            </a:prstGeom>
            <a:ln>
              <a:solidFill>
                <a:schemeClr val="tx1"/>
              </a:solidFill>
            </a:ln>
          </xdr:spPr>
        </xdr:pic>
        <xdr:pic>
          <xdr:nvPicPr>
            <xdr:cNvPr id="103" name="Picture 102">
              <a:extLst>
                <a:ext uri="{FF2B5EF4-FFF2-40B4-BE49-F238E27FC236}">
                  <a16:creationId xmlns:a16="http://schemas.microsoft.com/office/drawing/2014/main" id="{56106204-D843-48ED-9F23-E8A0DC3B6488}"/>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159097" y="3693460"/>
              <a:ext cx="1483453" cy="1980000"/>
            </a:xfrm>
            <a:prstGeom prst="rect">
              <a:avLst/>
            </a:prstGeom>
            <a:ln>
              <a:solidFill>
                <a:schemeClr val="tx1"/>
              </a:solidFill>
            </a:ln>
          </xdr:spPr>
        </xdr:pic>
        <xdr:pic>
          <xdr:nvPicPr>
            <xdr:cNvPr id="104" name="Picture 103">
              <a:extLst>
                <a:ext uri="{FF2B5EF4-FFF2-40B4-BE49-F238E27FC236}">
                  <a16:creationId xmlns:a16="http://schemas.microsoft.com/office/drawing/2014/main" id="{599BA45C-D117-4866-92C9-435D047CFC06}"/>
                </a:ext>
              </a:extLst>
            </xdr:cNvPr>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xfrm>
              <a:off x="1777408" y="3693460"/>
              <a:ext cx="1483453" cy="1980000"/>
            </a:xfrm>
            <a:prstGeom prst="rect">
              <a:avLst/>
            </a:prstGeom>
            <a:ln>
              <a:solidFill>
                <a:schemeClr val="tx1"/>
              </a:solidFill>
            </a:ln>
          </xdr:spPr>
        </xdr:pic>
        <xdr:pic>
          <xdr:nvPicPr>
            <xdr:cNvPr id="108" name="Picture 107">
              <a:extLst>
                <a:ext uri="{FF2B5EF4-FFF2-40B4-BE49-F238E27FC236}">
                  <a16:creationId xmlns:a16="http://schemas.microsoft.com/office/drawing/2014/main" id="{0932FB89-EF32-4A02-91AE-1324D468C46F}"/>
                </a:ext>
              </a:extLst>
            </xdr:cNvPr>
            <xdr:cNvPicPr>
              <a:picLocks noChangeAspect="1"/>
            </xdr:cNvPicPr>
          </xdr:nvPicPr>
          <xdr:blipFill>
            <a:blip xmlns:r="http://schemas.openxmlformats.org/officeDocument/2006/relationships" r:embed="rId28" cstate="screen">
              <a:extLst>
                <a:ext uri="{28A0092B-C50C-407E-A947-70E740481C1C}">
                  <a14:useLocalDpi xmlns:a14="http://schemas.microsoft.com/office/drawing/2010/main"/>
                </a:ext>
              </a:extLst>
            </a:blip>
            <a:stretch>
              <a:fillRect/>
            </a:stretch>
          </xdr:blipFill>
          <xdr:spPr>
            <a:xfrm>
              <a:off x="3395719" y="3693460"/>
              <a:ext cx="1483453" cy="1980000"/>
            </a:xfrm>
            <a:prstGeom prst="rect">
              <a:avLst/>
            </a:prstGeom>
            <a:ln>
              <a:solidFill>
                <a:schemeClr val="tx1"/>
              </a:solidFill>
            </a:ln>
          </xdr:spPr>
        </xdr:pic>
        <xdr:pic>
          <xdr:nvPicPr>
            <xdr:cNvPr id="109" name="Picture 108">
              <a:extLst>
                <a:ext uri="{FF2B5EF4-FFF2-40B4-BE49-F238E27FC236}">
                  <a16:creationId xmlns:a16="http://schemas.microsoft.com/office/drawing/2014/main" id="{CFFF4854-BA47-4C18-96CF-DAD602B3380C}"/>
                </a:ext>
              </a:extLst>
            </xdr:cNvPr>
            <xdr:cNvPicPr>
              <a:picLocks noChangeAspect="1"/>
            </xdr:cNvPicPr>
          </xdr:nvPicPr>
          <xdr:blipFill>
            <a:blip xmlns:r="http://schemas.openxmlformats.org/officeDocument/2006/relationships" r:embed="rId29" cstate="screen">
              <a:extLst>
                <a:ext uri="{28A0092B-C50C-407E-A947-70E740481C1C}">
                  <a14:useLocalDpi xmlns:a14="http://schemas.microsoft.com/office/drawing/2010/main"/>
                </a:ext>
              </a:extLst>
            </a:blip>
            <a:stretch>
              <a:fillRect/>
            </a:stretch>
          </xdr:blipFill>
          <xdr:spPr>
            <a:xfrm>
              <a:off x="5014030" y="3693460"/>
              <a:ext cx="1483453" cy="1980000"/>
            </a:xfrm>
            <a:prstGeom prst="rect">
              <a:avLst/>
            </a:prstGeom>
            <a:ln>
              <a:solidFill>
                <a:schemeClr val="tx1"/>
              </a:solidFill>
            </a:ln>
          </xdr:spPr>
        </xdr:pic>
        <xdr:pic>
          <xdr:nvPicPr>
            <xdr:cNvPr id="110" name="Picture 109">
              <a:extLst>
                <a:ext uri="{FF2B5EF4-FFF2-40B4-BE49-F238E27FC236}">
                  <a16:creationId xmlns:a16="http://schemas.microsoft.com/office/drawing/2014/main" id="{817183D8-2972-43A0-A6DC-C1A930C2251A}"/>
                </a:ext>
              </a:extLst>
            </xdr:cNvPr>
            <xdr:cNvPicPr>
              <a:picLocks noChangeAspect="1"/>
            </xdr:cNvPicPr>
          </xdr:nvPicPr>
          <xdr:blipFill>
            <a:blip xmlns:r="http://schemas.openxmlformats.org/officeDocument/2006/relationships" r:embed="rId30" cstate="screen">
              <a:extLst>
                <a:ext uri="{28A0092B-C50C-407E-A947-70E740481C1C}">
                  <a14:useLocalDpi xmlns:a14="http://schemas.microsoft.com/office/drawing/2010/main"/>
                </a:ext>
              </a:extLst>
            </a:blip>
            <a:stretch>
              <a:fillRect/>
            </a:stretch>
          </xdr:blipFill>
          <xdr:spPr>
            <a:xfrm>
              <a:off x="415757" y="5840755"/>
              <a:ext cx="1348594" cy="1800000"/>
            </a:xfrm>
            <a:prstGeom prst="rect">
              <a:avLst/>
            </a:prstGeom>
            <a:ln>
              <a:solidFill>
                <a:schemeClr val="tx1"/>
              </a:solidFill>
            </a:ln>
          </xdr:spPr>
        </xdr:pic>
        <xdr:pic>
          <xdr:nvPicPr>
            <xdr:cNvPr id="111" name="Picture 110">
              <a:extLst>
                <a:ext uri="{FF2B5EF4-FFF2-40B4-BE49-F238E27FC236}">
                  <a16:creationId xmlns:a16="http://schemas.microsoft.com/office/drawing/2014/main" id="{C2A994AD-5768-433C-9F73-85CCDF944D72}"/>
                </a:ext>
              </a:extLst>
            </xdr:cNvPr>
            <xdr:cNvPicPr>
              <a:picLocks noChangeAspect="1"/>
            </xdr:cNvPicPr>
          </xdr:nvPicPr>
          <xdr:blipFill>
            <a:blip xmlns:r="http://schemas.openxmlformats.org/officeDocument/2006/relationships" r:embed="rId31" cstate="screen">
              <a:extLst>
                <a:ext uri="{28A0092B-C50C-407E-A947-70E740481C1C}">
                  <a14:useLocalDpi xmlns:a14="http://schemas.microsoft.com/office/drawing/2010/main"/>
                </a:ext>
              </a:extLst>
            </a:blip>
            <a:stretch>
              <a:fillRect/>
            </a:stretch>
          </xdr:blipFill>
          <xdr:spPr>
            <a:xfrm>
              <a:off x="1903562" y="5840755"/>
              <a:ext cx="1348594" cy="1800000"/>
            </a:xfrm>
            <a:prstGeom prst="rect">
              <a:avLst/>
            </a:prstGeom>
            <a:ln>
              <a:solidFill>
                <a:schemeClr val="tx1"/>
              </a:solidFill>
            </a:ln>
          </xdr:spPr>
        </xdr:pic>
        <xdr:pic>
          <xdr:nvPicPr>
            <xdr:cNvPr id="112" name="Picture 111">
              <a:extLst>
                <a:ext uri="{FF2B5EF4-FFF2-40B4-BE49-F238E27FC236}">
                  <a16:creationId xmlns:a16="http://schemas.microsoft.com/office/drawing/2014/main" id="{B35CC4CE-3414-45EA-AE1D-15EAC2D46BD6}"/>
                </a:ext>
              </a:extLst>
            </xdr:cNvPr>
            <xdr:cNvPicPr>
              <a:picLocks noChangeAspect="1"/>
            </xdr:cNvPicPr>
          </xdr:nvPicPr>
          <xdr:blipFill>
            <a:blip xmlns:r="http://schemas.openxmlformats.org/officeDocument/2006/relationships" r:embed="rId32" cstate="screen">
              <a:extLst>
                <a:ext uri="{28A0092B-C50C-407E-A947-70E740481C1C}">
                  <a14:useLocalDpi xmlns:a14="http://schemas.microsoft.com/office/drawing/2010/main"/>
                </a:ext>
              </a:extLst>
            </a:blip>
            <a:stretch>
              <a:fillRect/>
            </a:stretch>
          </xdr:blipFill>
          <xdr:spPr>
            <a:xfrm>
              <a:off x="3391367" y="5840755"/>
              <a:ext cx="1348594" cy="1800000"/>
            </a:xfrm>
            <a:prstGeom prst="rect">
              <a:avLst/>
            </a:prstGeom>
            <a:ln>
              <a:solidFill>
                <a:schemeClr val="tx1"/>
              </a:solidFill>
            </a:ln>
          </xdr:spPr>
        </xdr:pic>
        <xdr:pic>
          <xdr:nvPicPr>
            <xdr:cNvPr id="113" name="Picture 112">
              <a:extLst>
                <a:ext uri="{FF2B5EF4-FFF2-40B4-BE49-F238E27FC236}">
                  <a16:creationId xmlns:a16="http://schemas.microsoft.com/office/drawing/2014/main" id="{F7D848B7-A15E-4798-9B16-FB98D4ACFED3}"/>
                </a:ext>
              </a:extLst>
            </xdr:cNvPr>
            <xdr:cNvPicPr>
              <a:picLocks noChangeAspect="1"/>
            </xdr:cNvPicPr>
          </xdr:nvPicPr>
          <xdr:blipFill>
            <a:blip xmlns:r="http://schemas.openxmlformats.org/officeDocument/2006/relationships" r:embed="rId33" cstate="screen">
              <a:extLst>
                <a:ext uri="{28A0092B-C50C-407E-A947-70E740481C1C}">
                  <a14:useLocalDpi xmlns:a14="http://schemas.microsoft.com/office/drawing/2010/main"/>
                </a:ext>
              </a:extLst>
            </a:blip>
            <a:stretch>
              <a:fillRect/>
            </a:stretch>
          </xdr:blipFill>
          <xdr:spPr>
            <a:xfrm>
              <a:off x="4879172" y="5840755"/>
              <a:ext cx="1348594" cy="1800000"/>
            </a:xfrm>
            <a:prstGeom prst="rect">
              <a:avLst/>
            </a:prstGeom>
            <a:ln>
              <a:solidFill>
                <a:schemeClr val="tx1"/>
              </a:solidFill>
            </a:ln>
          </xdr:spPr>
        </xdr:pic>
        <xdr:pic>
          <xdr:nvPicPr>
            <xdr:cNvPr id="114" name="Picture 113">
              <a:extLst>
                <a:ext uri="{FF2B5EF4-FFF2-40B4-BE49-F238E27FC236}">
                  <a16:creationId xmlns:a16="http://schemas.microsoft.com/office/drawing/2014/main" id="{5C226109-4D24-422F-BD14-FEAC3487CED2}"/>
                </a:ext>
              </a:extLst>
            </xdr:cNvPr>
            <xdr:cNvPicPr>
              <a:picLocks noChangeAspect="1"/>
            </xdr:cNvPicPr>
          </xdr:nvPicPr>
          <xdr:blipFill>
            <a:blip xmlns:r="http://schemas.openxmlformats.org/officeDocument/2006/relationships" r:embed="rId34" cstate="screen">
              <a:extLst>
                <a:ext uri="{28A0092B-C50C-407E-A947-70E740481C1C}">
                  <a14:useLocalDpi xmlns:a14="http://schemas.microsoft.com/office/drawing/2010/main"/>
                </a:ext>
              </a:extLst>
            </a:blip>
            <a:stretch>
              <a:fillRect/>
            </a:stretch>
          </xdr:blipFill>
          <xdr:spPr>
            <a:xfrm>
              <a:off x="2711353" y="7808050"/>
              <a:ext cx="1078875" cy="1440000"/>
            </a:xfrm>
            <a:prstGeom prst="rect">
              <a:avLst/>
            </a:prstGeom>
            <a:ln>
              <a:solidFill>
                <a:schemeClr val="tx1"/>
              </a:solidFill>
            </a:ln>
          </xdr:spPr>
        </xdr:pic>
        <xdr:pic>
          <xdr:nvPicPr>
            <xdr:cNvPr id="115" name="Picture 114">
              <a:extLst>
                <a:ext uri="{FF2B5EF4-FFF2-40B4-BE49-F238E27FC236}">
                  <a16:creationId xmlns:a16="http://schemas.microsoft.com/office/drawing/2014/main" id="{01BB2FF5-9835-4059-845F-5E9BCAD7B72F}"/>
                </a:ext>
              </a:extLst>
            </xdr:cNvPr>
            <xdr:cNvPicPr>
              <a:picLocks noChangeAspect="1"/>
            </xdr:cNvPicPr>
          </xdr:nvPicPr>
          <xdr:blipFill>
            <a:blip xmlns:r="http://schemas.openxmlformats.org/officeDocument/2006/relationships" r:embed="rId35" cstate="screen">
              <a:extLst>
                <a:ext uri="{28A0092B-C50C-407E-A947-70E740481C1C}">
                  <a14:useLocalDpi xmlns:a14="http://schemas.microsoft.com/office/drawing/2010/main"/>
                </a:ext>
              </a:extLst>
            </a:blip>
            <a:stretch>
              <a:fillRect/>
            </a:stretch>
          </xdr:blipFill>
          <xdr:spPr>
            <a:xfrm>
              <a:off x="3935155" y="7808050"/>
              <a:ext cx="1078875" cy="1440000"/>
            </a:xfrm>
            <a:prstGeom prst="rect">
              <a:avLst/>
            </a:prstGeom>
            <a:ln>
              <a:solidFill>
                <a:schemeClr val="tx1"/>
              </a:solidFill>
            </a:ln>
          </xdr:spPr>
        </xdr:pic>
        <xdr:pic>
          <xdr:nvPicPr>
            <xdr:cNvPr id="116" name="Picture 115">
              <a:extLst>
                <a:ext uri="{FF2B5EF4-FFF2-40B4-BE49-F238E27FC236}">
                  <a16:creationId xmlns:a16="http://schemas.microsoft.com/office/drawing/2014/main" id="{E099174C-D850-4AA8-BCC2-651618D3BCF7}"/>
                </a:ext>
              </a:extLst>
            </xdr:cNvPr>
            <xdr:cNvPicPr>
              <a:picLocks noChangeAspect="1"/>
            </xdr:cNvPicPr>
          </xdr:nvPicPr>
          <xdr:blipFill>
            <a:blip xmlns:r="http://schemas.openxmlformats.org/officeDocument/2006/relationships" r:embed="rId36" cstate="screen">
              <a:extLst>
                <a:ext uri="{28A0092B-C50C-407E-A947-70E740481C1C}">
                  <a14:useLocalDpi xmlns:a14="http://schemas.microsoft.com/office/drawing/2010/main"/>
                </a:ext>
              </a:extLst>
            </a:blip>
            <a:stretch>
              <a:fillRect/>
            </a:stretch>
          </xdr:blipFill>
          <xdr:spPr>
            <a:xfrm>
              <a:off x="1483356" y="7808050"/>
              <a:ext cx="1078875" cy="1440000"/>
            </a:xfrm>
            <a:prstGeom prst="rect">
              <a:avLst/>
            </a:prstGeom>
            <a:ln>
              <a:solidFill>
                <a:schemeClr val="tx1"/>
              </a:solidFill>
            </a:ln>
          </xdr:spPr>
        </xdr:pic>
      </xdr:grpSp>
      <xdr:sp macro="" textlink="">
        <xdr:nvSpPr>
          <xdr:cNvPr id="77" name="TextBox 28">
            <a:extLst>
              <a:ext uri="{FF2B5EF4-FFF2-40B4-BE49-F238E27FC236}">
                <a16:creationId xmlns:a16="http://schemas.microsoft.com/office/drawing/2014/main" id="{42A73577-E193-4120-909D-D71887518905}"/>
              </a:ext>
            </a:extLst>
          </xdr:cNvPr>
          <xdr:cNvSpPr txBox="1"/>
        </xdr:nvSpPr>
        <xdr:spPr>
          <a:xfrm>
            <a:off x="766989" y="3606848"/>
            <a:ext cx="857927"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C</a:t>
            </a:r>
            <a:endParaRPr lang="en-IN" b="1">
              <a:solidFill>
                <a:srgbClr val="FF0000"/>
              </a:solidFill>
            </a:endParaRPr>
          </a:p>
        </xdr:txBody>
      </xdr:sp>
      <xdr:sp macro="" textlink="">
        <xdr:nvSpPr>
          <xdr:cNvPr id="81" name="TextBox 29">
            <a:extLst>
              <a:ext uri="{FF2B5EF4-FFF2-40B4-BE49-F238E27FC236}">
                <a16:creationId xmlns:a16="http://schemas.microsoft.com/office/drawing/2014/main" id="{2F00EC71-F753-4DCB-AB46-FCC376993B0A}"/>
              </a:ext>
            </a:extLst>
          </xdr:cNvPr>
          <xdr:cNvSpPr txBox="1"/>
        </xdr:nvSpPr>
        <xdr:spPr>
          <a:xfrm>
            <a:off x="4517719" y="471537"/>
            <a:ext cx="865943"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B</a:t>
            </a:r>
            <a:endParaRPr lang="en-IN" b="1">
              <a:solidFill>
                <a:srgbClr val="FF0000"/>
              </a:solidFill>
            </a:endParaRPr>
          </a:p>
        </xdr:txBody>
      </xdr:sp>
      <xdr:sp macro="" textlink="">
        <xdr:nvSpPr>
          <xdr:cNvPr id="82" name="TextBox 30">
            <a:extLst>
              <a:ext uri="{FF2B5EF4-FFF2-40B4-BE49-F238E27FC236}">
                <a16:creationId xmlns:a16="http://schemas.microsoft.com/office/drawing/2014/main" id="{3A8AE5A0-0375-4F3D-AA75-7F8D2C8C8DE9}"/>
              </a:ext>
            </a:extLst>
          </xdr:cNvPr>
          <xdr:cNvSpPr txBox="1"/>
        </xdr:nvSpPr>
        <xdr:spPr>
          <a:xfrm>
            <a:off x="1106231" y="618565"/>
            <a:ext cx="87556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A</a:t>
            </a:r>
            <a:endParaRPr lang="en-IN" b="1">
              <a:solidFill>
                <a:srgbClr val="FF0000"/>
              </a:solidFill>
            </a:endParaRPr>
          </a:p>
        </xdr:txBody>
      </xdr:sp>
      <xdr:sp macro="" textlink="">
        <xdr:nvSpPr>
          <xdr:cNvPr id="83" name="TextBox 31">
            <a:extLst>
              <a:ext uri="{FF2B5EF4-FFF2-40B4-BE49-F238E27FC236}">
                <a16:creationId xmlns:a16="http://schemas.microsoft.com/office/drawing/2014/main" id="{6D9BBE71-9BFF-4D6A-AA98-87DFEBD88A93}"/>
              </a:ext>
            </a:extLst>
          </xdr:cNvPr>
          <xdr:cNvSpPr txBox="1"/>
        </xdr:nvSpPr>
        <xdr:spPr>
          <a:xfrm>
            <a:off x="1821478" y="3657602"/>
            <a:ext cx="857927"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C</a:t>
            </a:r>
            <a:endParaRPr lang="en-IN" b="1">
              <a:solidFill>
                <a:srgbClr val="FF0000"/>
              </a:solidFill>
            </a:endParaRPr>
          </a:p>
        </xdr:txBody>
      </xdr:sp>
      <xdr:sp macro="" textlink="">
        <xdr:nvSpPr>
          <xdr:cNvPr id="84" name="TextBox 32">
            <a:extLst>
              <a:ext uri="{FF2B5EF4-FFF2-40B4-BE49-F238E27FC236}">
                <a16:creationId xmlns:a16="http://schemas.microsoft.com/office/drawing/2014/main" id="{F91E9438-7E20-4C11-BF41-AB3BDD529F17}"/>
              </a:ext>
            </a:extLst>
          </xdr:cNvPr>
          <xdr:cNvSpPr txBox="1"/>
        </xdr:nvSpPr>
        <xdr:spPr>
          <a:xfrm>
            <a:off x="3570246" y="3886535"/>
            <a:ext cx="857927"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C</a:t>
            </a:r>
            <a:endParaRPr lang="en-IN" b="1">
              <a:solidFill>
                <a:srgbClr val="FF0000"/>
              </a:solidFill>
            </a:endParaRPr>
          </a:p>
        </xdr:txBody>
      </xdr:sp>
      <xdr:sp macro="" textlink="">
        <xdr:nvSpPr>
          <xdr:cNvPr id="85" name="TextBox 34">
            <a:extLst>
              <a:ext uri="{FF2B5EF4-FFF2-40B4-BE49-F238E27FC236}">
                <a16:creationId xmlns:a16="http://schemas.microsoft.com/office/drawing/2014/main" id="{D8BE9887-8119-4C11-B50E-0AC6BCD119F5}"/>
              </a:ext>
            </a:extLst>
          </xdr:cNvPr>
          <xdr:cNvSpPr txBox="1"/>
        </xdr:nvSpPr>
        <xdr:spPr>
          <a:xfrm>
            <a:off x="5124505" y="3820189"/>
            <a:ext cx="857927"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C</a:t>
            </a:r>
            <a:endParaRPr lang="en-IN" b="1">
              <a:solidFill>
                <a:srgbClr val="FF0000"/>
              </a:solidFill>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WVbWz88bGejvbyRw7"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79"/>
  <sheetViews>
    <sheetView tabSelected="1" view="pageBreakPreview" topLeftCell="A40" zoomScale="115" zoomScaleNormal="115" zoomScaleSheetLayoutView="115" workbookViewId="0">
      <selection activeCell="G44" sqref="G44"/>
    </sheetView>
  </sheetViews>
  <sheetFormatPr defaultRowHeight="12.75" x14ac:dyDescent="0.2"/>
  <cols>
    <col min="1" max="1" width="24.5703125" style="6" customWidth="1"/>
    <col min="2" max="2" width="15.85546875" style="6" customWidth="1"/>
    <col min="3" max="3" width="14.7109375" style="6" bestFit="1" customWidth="1"/>
    <col min="4" max="4" width="14.85546875" style="6" customWidth="1"/>
    <col min="5" max="5" width="15.28515625" style="6" customWidth="1"/>
    <col min="6" max="6" width="18.85546875" style="6" customWidth="1"/>
    <col min="7" max="7" width="13.85546875" style="6" customWidth="1"/>
    <col min="8" max="16384" width="9.140625" style="6"/>
  </cols>
  <sheetData>
    <row r="1" spans="1:18" ht="41.25" customHeight="1" x14ac:dyDescent="0.2">
      <c r="A1" s="158" t="s">
        <v>150</v>
      </c>
      <c r="B1" s="159"/>
      <c r="C1" s="159"/>
      <c r="D1" s="159"/>
      <c r="E1" s="159"/>
      <c r="F1" s="159"/>
    </row>
    <row r="2" spans="1:18" ht="14.25" x14ac:dyDescent="0.2">
      <c r="A2" s="165" t="s">
        <v>88</v>
      </c>
      <c r="B2" s="165"/>
      <c r="C2" s="165"/>
      <c r="D2" s="165"/>
      <c r="E2" s="165"/>
      <c r="F2" s="165"/>
    </row>
    <row r="3" spans="1:18" ht="25.5" x14ac:dyDescent="0.2">
      <c r="A3" s="12" t="s">
        <v>106</v>
      </c>
      <c r="B3" s="166" t="s">
        <v>112</v>
      </c>
      <c r="C3" s="166"/>
      <c r="D3" s="166"/>
      <c r="E3" s="11" t="s">
        <v>107</v>
      </c>
      <c r="F3" s="28">
        <v>45749</v>
      </c>
    </row>
    <row r="4" spans="1:18" ht="25.5" x14ac:dyDescent="0.2">
      <c r="A4" s="12" t="s">
        <v>110</v>
      </c>
      <c r="B4" s="157" t="s">
        <v>262</v>
      </c>
      <c r="C4" s="157"/>
      <c r="D4" s="157"/>
      <c r="E4" s="11" t="s">
        <v>108</v>
      </c>
      <c r="F4" s="83" t="s">
        <v>270</v>
      </c>
    </row>
    <row r="5" spans="1:18" ht="25.5" x14ac:dyDescent="0.2">
      <c r="A5" s="11" t="s">
        <v>111</v>
      </c>
      <c r="B5" s="166" t="s">
        <v>271</v>
      </c>
      <c r="C5" s="166"/>
      <c r="D5" s="166"/>
      <c r="E5" s="11" t="s">
        <v>109</v>
      </c>
      <c r="F5" s="28" t="str">
        <f ca="1">TEXT(TODAY(),"DD/MM/YYYY")</f>
        <v>02/04/2025</v>
      </c>
    </row>
    <row r="6" spans="1:18" ht="14.25" x14ac:dyDescent="0.2">
      <c r="A6" s="165" t="s">
        <v>105</v>
      </c>
      <c r="B6" s="165"/>
      <c r="C6" s="165"/>
      <c r="D6" s="165"/>
      <c r="E6" s="165"/>
      <c r="F6" s="165"/>
    </row>
    <row r="7" spans="1:18" ht="14.25" x14ac:dyDescent="0.2">
      <c r="A7" s="15" t="s">
        <v>0</v>
      </c>
      <c r="B7" s="168" t="s">
        <v>203</v>
      </c>
      <c r="C7" s="168"/>
      <c r="D7" s="168"/>
      <c r="E7" s="168"/>
      <c r="F7" s="168"/>
    </row>
    <row r="8" spans="1:18" ht="25.5" customHeight="1" x14ac:dyDescent="0.2">
      <c r="A8" s="15" t="s">
        <v>1</v>
      </c>
      <c r="B8" s="160" t="str">
        <f>CONCATENATE((IF(OR(B7="",B7="NA"),"",B7)),", ",(IF(OR(A9="",A9="NA"),"",A9)),".",(IF(OR(B9="",B9="NA"),"",B9)),", near ",(IF(OR(B17="",B17="NA"),"",B17)),", ",(IF(OR(B11="",B11="NA"),"",B11)),", ",(IF(OR(B10="",B10="NA"),"",B10)),", ",(IF(OR(B12="",B12="NA"),"",B12)),", ",(IF(OR(B13="",B13="NA"),"",B13)),", ",(IF(OR(B14="",B14="NA"),"",B14))," - ",(IF(OR(B15="",B15="NA"),"",B15)),".")</f>
        <v>Mangalam, Old Gut No.149/1, New Gut No. 19/1, near Super Ispat, Internal Road, Dharna Camp, Taloja Panchnand East, Panvel, Raigad - 410208.</v>
      </c>
      <c r="C8" s="160"/>
      <c r="D8" s="160"/>
      <c r="E8" s="160"/>
      <c r="F8" s="160"/>
      <c r="N8" s="79" t="s">
        <v>154</v>
      </c>
      <c r="O8" s="79" t="s">
        <v>155</v>
      </c>
      <c r="P8" s="79" t="s">
        <v>156</v>
      </c>
      <c r="Q8" s="79" t="s">
        <v>157</v>
      </c>
      <c r="R8" s="79" t="s">
        <v>158</v>
      </c>
    </row>
    <row r="9" spans="1:18" ht="15" x14ac:dyDescent="0.2">
      <c r="A9" s="84" t="s">
        <v>204</v>
      </c>
      <c r="B9" s="167" t="s">
        <v>205</v>
      </c>
      <c r="C9" s="167"/>
      <c r="D9" s="167"/>
      <c r="E9" s="167"/>
      <c r="F9" s="167"/>
      <c r="N9" s="79" t="s">
        <v>159</v>
      </c>
      <c r="O9" s="79" t="s">
        <v>160</v>
      </c>
      <c r="P9" s="79" t="s">
        <v>161</v>
      </c>
      <c r="Q9" s="79" t="s">
        <v>162</v>
      </c>
      <c r="R9" s="79" t="s">
        <v>163</v>
      </c>
    </row>
    <row r="10" spans="1:18" ht="15" x14ac:dyDescent="0.2">
      <c r="A10" s="15" t="s">
        <v>6</v>
      </c>
      <c r="B10" s="161" t="s">
        <v>265</v>
      </c>
      <c r="C10" s="161"/>
      <c r="D10" s="161"/>
      <c r="E10" s="161"/>
      <c r="F10" s="161"/>
      <c r="N10" s="79" t="s">
        <v>164</v>
      </c>
      <c r="O10" s="79" t="s">
        <v>165</v>
      </c>
      <c r="P10" s="79" t="s">
        <v>166</v>
      </c>
      <c r="Q10" s="79" t="s">
        <v>167</v>
      </c>
      <c r="R10" s="79" t="s">
        <v>168</v>
      </c>
    </row>
    <row r="11" spans="1:18" ht="15" x14ac:dyDescent="0.2">
      <c r="A11" s="78" t="s">
        <v>152</v>
      </c>
      <c r="B11" s="161" t="s">
        <v>208</v>
      </c>
      <c r="C11" s="161"/>
      <c r="D11" s="161"/>
      <c r="E11" s="161"/>
      <c r="F11" s="161"/>
      <c r="N11" s="79" t="s">
        <v>169</v>
      </c>
      <c r="O11" s="79" t="s">
        <v>170</v>
      </c>
      <c r="P11" s="79" t="s">
        <v>171</v>
      </c>
      <c r="Q11" s="79" t="s">
        <v>172</v>
      </c>
      <c r="R11" s="79" t="s">
        <v>173</v>
      </c>
    </row>
    <row r="12" spans="1:18" ht="15" x14ac:dyDescent="0.2">
      <c r="A12" s="78" t="s">
        <v>153</v>
      </c>
      <c r="B12" s="161" t="s">
        <v>209</v>
      </c>
      <c r="C12" s="161"/>
      <c r="D12" s="161"/>
      <c r="E12" s="161"/>
      <c r="F12" s="161"/>
      <c r="N12" s="79" t="s">
        <v>174</v>
      </c>
      <c r="O12" s="79" t="s">
        <v>175</v>
      </c>
      <c r="P12" s="79" t="s">
        <v>156</v>
      </c>
      <c r="Q12" s="79" t="s">
        <v>176</v>
      </c>
      <c r="R12" s="79" t="s">
        <v>177</v>
      </c>
    </row>
    <row r="13" spans="1:18" ht="15" x14ac:dyDescent="0.2">
      <c r="A13" s="30" t="s">
        <v>138</v>
      </c>
      <c r="B13" s="161" t="s">
        <v>167</v>
      </c>
      <c r="C13" s="161"/>
      <c r="D13" s="161"/>
      <c r="E13" s="161"/>
      <c r="F13" s="161"/>
      <c r="N13" s="79" t="s">
        <v>178</v>
      </c>
      <c r="O13" s="79" t="s">
        <v>155</v>
      </c>
      <c r="P13" s="79"/>
      <c r="Q13" s="79" t="s">
        <v>179</v>
      </c>
      <c r="R13" s="79" t="s">
        <v>180</v>
      </c>
    </row>
    <row r="14" spans="1:18" ht="15" x14ac:dyDescent="0.2">
      <c r="A14" s="30" t="s">
        <v>139</v>
      </c>
      <c r="B14" s="161" t="s">
        <v>157</v>
      </c>
      <c r="C14" s="161"/>
      <c r="D14" s="161"/>
      <c r="E14" s="161"/>
      <c r="F14" s="161"/>
      <c r="N14" s="79" t="s">
        <v>181</v>
      </c>
      <c r="O14" s="79" t="s">
        <v>182</v>
      </c>
      <c r="P14" s="79"/>
      <c r="Q14" s="79" t="s">
        <v>183</v>
      </c>
      <c r="R14" s="79" t="s">
        <v>184</v>
      </c>
    </row>
    <row r="15" spans="1:18" ht="15" x14ac:dyDescent="0.2">
      <c r="A15" s="30" t="s">
        <v>140</v>
      </c>
      <c r="B15" s="162">
        <v>410208</v>
      </c>
      <c r="C15" s="162"/>
      <c r="D15" s="162"/>
      <c r="E15" s="162"/>
      <c r="F15" s="162"/>
      <c r="N15" s="79" t="s">
        <v>185</v>
      </c>
      <c r="O15" s="79" t="s">
        <v>186</v>
      </c>
      <c r="P15" s="79"/>
      <c r="Q15" s="79" t="s">
        <v>187</v>
      </c>
      <c r="R15" s="79" t="s">
        <v>188</v>
      </c>
    </row>
    <row r="16" spans="1:18" ht="15" x14ac:dyDescent="0.2">
      <c r="A16" s="15" t="s">
        <v>51</v>
      </c>
      <c r="B16" s="160" t="s">
        <v>210</v>
      </c>
      <c r="C16" s="160"/>
      <c r="D16" s="160"/>
      <c r="E16" s="160"/>
      <c r="F16" s="160"/>
      <c r="N16" s="79"/>
      <c r="O16" s="79"/>
      <c r="P16" s="79"/>
      <c r="Q16" s="79" t="s">
        <v>189</v>
      </c>
      <c r="R16" s="79" t="s">
        <v>190</v>
      </c>
    </row>
    <row r="17" spans="1:18" ht="15" x14ac:dyDescent="0.2">
      <c r="A17" s="15" t="s">
        <v>93</v>
      </c>
      <c r="B17" s="164" t="s">
        <v>211</v>
      </c>
      <c r="C17" s="164"/>
      <c r="D17" s="164"/>
      <c r="E17" s="164"/>
      <c r="F17" s="164"/>
      <c r="N17" s="79"/>
      <c r="O17" s="79"/>
      <c r="P17" s="79"/>
      <c r="Q17" s="79" t="s">
        <v>191</v>
      </c>
      <c r="R17" s="79" t="s">
        <v>192</v>
      </c>
    </row>
    <row r="18" spans="1:18" ht="15" x14ac:dyDescent="0.2">
      <c r="A18" s="15" t="s">
        <v>92</v>
      </c>
      <c r="B18" s="128" t="s">
        <v>151</v>
      </c>
      <c r="C18" s="129"/>
      <c r="D18" s="128" t="s">
        <v>206</v>
      </c>
      <c r="E18" s="130"/>
      <c r="F18" s="129"/>
      <c r="N18" s="79"/>
      <c r="O18" s="79"/>
      <c r="P18" s="79"/>
      <c r="Q18" s="79" t="s">
        <v>193</v>
      </c>
      <c r="R18" s="79" t="s">
        <v>194</v>
      </c>
    </row>
    <row r="19" spans="1:18" ht="15" x14ac:dyDescent="0.2">
      <c r="A19" s="30" t="s">
        <v>141</v>
      </c>
      <c r="B19" s="169" t="s">
        <v>207</v>
      </c>
      <c r="C19" s="130"/>
      <c r="D19" s="130"/>
      <c r="E19" s="130"/>
      <c r="F19" s="129"/>
      <c r="N19" s="79"/>
      <c r="O19" s="79"/>
      <c r="P19" s="79"/>
      <c r="Q19" s="79" t="s">
        <v>195</v>
      </c>
      <c r="R19" s="79" t="s">
        <v>196</v>
      </c>
    </row>
    <row r="20" spans="1:18" ht="13.5" customHeight="1" x14ac:dyDescent="0.2">
      <c r="A20" s="15" t="s">
        <v>2</v>
      </c>
      <c r="B20" s="160" t="s">
        <v>212</v>
      </c>
      <c r="C20" s="160"/>
      <c r="D20" s="160"/>
      <c r="E20" s="160"/>
      <c r="F20" s="160"/>
      <c r="N20" s="79"/>
      <c r="O20" s="79"/>
      <c r="P20" s="79"/>
      <c r="Q20" s="79" t="s">
        <v>197</v>
      </c>
      <c r="R20" s="79" t="s">
        <v>198</v>
      </c>
    </row>
    <row r="21" spans="1:18" ht="27" customHeight="1" x14ac:dyDescent="0.2">
      <c r="A21" s="15" t="s">
        <v>3</v>
      </c>
      <c r="B21" s="167" t="s">
        <v>213</v>
      </c>
      <c r="C21" s="167"/>
      <c r="D21" s="167"/>
      <c r="E21" s="167"/>
      <c r="F21" s="167"/>
      <c r="N21" s="79"/>
      <c r="O21" s="79"/>
      <c r="P21" s="79"/>
      <c r="Q21" s="79" t="s">
        <v>199</v>
      </c>
      <c r="R21" s="79" t="s">
        <v>200</v>
      </c>
    </row>
    <row r="22" spans="1:18" ht="15" x14ac:dyDescent="0.2">
      <c r="A22" s="15" t="s">
        <v>113</v>
      </c>
      <c r="B22" s="162" t="s">
        <v>55</v>
      </c>
      <c r="C22" s="162"/>
      <c r="D22" s="162"/>
      <c r="E22" s="162"/>
      <c r="F22" s="162"/>
      <c r="N22" s="79"/>
      <c r="O22" s="79"/>
      <c r="P22" s="79"/>
      <c r="Q22" s="79" t="s">
        <v>201</v>
      </c>
      <c r="R22" s="79" t="s">
        <v>202</v>
      </c>
    </row>
    <row r="23" spans="1:18" ht="28.5" customHeight="1" x14ac:dyDescent="0.2">
      <c r="A23" s="15" t="s">
        <v>4</v>
      </c>
      <c r="B23" s="160" t="s">
        <v>214</v>
      </c>
      <c r="C23" s="161"/>
      <c r="D23" s="161"/>
      <c r="E23" s="161"/>
      <c r="F23" s="161"/>
    </row>
    <row r="24" spans="1:18" x14ac:dyDescent="0.2">
      <c r="A24" s="15" t="s">
        <v>5</v>
      </c>
      <c r="B24" s="161" t="s">
        <v>215</v>
      </c>
      <c r="C24" s="161"/>
      <c r="D24" s="161"/>
      <c r="E24" s="161"/>
      <c r="F24" s="161"/>
    </row>
    <row r="25" spans="1:18" ht="27.75" customHeight="1" x14ac:dyDescent="0.2">
      <c r="A25" s="15" t="s">
        <v>90</v>
      </c>
      <c r="B25" s="161" t="s">
        <v>216</v>
      </c>
      <c r="C25" s="161"/>
      <c r="D25" s="161"/>
      <c r="E25" s="161"/>
      <c r="F25" s="161"/>
    </row>
    <row r="26" spans="1:18" ht="25.5" x14ac:dyDescent="0.2">
      <c r="A26" s="84" t="s">
        <v>91</v>
      </c>
      <c r="B26" s="163" t="s">
        <v>217</v>
      </c>
      <c r="C26" s="163"/>
      <c r="D26" s="163"/>
      <c r="E26" s="163"/>
      <c r="F26" s="163"/>
    </row>
    <row r="27" spans="1:18" ht="38.25" customHeight="1" x14ac:dyDescent="0.2">
      <c r="A27" s="15" t="s">
        <v>95</v>
      </c>
      <c r="B27" s="170" t="s">
        <v>218</v>
      </c>
      <c r="C27" s="170"/>
      <c r="D27" s="16" t="s">
        <v>7</v>
      </c>
      <c r="E27" s="163" t="s">
        <v>94</v>
      </c>
      <c r="F27" s="163"/>
    </row>
    <row r="28" spans="1:18" ht="25.5" x14ac:dyDescent="0.2">
      <c r="A28" s="15" t="s">
        <v>8</v>
      </c>
      <c r="B28" s="170" t="s">
        <v>259</v>
      </c>
      <c r="C28" s="162"/>
      <c r="D28" s="16" t="s">
        <v>129</v>
      </c>
      <c r="E28" s="173">
        <f>327*0.15</f>
        <v>49.05</v>
      </c>
      <c r="F28" s="173"/>
    </row>
    <row r="29" spans="1:18" x14ac:dyDescent="0.2">
      <c r="A29" s="172" t="s">
        <v>9</v>
      </c>
      <c r="B29" s="17" t="s">
        <v>96</v>
      </c>
      <c r="C29" s="17" t="s">
        <v>12</v>
      </c>
      <c r="D29" s="17" t="s">
        <v>13</v>
      </c>
      <c r="E29" s="17" t="s">
        <v>14</v>
      </c>
      <c r="F29" s="17" t="s">
        <v>15</v>
      </c>
    </row>
    <row r="30" spans="1:18" ht="12.75" customHeight="1" x14ac:dyDescent="0.2">
      <c r="A30" s="172"/>
      <c r="B30" s="18" t="s">
        <v>10</v>
      </c>
      <c r="C30" s="19" t="s">
        <v>219</v>
      </c>
      <c r="D30" s="81" t="s">
        <v>219</v>
      </c>
      <c r="E30" s="81" t="s">
        <v>219</v>
      </c>
      <c r="F30" s="81" t="s">
        <v>219</v>
      </c>
    </row>
    <row r="31" spans="1:18" ht="48.75" customHeight="1" x14ac:dyDescent="0.2">
      <c r="A31" s="172"/>
      <c r="B31" s="80" t="s">
        <v>89</v>
      </c>
      <c r="C31" s="20" t="s">
        <v>220</v>
      </c>
      <c r="D31" s="81" t="s">
        <v>221</v>
      </c>
      <c r="E31" s="20" t="s">
        <v>220</v>
      </c>
      <c r="F31" s="29" t="s">
        <v>220</v>
      </c>
    </row>
    <row r="32" spans="1:18" ht="12.75" customHeight="1" x14ac:dyDescent="0.2">
      <c r="A32" s="172"/>
      <c r="B32" s="18" t="s">
        <v>11</v>
      </c>
      <c r="C32" s="19" t="s">
        <v>222</v>
      </c>
      <c r="D32" s="19" t="s">
        <v>208</v>
      </c>
      <c r="E32" s="81" t="s">
        <v>222</v>
      </c>
      <c r="F32" s="81" t="s">
        <v>222</v>
      </c>
    </row>
    <row r="33" spans="1:9" ht="25.5" x14ac:dyDescent="0.2">
      <c r="A33" s="15" t="s">
        <v>16</v>
      </c>
      <c r="B33" s="141" t="s">
        <v>272</v>
      </c>
      <c r="C33" s="141"/>
      <c r="D33" s="141"/>
      <c r="E33" s="141"/>
      <c r="F33" s="141"/>
    </row>
    <row r="34" spans="1:9" ht="51" customHeight="1" x14ac:dyDescent="0.2">
      <c r="A34" s="15" t="s">
        <v>134</v>
      </c>
      <c r="B34" s="86" t="s">
        <v>223</v>
      </c>
      <c r="C34" s="172" t="s">
        <v>135</v>
      </c>
      <c r="D34" s="172"/>
      <c r="E34" s="157" t="s">
        <v>224</v>
      </c>
      <c r="F34" s="157"/>
      <c r="G34" s="6">
        <f>9001.363/1.1</f>
        <v>8183.0572727272711</v>
      </c>
    </row>
    <row r="35" spans="1:9" x14ac:dyDescent="0.2">
      <c r="A35" s="15" t="s">
        <v>17</v>
      </c>
      <c r="B35" s="157" t="s">
        <v>97</v>
      </c>
      <c r="C35" s="157"/>
      <c r="D35" s="157"/>
      <c r="E35" s="157"/>
      <c r="F35" s="157"/>
    </row>
    <row r="36" spans="1:9" ht="159" customHeight="1" x14ac:dyDescent="0.2">
      <c r="A36" s="27" t="s">
        <v>128</v>
      </c>
      <c r="B36" s="164" t="s">
        <v>225</v>
      </c>
      <c r="C36" s="163"/>
      <c r="D36" s="163"/>
      <c r="E36" s="163"/>
      <c r="F36" s="163"/>
    </row>
    <row r="37" spans="1:9" x14ac:dyDescent="0.2">
      <c r="A37" s="175" t="s">
        <v>98</v>
      </c>
      <c r="B37" s="175"/>
      <c r="C37" s="175"/>
      <c r="D37" s="175"/>
      <c r="E37" s="175"/>
      <c r="F37" s="175"/>
    </row>
    <row r="38" spans="1:9" x14ac:dyDescent="0.2">
      <c r="A38" s="174" t="s">
        <v>19</v>
      </c>
      <c r="B38" s="131" t="s">
        <v>99</v>
      </c>
      <c r="C38" s="131"/>
      <c r="D38" s="131"/>
      <c r="E38" s="176">
        <v>8183.0569999999998</v>
      </c>
      <c r="F38" s="176"/>
    </row>
    <row r="39" spans="1:9" x14ac:dyDescent="0.2">
      <c r="A39" s="174"/>
      <c r="B39" s="131" t="s">
        <v>100</v>
      </c>
      <c r="C39" s="131"/>
      <c r="D39" s="131"/>
      <c r="E39" s="132">
        <f>9001.363/E38</f>
        <v>1.1000000366611158</v>
      </c>
      <c r="F39" s="132"/>
    </row>
    <row r="40" spans="1:9" x14ac:dyDescent="0.2">
      <c r="A40" s="174"/>
      <c r="B40" s="131" t="s">
        <v>101</v>
      </c>
      <c r="C40" s="131"/>
      <c r="D40" s="131"/>
      <c r="E40" s="132">
        <f>E43/E38-E39</f>
        <v>1.218087934619055</v>
      </c>
      <c r="F40" s="132"/>
    </row>
    <row r="41" spans="1:9" x14ac:dyDescent="0.2">
      <c r="A41" s="174"/>
      <c r="B41" s="131" t="s">
        <v>102</v>
      </c>
      <c r="C41" s="131"/>
      <c r="D41" s="131"/>
      <c r="E41" s="132">
        <f>E39+E40</f>
        <v>2.3180879712801707</v>
      </c>
      <c r="F41" s="132"/>
    </row>
    <row r="42" spans="1:9" x14ac:dyDescent="0.2">
      <c r="A42" s="174"/>
      <c r="B42" s="131" t="s">
        <v>133</v>
      </c>
      <c r="C42" s="131"/>
      <c r="D42" s="131"/>
      <c r="E42" s="133">
        <v>18978.18</v>
      </c>
      <c r="F42" s="133"/>
      <c r="H42" s="6">
        <f>E38*E41</f>
        <v>18969.045999999998</v>
      </c>
    </row>
    <row r="43" spans="1:9" x14ac:dyDescent="0.2">
      <c r="A43" s="174"/>
      <c r="B43" s="131" t="s">
        <v>103</v>
      </c>
      <c r="C43" s="131"/>
      <c r="D43" s="131"/>
      <c r="E43" s="133">
        <v>18969.045999999998</v>
      </c>
      <c r="F43" s="133"/>
    </row>
    <row r="44" spans="1:9" ht="25.5" x14ac:dyDescent="0.2">
      <c r="A44" s="21" t="s">
        <v>104</v>
      </c>
      <c r="B44" s="141" t="s">
        <v>226</v>
      </c>
      <c r="C44" s="141"/>
      <c r="D44" s="141"/>
      <c r="E44" s="141"/>
      <c r="F44" s="141"/>
    </row>
    <row r="45" spans="1:9" ht="30.75" customHeight="1" x14ac:dyDescent="0.2">
      <c r="A45" s="21" t="s">
        <v>20</v>
      </c>
      <c r="B45" s="170" t="s">
        <v>263</v>
      </c>
      <c r="C45" s="162"/>
      <c r="D45" s="162"/>
      <c r="E45" s="162"/>
      <c r="F45" s="162"/>
      <c r="G45" s="25"/>
      <c r="H45" s="25"/>
      <c r="I45" s="25"/>
    </row>
    <row r="46" spans="1:9" ht="54.75" customHeight="1" x14ac:dyDescent="0.2">
      <c r="A46" s="21" t="s">
        <v>21</v>
      </c>
      <c r="B46" s="170" t="s">
        <v>227</v>
      </c>
      <c r="C46" s="170"/>
      <c r="D46" s="170"/>
      <c r="E46" s="170"/>
      <c r="F46" s="170"/>
      <c r="G46" s="25"/>
      <c r="H46" s="25"/>
      <c r="I46" s="25"/>
    </row>
    <row r="47" spans="1:9" ht="25.5" x14ac:dyDescent="0.2">
      <c r="A47" s="174" t="s">
        <v>22</v>
      </c>
      <c r="B47" s="22" t="s">
        <v>114</v>
      </c>
      <c r="C47" s="157" t="s">
        <v>219</v>
      </c>
      <c r="D47" s="157"/>
      <c r="E47" s="157"/>
      <c r="F47" s="157"/>
      <c r="G47" s="25"/>
      <c r="H47" s="25"/>
      <c r="I47" s="25"/>
    </row>
    <row r="48" spans="1:9" x14ac:dyDescent="0.2">
      <c r="A48" s="174"/>
      <c r="B48" s="22" t="s">
        <v>115</v>
      </c>
      <c r="C48" s="157" t="s">
        <v>219</v>
      </c>
      <c r="D48" s="157"/>
      <c r="E48" s="157"/>
      <c r="F48" s="157"/>
    </row>
    <row r="49" spans="1:9" ht="26.25" customHeight="1" x14ac:dyDescent="0.2">
      <c r="A49" s="174"/>
      <c r="B49" s="22" t="s">
        <v>116</v>
      </c>
      <c r="C49" s="157" t="s">
        <v>130</v>
      </c>
      <c r="D49" s="157"/>
      <c r="E49" s="157"/>
      <c r="F49" s="157"/>
    </row>
    <row r="50" spans="1:9" x14ac:dyDescent="0.2">
      <c r="A50" s="94" t="s">
        <v>260</v>
      </c>
      <c r="B50" s="151"/>
      <c r="C50" s="152"/>
      <c r="D50" s="152"/>
      <c r="E50" s="152"/>
      <c r="F50" s="153"/>
    </row>
    <row r="51" spans="1:9" ht="56.25" customHeight="1" x14ac:dyDescent="0.2">
      <c r="A51" s="95" t="s">
        <v>266</v>
      </c>
      <c r="B51" s="164" t="s">
        <v>267</v>
      </c>
      <c r="C51" s="164"/>
      <c r="D51" s="164"/>
      <c r="E51" s="164"/>
      <c r="F51" s="164"/>
      <c r="I51" s="93" t="s">
        <v>23</v>
      </c>
    </row>
    <row r="52" spans="1:9" ht="57.75" customHeight="1" x14ac:dyDescent="0.2">
      <c r="A52" s="95" t="s">
        <v>264</v>
      </c>
      <c r="B52" s="164" t="s">
        <v>268</v>
      </c>
      <c r="C52" s="164"/>
      <c r="D52" s="164"/>
      <c r="E52" s="164"/>
      <c r="F52" s="164"/>
    </row>
    <row r="53" spans="1:9" x14ac:dyDescent="0.2">
      <c r="A53" s="142" t="s">
        <v>24</v>
      </c>
      <c r="B53" s="142"/>
      <c r="C53" s="142"/>
      <c r="D53" s="142"/>
      <c r="E53" s="142"/>
      <c r="F53" s="142"/>
    </row>
    <row r="54" spans="1:9" ht="26.25" thickBot="1" x14ac:dyDescent="0.25">
      <c r="A54" s="21" t="s">
        <v>25</v>
      </c>
      <c r="B54" s="87">
        <v>44530</v>
      </c>
      <c r="C54" s="14" t="s">
        <v>26</v>
      </c>
      <c r="D54" s="171">
        <v>46022</v>
      </c>
      <c r="E54" s="171"/>
      <c r="F54" s="171"/>
    </row>
    <row r="55" spans="1:9" ht="13.5" thickBot="1" x14ac:dyDescent="0.25">
      <c r="A55" s="177" t="s">
        <v>60</v>
      </c>
      <c r="B55" s="177"/>
      <c r="C55" s="177"/>
      <c r="D55" s="177"/>
      <c r="E55" s="177"/>
      <c r="F55" s="177"/>
      <c r="G55" s="54" t="str">
        <f ca="1">(IF(E60&gt;99%,"All work completed. Please provide OC.",IF(E60&gt;89.8%,"Plinth, RCC, Brick, Plaster, Flooring, Painting work Completed. Finishing work is in process.",IF(E60&lt;94%,(IF(C60=0,"Work not yet Started.",IF(D60=25%,"Piling work in process",IF(D60=50%,"Excavation work in process",IF(D60=100%,"Excavation work Completed. ","0")))&amp;(IF(C61=0%,"",IF(C61=H61,"Footing work is process",IF(C61=H62,"Footing work Completed",IF(C61=H63,"1st Basement Completed",IF(C61=H64,"1st &amp; 2nd Basement Completed",IF(C61=H65,"1st to 3rd Basement Completed",IF(C61=H66,"1st to 4th Basement Completed",IF(C61=H67,"Plinth work is process",IF(C61=H68,"Plinth work completed","0")))))))))))&amp;(IF(C62=(D57+E57+F57),", RCC Slab",IF(C62&gt;0,", RCC upto "&amp;C62&amp;" Slab",""))&amp;(IF(C63=F57,", Brickwork",IF(C63&gt;0,", Brickwork upto "&amp;C63&amp;" Floor",""))&amp;(IF(C64=F57,", Internal Plaster",IF(C64&gt;0,", Internal Plaster upto "&amp;C64&amp;" Floor",""))&amp;(IF(C65=F57,", External Plaster",IF(C65&gt;0,", External Plaster upto "&amp;C65&amp;" Floor",""))&amp;(IF(C66=F57,", Flooring",IF(C66&gt;0,", Flooring upto "&amp;C66&amp;" Floor",""))&amp;(IF(C67=F57,", Painting",IF(C67&gt;0,", Painting upto "&amp;C67&amp;" Floor",""))&amp;(IF(C68&gt;0,", Finishing upto "&amp;C68&amp;" Floor","")&amp;(IF(C62&gt;0.5," Completed",""))))))))))))))</f>
        <v>Plinth, RCC, Brick, Plaster, Flooring, Painting work Completed. Finishing work is in process.</v>
      </c>
      <c r="H55" s="55"/>
    </row>
    <row r="56" spans="1:9" x14ac:dyDescent="0.2">
      <c r="A56" s="178" t="s">
        <v>228</v>
      </c>
      <c r="B56" s="179"/>
      <c r="C56" s="52" t="s">
        <v>61</v>
      </c>
      <c r="D56" s="52" t="s">
        <v>62</v>
      </c>
      <c r="E56" s="52" t="s">
        <v>63</v>
      </c>
      <c r="F56" s="53" t="s">
        <v>48</v>
      </c>
      <c r="G56" s="58"/>
      <c r="H56" s="59"/>
    </row>
    <row r="57" spans="1:9" x14ac:dyDescent="0.2">
      <c r="A57" s="180"/>
      <c r="B57" s="181"/>
      <c r="C57" s="56">
        <v>0</v>
      </c>
      <c r="D57" s="56">
        <v>1</v>
      </c>
      <c r="E57" s="56">
        <v>0</v>
      </c>
      <c r="F57" s="57">
        <f ca="1">--TRIM(RIGHT(SUBSTITUTE(LEFT(A56,_xlfn.AGGREGATE(16,6,FIND({0,1,2,3,4,5,6,7,8,9},A56,ROW(INDIRECT("1:"&amp;LEN(A56)))),1))," ",REPT(" ",LEN(A56))),LEN(A56)))</f>
        <v>11</v>
      </c>
      <c r="G57" s="58" t="s">
        <v>143</v>
      </c>
      <c r="H57" s="59"/>
    </row>
    <row r="58" spans="1:9" x14ac:dyDescent="0.2">
      <c r="A58" s="60" t="s">
        <v>142</v>
      </c>
      <c r="B58" s="111" t="str">
        <f ca="1">G55</f>
        <v>Plinth, RCC, Brick, Plaster, Flooring, Painting work Completed. Finishing work is in process.</v>
      </c>
      <c r="C58" s="112"/>
      <c r="D58" s="112"/>
      <c r="E58" s="112"/>
      <c r="F58" s="113"/>
      <c r="G58" s="1" t="s">
        <v>67</v>
      </c>
      <c r="H58" s="64">
        <f ca="1">F57*25%</f>
        <v>2.75</v>
      </c>
    </row>
    <row r="59" spans="1:9" ht="15" customHeight="1" x14ac:dyDescent="0.2">
      <c r="A59" s="61" t="s">
        <v>64</v>
      </c>
      <c r="B59" s="62" t="s">
        <v>144</v>
      </c>
      <c r="C59" s="63" t="s">
        <v>65</v>
      </c>
      <c r="D59" s="63" t="s">
        <v>66</v>
      </c>
      <c r="E59" s="137" t="s">
        <v>59</v>
      </c>
      <c r="F59" s="138"/>
      <c r="G59" s="1" t="s">
        <v>69</v>
      </c>
      <c r="H59" s="68">
        <f ca="1">F57*50%</f>
        <v>5.5</v>
      </c>
    </row>
    <row r="60" spans="1:9" ht="15" customHeight="1" x14ac:dyDescent="0.2">
      <c r="A60" s="61" t="s">
        <v>68</v>
      </c>
      <c r="B60" s="65">
        <v>0</v>
      </c>
      <c r="C60" s="66">
        <v>11</v>
      </c>
      <c r="D60" s="67">
        <f ca="1">((100/F57)*C60)/100</f>
        <v>1.0000000000000002</v>
      </c>
      <c r="E60" s="105">
        <f ca="1">(((C61/F57*10)+(40/(D57+E57+F57)*C62)+(15/(F57)*C63)+(5/(F57)*C64)+(5/F57*C65)+(10/F57*C66)+(5/F57*C67)+(5/F57*C68)+(5/F57*C69))/100)</f>
        <v>0.91363636363636358</v>
      </c>
      <c r="F60" s="106"/>
      <c r="G60" s="1" t="s">
        <v>71</v>
      </c>
      <c r="H60" s="68">
        <f ca="1">F57</f>
        <v>11</v>
      </c>
    </row>
    <row r="61" spans="1:9" ht="15" customHeight="1" x14ac:dyDescent="0.2">
      <c r="A61" s="61" t="s">
        <v>70</v>
      </c>
      <c r="B61" s="65">
        <v>0.1</v>
      </c>
      <c r="C61" s="69">
        <v>11</v>
      </c>
      <c r="D61" s="67">
        <f ca="1">((100/F57)*C61)/100</f>
        <v>1.0000000000000002</v>
      </c>
      <c r="E61" s="107"/>
      <c r="F61" s="108"/>
      <c r="G61" s="1" t="s">
        <v>73</v>
      </c>
      <c r="H61" s="70">
        <f ca="1">(IF(C57&gt;1,(F57/(C57+2)),F57/4))</f>
        <v>2.75</v>
      </c>
    </row>
    <row r="62" spans="1:9" ht="15" customHeight="1" x14ac:dyDescent="0.2">
      <c r="A62" s="61" t="s">
        <v>72</v>
      </c>
      <c r="B62" s="65">
        <v>0.4</v>
      </c>
      <c r="C62" s="69">
        <v>12</v>
      </c>
      <c r="D62" s="67">
        <f ca="1">((100/(D57+E57+F57))*C62)/100</f>
        <v>1</v>
      </c>
      <c r="E62" s="107"/>
      <c r="F62" s="108"/>
      <c r="G62" s="1" t="s">
        <v>75</v>
      </c>
      <c r="H62" s="70">
        <f ca="1">(IF(C57&gt;1,(F57/(C57+2)+H61),F57/4+H61))</f>
        <v>5.5</v>
      </c>
    </row>
    <row r="63" spans="1:9" ht="15" customHeight="1" x14ac:dyDescent="0.2">
      <c r="A63" s="61" t="s">
        <v>74</v>
      </c>
      <c r="B63" s="65">
        <v>0.15</v>
      </c>
      <c r="C63" s="66">
        <v>11</v>
      </c>
      <c r="D63" s="67">
        <f ca="1">((100/F57)*C63)/100</f>
        <v>1.0000000000000002</v>
      </c>
      <c r="E63" s="107"/>
      <c r="F63" s="108"/>
      <c r="G63" s="1" t="s">
        <v>77</v>
      </c>
      <c r="H63" s="70">
        <f>(IF(C57&gt;1,(F57/(C57+2)+H62),0))</f>
        <v>0</v>
      </c>
    </row>
    <row r="64" spans="1:9" ht="15" customHeight="1" x14ac:dyDescent="0.2">
      <c r="A64" s="61" t="s">
        <v>76</v>
      </c>
      <c r="B64" s="65">
        <v>0.05</v>
      </c>
      <c r="C64" s="66">
        <v>11</v>
      </c>
      <c r="D64" s="67">
        <f ca="1">((100/F57)*C64)/100</f>
        <v>1.0000000000000002</v>
      </c>
      <c r="E64" s="107"/>
      <c r="F64" s="108"/>
      <c r="G64" s="1" t="s">
        <v>79</v>
      </c>
      <c r="H64" s="70">
        <f>(IF(C57&gt;2,(F57/(C57+2)+H63),0))</f>
        <v>0</v>
      </c>
    </row>
    <row r="65" spans="1:8" ht="15" customHeight="1" x14ac:dyDescent="0.2">
      <c r="A65" s="61" t="s">
        <v>78</v>
      </c>
      <c r="B65" s="65">
        <v>0.05</v>
      </c>
      <c r="C65" s="66">
        <v>11</v>
      </c>
      <c r="D65" s="67">
        <f ca="1">((100/(F57))*C65)/100</f>
        <v>1.0000000000000002</v>
      </c>
      <c r="E65" s="107"/>
      <c r="F65" s="108"/>
      <c r="G65" s="1" t="s">
        <v>81</v>
      </c>
      <c r="H65" s="71">
        <f>(IF(C57&gt;3,(F57/(C57+2)+H64),0))</f>
        <v>0</v>
      </c>
    </row>
    <row r="66" spans="1:8" ht="15" customHeight="1" x14ac:dyDescent="0.2">
      <c r="A66" s="61" t="s">
        <v>80</v>
      </c>
      <c r="B66" s="65">
        <v>0.1</v>
      </c>
      <c r="C66" s="66">
        <v>11</v>
      </c>
      <c r="D66" s="67">
        <f ca="1">((100/F57)*C66)/100</f>
        <v>1.0000000000000002</v>
      </c>
      <c r="E66" s="107"/>
      <c r="F66" s="108"/>
      <c r="G66" s="1" t="s">
        <v>83</v>
      </c>
      <c r="H66" s="70">
        <f>(IF(C57&gt;4,(F57/(C57+2)+H65),0))</f>
        <v>0</v>
      </c>
    </row>
    <row r="67" spans="1:8" ht="15" customHeight="1" x14ac:dyDescent="0.2">
      <c r="A67" s="61" t="s">
        <v>82</v>
      </c>
      <c r="B67" s="65">
        <v>0.05</v>
      </c>
      <c r="C67" s="66">
        <v>10</v>
      </c>
      <c r="D67" s="67">
        <f ca="1">((100/F57)*C67)/100</f>
        <v>0.90909090909090917</v>
      </c>
      <c r="E67" s="107"/>
      <c r="F67" s="108"/>
      <c r="G67" s="1" t="s">
        <v>85</v>
      </c>
      <c r="H67" s="70">
        <f ca="1">(IF(C57=1,(F57/(C57+3)+H62),IF(C57=0,(F57/4+H62),IF(C57&gt;1,0))))</f>
        <v>8.25</v>
      </c>
    </row>
    <row r="68" spans="1:8" ht="15.75" customHeight="1" thickBot="1" x14ac:dyDescent="0.25">
      <c r="A68" s="61" t="s">
        <v>84</v>
      </c>
      <c r="B68" s="65">
        <v>0.05</v>
      </c>
      <c r="C68" s="66">
        <v>4</v>
      </c>
      <c r="D68" s="67">
        <f ca="1">((100/(F57))*C68)/100</f>
        <v>0.36363636363636365</v>
      </c>
      <c r="E68" s="107"/>
      <c r="F68" s="108"/>
      <c r="G68" s="76" t="s">
        <v>87</v>
      </c>
      <c r="H68" s="77">
        <f ca="1">(IF(C57&gt;1.5,(F57/(C57+2)+H62+MAX(0,H63-H62)+MAX(0,H64-H63)+MAX(0,H65-H64)+MAX(0,H66-H65)+MAX(0,H67-H66)),IF(C57=1,(F57/(C57+3)+H67),IF(C57=0,F57/4+H67))))</f>
        <v>11</v>
      </c>
    </row>
    <row r="69" spans="1:8" ht="13.5" thickBot="1" x14ac:dyDescent="0.25">
      <c r="A69" s="72" t="s">
        <v>86</v>
      </c>
      <c r="B69" s="73">
        <v>0.05</v>
      </c>
      <c r="C69" s="74">
        <v>0</v>
      </c>
      <c r="D69" s="75">
        <f ca="1">((100/(F57))*C69)/100</f>
        <v>0</v>
      </c>
      <c r="E69" s="109"/>
      <c r="F69" s="110"/>
      <c r="G69" s="54" t="str">
        <f ca="1">(IF(E74&gt;99%,"All work completed. Please provide OC.",IF(E74&gt;89.8%,"Plinth, RCC, Brick, Plaster, Flooring, Painting work Completed. Finishing work is in process.",IF(E74&lt;94%,(IF(C74=0,"Work not yet Started.",IF(D74=25%,"Piling work in process",IF(D74=50%,"Excavation work in process",IF(D74=100%,"Excavation work Completed. ","0")))&amp;(IF(C75=0%,"",IF(C75=H75,"Footing work is process",IF(C75=H76,"Footing work Completed",IF(C75=H77,"1st Basement Completed",IF(C75=H78,"1st &amp; 2nd Basement Completed",IF(C75=H79,"1st to 3rd Basement Completed",IF(C75=H80,"1st to 4th Basement Completed",IF(C75=H81,"Plinth work is process",IF(C75=H82,"Plinth work completed","0")))))))))))&amp;(IF(C76=(D71+E71+F71),", RCC Slab",IF(C76&gt;0,", RCC upto "&amp;C76&amp;" Slab",""))&amp;(IF(C77=F71,", Brickwork",IF(C77&gt;0,", Brickwork upto "&amp;C77&amp;" Floor",""))&amp;(IF(C78=F71,", Internal Plaster",IF(C78&gt;0,", Internal Plaster upto "&amp;C78&amp;" Floor",""))&amp;(IF(C79=F71,", External Plaster",IF(C79&gt;0,", External Plaster upto "&amp;C79&amp;" Floor",""))&amp;(IF(C80=F71,", Flooring",IF(C80&gt;0,", Flooring upto "&amp;C80&amp;" Floor",""))&amp;(IF(C81=F71,", Painting",IF(C81&gt;0,", Painting upto "&amp;C81&amp;" Floor",""))&amp;(IF(C82&gt;0,", Finishing upto "&amp;C82&amp;" Floor","")&amp;(IF(C76&gt;0.5," Completed",""))))))))))))))</f>
        <v>Plinth, RCC, Brick, Plaster, Flooring, Painting work Completed. Finishing work is in process.</v>
      </c>
      <c r="H69" s="55"/>
    </row>
    <row r="70" spans="1:8" x14ac:dyDescent="0.2">
      <c r="A70" s="178" t="s">
        <v>229</v>
      </c>
      <c r="B70" s="179"/>
      <c r="C70" s="52" t="s">
        <v>61</v>
      </c>
      <c r="D70" s="52" t="s">
        <v>62</v>
      </c>
      <c r="E70" s="52" t="s">
        <v>63</v>
      </c>
      <c r="F70" s="53" t="s">
        <v>48</v>
      </c>
      <c r="G70" s="58"/>
      <c r="H70" s="59"/>
    </row>
    <row r="71" spans="1:8" x14ac:dyDescent="0.2">
      <c r="A71" s="180"/>
      <c r="B71" s="181"/>
      <c r="C71" s="56">
        <v>0</v>
      </c>
      <c r="D71" s="56">
        <v>1</v>
      </c>
      <c r="E71" s="56">
        <v>0</v>
      </c>
      <c r="F71" s="57">
        <f ca="1">--TRIM(RIGHT(SUBSTITUTE(LEFT(A70,_xlfn.AGGREGATE(16,6,FIND({0,1,2,3,4,5,6,7,8,9},A70,ROW(INDIRECT("1:"&amp;LEN(A70)))),1))," ",REPT(" ",LEN(A70))),LEN(A70)))</f>
        <v>11</v>
      </c>
      <c r="G71" s="58" t="s">
        <v>143</v>
      </c>
      <c r="H71" s="59"/>
    </row>
    <row r="72" spans="1:8" x14ac:dyDescent="0.2">
      <c r="A72" s="60" t="s">
        <v>142</v>
      </c>
      <c r="B72" s="111" t="str">
        <f ca="1">G69</f>
        <v>Plinth, RCC, Brick, Plaster, Flooring, Painting work Completed. Finishing work is in process.</v>
      </c>
      <c r="C72" s="112"/>
      <c r="D72" s="112"/>
      <c r="E72" s="112"/>
      <c r="F72" s="113"/>
      <c r="G72" s="1" t="s">
        <v>67</v>
      </c>
      <c r="H72" s="64">
        <f ca="1">F71*25%</f>
        <v>2.75</v>
      </c>
    </row>
    <row r="73" spans="1:8" x14ac:dyDescent="0.2">
      <c r="A73" s="61" t="s">
        <v>64</v>
      </c>
      <c r="B73" s="62" t="s">
        <v>144</v>
      </c>
      <c r="C73" s="63" t="s">
        <v>65</v>
      </c>
      <c r="D73" s="63" t="s">
        <v>66</v>
      </c>
      <c r="E73" s="137" t="s">
        <v>59</v>
      </c>
      <c r="F73" s="138"/>
      <c r="G73" s="1" t="s">
        <v>69</v>
      </c>
      <c r="H73" s="68">
        <f ca="1">F71*50%</f>
        <v>5.5</v>
      </c>
    </row>
    <row r="74" spans="1:8" x14ac:dyDescent="0.2">
      <c r="A74" s="61" t="s">
        <v>68</v>
      </c>
      <c r="B74" s="65">
        <v>0</v>
      </c>
      <c r="C74" s="66">
        <v>11</v>
      </c>
      <c r="D74" s="67">
        <f ca="1">((100/F71)*C74)/100</f>
        <v>1.0000000000000002</v>
      </c>
      <c r="E74" s="105">
        <f ca="1">(((C75/F71*10)+(40/(D71+E71+F71)*C76)+(15/(F71)*C77)+(5/(F71)*C78)+(5/F71*C79)+(10/F71*C80)+(5/F71*C81)+(5/F71*C82)+(5/F71*C83))/100)</f>
        <v>0.9181818181818181</v>
      </c>
      <c r="F74" s="106"/>
      <c r="G74" s="1" t="s">
        <v>71</v>
      </c>
      <c r="H74" s="68">
        <f ca="1">F71</f>
        <v>11</v>
      </c>
    </row>
    <row r="75" spans="1:8" x14ac:dyDescent="0.2">
      <c r="A75" s="61" t="s">
        <v>70</v>
      </c>
      <c r="B75" s="65">
        <v>0.1</v>
      </c>
      <c r="C75" s="69">
        <v>11</v>
      </c>
      <c r="D75" s="67">
        <f ca="1">((100/F71)*C75)/100</f>
        <v>1.0000000000000002</v>
      </c>
      <c r="E75" s="107"/>
      <c r="F75" s="108"/>
      <c r="G75" s="1" t="s">
        <v>73</v>
      </c>
      <c r="H75" s="70">
        <f ca="1">(IF(C71&gt;1,(F71/(C71+2)),F71/4))</f>
        <v>2.75</v>
      </c>
    </row>
    <row r="76" spans="1:8" x14ac:dyDescent="0.2">
      <c r="A76" s="61" t="s">
        <v>72</v>
      </c>
      <c r="B76" s="65">
        <v>0.4</v>
      </c>
      <c r="C76" s="69">
        <v>12</v>
      </c>
      <c r="D76" s="67">
        <f ca="1">((100/(D71+E71+F71))*C76)/100</f>
        <v>1</v>
      </c>
      <c r="E76" s="107"/>
      <c r="F76" s="108"/>
      <c r="G76" s="1" t="s">
        <v>75</v>
      </c>
      <c r="H76" s="70">
        <f ca="1">(IF(C71&gt;1,(F71/(C71+2)+H75),F71/4+H75))</f>
        <v>5.5</v>
      </c>
    </row>
    <row r="77" spans="1:8" x14ac:dyDescent="0.2">
      <c r="A77" s="61" t="s">
        <v>74</v>
      </c>
      <c r="B77" s="65">
        <v>0.15</v>
      </c>
      <c r="C77" s="66">
        <v>11</v>
      </c>
      <c r="D77" s="67">
        <f ca="1">((100/F71)*C77)/100</f>
        <v>1.0000000000000002</v>
      </c>
      <c r="E77" s="107"/>
      <c r="F77" s="108"/>
      <c r="G77" s="1" t="s">
        <v>77</v>
      </c>
      <c r="H77" s="70">
        <f>(IF(C71&gt;1,(F71/(C71+2)+H76),0))</f>
        <v>0</v>
      </c>
    </row>
    <row r="78" spans="1:8" x14ac:dyDescent="0.2">
      <c r="A78" s="61" t="s">
        <v>76</v>
      </c>
      <c r="B78" s="65">
        <v>0.05</v>
      </c>
      <c r="C78" s="66">
        <v>11</v>
      </c>
      <c r="D78" s="67">
        <f ca="1">((100/F71)*C78)/100</f>
        <v>1.0000000000000002</v>
      </c>
      <c r="E78" s="107"/>
      <c r="F78" s="108"/>
      <c r="G78" s="1" t="s">
        <v>79</v>
      </c>
      <c r="H78" s="70">
        <f>(IF(C71&gt;2,(F71/(C71+2)+H77),0))</f>
        <v>0</v>
      </c>
    </row>
    <row r="79" spans="1:8" x14ac:dyDescent="0.2">
      <c r="A79" s="61" t="s">
        <v>78</v>
      </c>
      <c r="B79" s="65">
        <v>0.05</v>
      </c>
      <c r="C79" s="66">
        <v>11</v>
      </c>
      <c r="D79" s="67">
        <f ca="1">((100/(F71))*C79)/100</f>
        <v>1.0000000000000002</v>
      </c>
      <c r="E79" s="107"/>
      <c r="F79" s="108"/>
      <c r="G79" s="1" t="s">
        <v>81</v>
      </c>
      <c r="H79" s="71">
        <f>(IF(C71&gt;3,(F71/(C71+2)+H78),0))</f>
        <v>0</v>
      </c>
    </row>
    <row r="80" spans="1:8" x14ac:dyDescent="0.2">
      <c r="A80" s="61" t="s">
        <v>80</v>
      </c>
      <c r="B80" s="65">
        <v>0.1</v>
      </c>
      <c r="C80" s="66">
        <v>11</v>
      </c>
      <c r="D80" s="67">
        <f ca="1">((100/F71)*C80)/100</f>
        <v>1.0000000000000002</v>
      </c>
      <c r="E80" s="107"/>
      <c r="F80" s="108"/>
      <c r="G80" s="1" t="s">
        <v>83</v>
      </c>
      <c r="H80" s="70">
        <f>(IF(C71&gt;4,(F71/(C71+2)+H79),0))</f>
        <v>0</v>
      </c>
    </row>
    <row r="81" spans="1:8" x14ac:dyDescent="0.2">
      <c r="A81" s="61" t="s">
        <v>82</v>
      </c>
      <c r="B81" s="65">
        <v>0.05</v>
      </c>
      <c r="C81" s="66">
        <v>10</v>
      </c>
      <c r="D81" s="67">
        <f ca="1">((100/F71)*C81)/100</f>
        <v>0.90909090909090917</v>
      </c>
      <c r="E81" s="107"/>
      <c r="F81" s="108"/>
      <c r="G81" s="1" t="s">
        <v>85</v>
      </c>
      <c r="H81" s="70">
        <f ca="1">(IF(C71=1,(F71/(C71+3)+H76),IF(C71=0,(F71/4+H76),IF(C71&gt;1,0))))</f>
        <v>8.25</v>
      </c>
    </row>
    <row r="82" spans="1:8" ht="13.5" thickBot="1" x14ac:dyDescent="0.25">
      <c r="A82" s="61" t="s">
        <v>84</v>
      </c>
      <c r="B82" s="65">
        <v>0.05</v>
      </c>
      <c r="C82" s="66">
        <v>5</v>
      </c>
      <c r="D82" s="67">
        <f ca="1">((100/(F71))*C82)/100</f>
        <v>0.45454545454545459</v>
      </c>
      <c r="E82" s="107"/>
      <c r="F82" s="108"/>
      <c r="G82" s="76" t="s">
        <v>87</v>
      </c>
      <c r="H82" s="77">
        <f ca="1">(IF(C71&gt;1.5,(F71/(C71+2)+H76+MAX(0,H77-H76)+MAX(0,H78-H77)+MAX(0,H79-H78)+MAX(0,H80-H79)+MAX(0,H81-H80)),IF(C71=1,(F71/(C71+3)+H81),IF(C71=0,F71/4+H81))))</f>
        <v>11</v>
      </c>
    </row>
    <row r="83" spans="1:8" ht="13.5" thickBot="1" x14ac:dyDescent="0.25">
      <c r="A83" s="72" t="s">
        <v>86</v>
      </c>
      <c r="B83" s="73">
        <v>0.05</v>
      </c>
      <c r="C83" s="74">
        <v>0</v>
      </c>
      <c r="D83" s="75">
        <f ca="1">((100/(F71))*C83)/100</f>
        <v>0</v>
      </c>
      <c r="E83" s="109"/>
      <c r="F83" s="110"/>
      <c r="G83" s="54" t="str">
        <f ca="1">(IF(E88&gt;99%,"All work completed. Please provide OC.",IF(E88&gt;89.8%,"Plinth, RCC, Brick, Plaster, Flooring, Painting work Completed. Finishing work is in process.",IF(E88&lt;94%,(IF(C88=0,"Work not yet Started.",IF(D88=25%,"Piling work in process",IF(D88=50%,"Excavation work in process",IF(D88=100%,"Excavation work Completed. ","0")))&amp;(IF(C89=0%,"",IF(C89=H89,"Footing work is process",IF(C89=H90,"Footing work Completed",IF(C89=H91,"1st Basement Completed",IF(C89=H92,"1st &amp; 2nd Basement Completed",IF(C89=H93,"1st to 3rd Basement Completed",IF(C89=H94,"1st to 4th Basement Completed",IF(C89=H95,"Plinth work is process",IF(C89=H96,"Plinth work completed","0")))))))))))&amp;(IF(C90=(D85+E85+F85),", RCC Slab",IF(C90&gt;0,", RCC upto "&amp;C90&amp;" Slab",""))&amp;(IF(C91=F85,", Brickwork",IF(C91&gt;0,", Brickwork upto "&amp;C91&amp;" Floor",""))&amp;(IF(C92=F85,", Internal Plaster",IF(C92&gt;0,", Internal Plaster upto "&amp;C92&amp;" Floor",""))&amp;(IF(C93=F85,", External Plaster",IF(C93&gt;0,", External Plaster upto "&amp;C93&amp;" Floor",""))&amp;(IF(C94=F85,", Flooring",IF(C94&gt;0,", Flooring upto "&amp;C94&amp;" Floor",""))&amp;(IF(C95=F85,", Painting",IF(C95&gt;0,", Painting upto "&amp;C95&amp;" Floor",""))&amp;(IF(C96&gt;0,", Finishing upto "&amp;C96&amp;" Floor","")&amp;(IF(C90&gt;0.5," Completed",""))))))))))))))</f>
        <v>Excavation work Completed. Plinth work completed, RCC Slab, Brickwork, Internal Plaster, External Plaster upto 9 Floor Completed</v>
      </c>
      <c r="H83" s="55"/>
    </row>
    <row r="84" spans="1:8" x14ac:dyDescent="0.2">
      <c r="A84" s="178" t="s">
        <v>230</v>
      </c>
      <c r="B84" s="179"/>
      <c r="C84" s="52" t="s">
        <v>61</v>
      </c>
      <c r="D84" s="52" t="s">
        <v>62</v>
      </c>
      <c r="E84" s="52" t="s">
        <v>63</v>
      </c>
      <c r="F84" s="53" t="s">
        <v>48</v>
      </c>
      <c r="G84" s="58"/>
      <c r="H84" s="59"/>
    </row>
    <row r="85" spans="1:8" x14ac:dyDescent="0.2">
      <c r="A85" s="180"/>
      <c r="B85" s="181"/>
      <c r="C85" s="56">
        <v>0</v>
      </c>
      <c r="D85" s="56">
        <v>1</v>
      </c>
      <c r="E85" s="56">
        <v>0</v>
      </c>
      <c r="F85" s="57">
        <f ca="1">--TRIM(RIGHT(SUBSTITUTE(LEFT(A84,_xlfn.AGGREGATE(16,6,FIND({0,1,2,3,4,5,6,7,8,9},A84,ROW(INDIRECT("1:"&amp;LEN(A84)))),1))," ",REPT(" ",LEN(A84))),LEN(A84)))</f>
        <v>11</v>
      </c>
      <c r="G85" s="58" t="s">
        <v>143</v>
      </c>
      <c r="H85" s="59"/>
    </row>
    <row r="86" spans="1:8" ht="25.5" customHeight="1" x14ac:dyDescent="0.2">
      <c r="A86" s="60" t="s">
        <v>142</v>
      </c>
      <c r="B86" s="111" t="str">
        <f ca="1">G83</f>
        <v>Excavation work Completed. Plinth work completed, RCC Slab, Brickwork, Internal Plaster, External Plaster upto 9 Floor Completed</v>
      </c>
      <c r="C86" s="112"/>
      <c r="D86" s="112"/>
      <c r="E86" s="112"/>
      <c r="F86" s="113"/>
      <c r="G86" s="1" t="s">
        <v>67</v>
      </c>
      <c r="H86" s="64">
        <f ca="1">F85*25%</f>
        <v>2.75</v>
      </c>
    </row>
    <row r="87" spans="1:8" x14ac:dyDescent="0.2">
      <c r="A87" s="61" t="s">
        <v>64</v>
      </c>
      <c r="B87" s="62" t="s">
        <v>144</v>
      </c>
      <c r="C87" s="63" t="s">
        <v>65</v>
      </c>
      <c r="D87" s="63" t="s">
        <v>66</v>
      </c>
      <c r="E87" s="137" t="s">
        <v>59</v>
      </c>
      <c r="F87" s="138"/>
      <c r="G87" s="1" t="s">
        <v>69</v>
      </c>
      <c r="H87" s="68">
        <f ca="1">F85*50%</f>
        <v>5.5</v>
      </c>
    </row>
    <row r="88" spans="1:8" x14ac:dyDescent="0.2">
      <c r="A88" s="61" t="s">
        <v>68</v>
      </c>
      <c r="B88" s="65">
        <v>0</v>
      </c>
      <c r="C88" s="66">
        <v>11</v>
      </c>
      <c r="D88" s="67">
        <f ca="1">((100/F85)*C88)/100</f>
        <v>1.0000000000000002</v>
      </c>
      <c r="E88" s="105">
        <f ca="1">(((C89/F85*10)+(40/(D85+E85+F85)*C90)+(15/(F85)*C91)+(5/(F85)*C92)+(5/F85*C93)+(10/F85*C94)+(5/F85*C95)+(5/F85*C96)+(5/F85*C97))/100)</f>
        <v>0.74090909090909096</v>
      </c>
      <c r="F88" s="106"/>
      <c r="G88" s="1" t="s">
        <v>71</v>
      </c>
      <c r="H88" s="68">
        <f ca="1">F85</f>
        <v>11</v>
      </c>
    </row>
    <row r="89" spans="1:8" x14ac:dyDescent="0.2">
      <c r="A89" s="61" t="s">
        <v>70</v>
      </c>
      <c r="B89" s="65">
        <v>0.1</v>
      </c>
      <c r="C89" s="69">
        <v>11</v>
      </c>
      <c r="D89" s="67">
        <f ca="1">((100/F85)*C89)/100</f>
        <v>1.0000000000000002</v>
      </c>
      <c r="E89" s="107"/>
      <c r="F89" s="108"/>
      <c r="G89" s="1" t="s">
        <v>73</v>
      </c>
      <c r="H89" s="70">
        <f ca="1">(IF(C85&gt;1,(F85/(C85+2)),F85/4))</f>
        <v>2.75</v>
      </c>
    </row>
    <row r="90" spans="1:8" x14ac:dyDescent="0.2">
      <c r="A90" s="61" t="s">
        <v>72</v>
      </c>
      <c r="B90" s="65">
        <v>0.4</v>
      </c>
      <c r="C90" s="69">
        <v>12</v>
      </c>
      <c r="D90" s="67">
        <f ca="1">((100/(D85+E85+F85))*C90)/100</f>
        <v>1</v>
      </c>
      <c r="E90" s="107"/>
      <c r="F90" s="108"/>
      <c r="G90" s="1" t="s">
        <v>75</v>
      </c>
      <c r="H90" s="70">
        <f ca="1">(IF(C85&gt;1,(F85/(C85+2)+H89),F85/4+H89))</f>
        <v>5.5</v>
      </c>
    </row>
    <row r="91" spans="1:8" x14ac:dyDescent="0.2">
      <c r="A91" s="61" t="s">
        <v>74</v>
      </c>
      <c r="B91" s="65">
        <v>0.15</v>
      </c>
      <c r="C91" s="66">
        <v>11</v>
      </c>
      <c r="D91" s="67">
        <f ca="1">((100/F85)*C91)/100</f>
        <v>1.0000000000000002</v>
      </c>
      <c r="E91" s="107"/>
      <c r="F91" s="108"/>
      <c r="G91" s="1" t="s">
        <v>77</v>
      </c>
      <c r="H91" s="70">
        <f>(IF(C85&gt;1,(F85/(C85+2)+H90),0))</f>
        <v>0</v>
      </c>
    </row>
    <row r="92" spans="1:8" x14ac:dyDescent="0.2">
      <c r="A92" s="61" t="s">
        <v>76</v>
      </c>
      <c r="B92" s="65">
        <v>0.05</v>
      </c>
      <c r="C92" s="66">
        <v>11</v>
      </c>
      <c r="D92" s="67">
        <f ca="1">((100/F85)*C92)/100</f>
        <v>1.0000000000000002</v>
      </c>
      <c r="E92" s="107"/>
      <c r="F92" s="108"/>
      <c r="G92" s="1" t="s">
        <v>79</v>
      </c>
      <c r="H92" s="70">
        <f>(IF(C85&gt;2,(F85/(C85+2)+H91),0))</f>
        <v>0</v>
      </c>
    </row>
    <row r="93" spans="1:8" x14ac:dyDescent="0.2">
      <c r="A93" s="61" t="s">
        <v>78</v>
      </c>
      <c r="B93" s="65">
        <v>0.05</v>
      </c>
      <c r="C93" s="66">
        <v>9</v>
      </c>
      <c r="D93" s="67">
        <f ca="1">((100/(F85))*C93)/100</f>
        <v>0.81818181818181823</v>
      </c>
      <c r="E93" s="107"/>
      <c r="F93" s="108"/>
      <c r="G93" s="1" t="s">
        <v>81</v>
      </c>
      <c r="H93" s="71">
        <f>(IF(C85&gt;3,(F85/(C85+2)+H92),0))</f>
        <v>0</v>
      </c>
    </row>
    <row r="94" spans="1:8" x14ac:dyDescent="0.2">
      <c r="A94" s="61" t="s">
        <v>80</v>
      </c>
      <c r="B94" s="65">
        <v>0.1</v>
      </c>
      <c r="C94" s="66">
        <v>0</v>
      </c>
      <c r="D94" s="67">
        <f ca="1">((100/F85)*C94)/100</f>
        <v>0</v>
      </c>
      <c r="E94" s="107"/>
      <c r="F94" s="108"/>
      <c r="G94" s="1" t="s">
        <v>83</v>
      </c>
      <c r="H94" s="70">
        <f>(IF(C85&gt;4,(F85/(C85+2)+H93),0))</f>
        <v>0</v>
      </c>
    </row>
    <row r="95" spans="1:8" x14ac:dyDescent="0.2">
      <c r="A95" s="61" t="s">
        <v>82</v>
      </c>
      <c r="B95" s="65">
        <v>0.05</v>
      </c>
      <c r="C95" s="66">
        <v>0</v>
      </c>
      <c r="D95" s="67">
        <f ca="1">((100/F85)*C95)/100</f>
        <v>0</v>
      </c>
      <c r="E95" s="107"/>
      <c r="F95" s="108"/>
      <c r="G95" s="1" t="s">
        <v>85</v>
      </c>
      <c r="H95" s="70">
        <f ca="1">(IF(C85=1,(F85/(C85+3)+H90),IF(C85=0,(F85/4+H90),IF(C85&gt;1,0))))</f>
        <v>8.25</v>
      </c>
    </row>
    <row r="96" spans="1:8" ht="13.5" thickBot="1" x14ac:dyDescent="0.25">
      <c r="A96" s="61" t="s">
        <v>84</v>
      </c>
      <c r="B96" s="65">
        <v>0.05</v>
      </c>
      <c r="C96" s="66">
        <v>0</v>
      </c>
      <c r="D96" s="67">
        <f ca="1">((100/(F85))*C96)/100</f>
        <v>0</v>
      </c>
      <c r="E96" s="107"/>
      <c r="F96" s="108"/>
      <c r="G96" s="76" t="s">
        <v>87</v>
      </c>
      <c r="H96" s="77">
        <f ca="1">(IF(C85&gt;1.5,(F85/(C85+2)+H90+MAX(0,H91-H90)+MAX(0,H92-H91)+MAX(0,H93-H92)+MAX(0,H94-H93)+MAX(0,H95-H94)),IF(C85=1,(F85/(C85+3)+H95),IF(C85=0,F85/4+H95))))</f>
        <v>11</v>
      </c>
    </row>
    <row r="97" spans="1:6" ht="13.5" thickBot="1" x14ac:dyDescent="0.25">
      <c r="A97" s="72" t="s">
        <v>86</v>
      </c>
      <c r="B97" s="73">
        <v>0.05</v>
      </c>
      <c r="C97" s="74">
        <v>0</v>
      </c>
      <c r="D97" s="75">
        <f ca="1">((100/(F85))*C97)/100</f>
        <v>0</v>
      </c>
      <c r="E97" s="109"/>
      <c r="F97" s="110"/>
    </row>
    <row r="98" spans="1:6" ht="13.5" customHeight="1" x14ac:dyDescent="0.2">
      <c r="A98" s="98" t="s">
        <v>27</v>
      </c>
      <c r="B98" s="157" t="s">
        <v>118</v>
      </c>
      <c r="C98" s="157"/>
      <c r="D98" s="157"/>
      <c r="E98" s="157"/>
      <c r="F98" s="157"/>
    </row>
    <row r="99" spans="1:6" x14ac:dyDescent="0.2">
      <c r="A99" s="142" t="s">
        <v>28</v>
      </c>
      <c r="B99" s="142"/>
      <c r="C99" s="142"/>
      <c r="D99" s="142"/>
      <c r="E99" s="142"/>
      <c r="F99" s="142"/>
    </row>
    <row r="100" spans="1:6" x14ac:dyDescent="0.2">
      <c r="A100" s="23" t="s">
        <v>29</v>
      </c>
      <c r="B100" s="31" t="s">
        <v>53</v>
      </c>
      <c r="C100" s="139" t="s">
        <v>30</v>
      </c>
      <c r="D100" s="139"/>
      <c r="E100" s="19" t="s">
        <v>18</v>
      </c>
      <c r="F100" s="86" t="s">
        <v>54</v>
      </c>
    </row>
    <row r="101" spans="1:6" x14ac:dyDescent="0.2">
      <c r="A101" s="13" t="s">
        <v>31</v>
      </c>
      <c r="B101" s="31" t="s">
        <v>52</v>
      </c>
      <c r="C101" s="139" t="s">
        <v>32</v>
      </c>
      <c r="D101" s="139"/>
      <c r="E101" s="19" t="s">
        <v>18</v>
      </c>
      <c r="F101" s="86" t="s">
        <v>55</v>
      </c>
    </row>
    <row r="102" spans="1:6" x14ac:dyDescent="0.2">
      <c r="A102" s="13" t="s">
        <v>33</v>
      </c>
      <c r="B102" s="31" t="s">
        <v>231</v>
      </c>
      <c r="C102" s="139" t="s">
        <v>34</v>
      </c>
      <c r="D102" s="139"/>
      <c r="E102" s="19" t="s">
        <v>18</v>
      </c>
      <c r="F102" s="86" t="s">
        <v>54</v>
      </c>
    </row>
    <row r="103" spans="1:6" x14ac:dyDescent="0.2">
      <c r="A103" s="13" t="s">
        <v>35</v>
      </c>
      <c r="B103" s="31" t="s">
        <v>126</v>
      </c>
      <c r="C103" s="139" t="s">
        <v>36</v>
      </c>
      <c r="D103" s="139"/>
      <c r="E103" s="19" t="s">
        <v>18</v>
      </c>
      <c r="F103" s="86" t="s">
        <v>54</v>
      </c>
    </row>
    <row r="104" spans="1:6" x14ac:dyDescent="0.2">
      <c r="A104" s="13" t="s">
        <v>37</v>
      </c>
      <c r="B104" s="31" t="s">
        <v>132</v>
      </c>
      <c r="C104" s="139" t="s">
        <v>38</v>
      </c>
      <c r="D104" s="139"/>
      <c r="E104" s="19" t="s">
        <v>18</v>
      </c>
      <c r="F104" s="86" t="s">
        <v>55</v>
      </c>
    </row>
    <row r="105" spans="1:6" x14ac:dyDescent="0.2">
      <c r="A105" s="13" t="s">
        <v>39</v>
      </c>
      <c r="B105" s="31" t="s">
        <v>145</v>
      </c>
      <c r="C105" s="139" t="s">
        <v>40</v>
      </c>
      <c r="D105" s="139"/>
      <c r="E105" s="19" t="s">
        <v>18</v>
      </c>
      <c r="F105" s="86" t="s">
        <v>55</v>
      </c>
    </row>
    <row r="106" spans="1:6" x14ac:dyDescent="0.2">
      <c r="A106" s="13" t="s">
        <v>41</v>
      </c>
      <c r="B106" s="31" t="s">
        <v>127</v>
      </c>
      <c r="C106" s="139" t="s">
        <v>42</v>
      </c>
      <c r="D106" s="139"/>
      <c r="E106" s="19" t="s">
        <v>18</v>
      </c>
      <c r="F106" s="86" t="s">
        <v>55</v>
      </c>
    </row>
    <row r="107" spans="1:6" ht="25.5" x14ac:dyDescent="0.2">
      <c r="A107" s="14" t="s">
        <v>43</v>
      </c>
      <c r="B107" s="31" t="s">
        <v>131</v>
      </c>
      <c r="C107" s="142" t="s">
        <v>44</v>
      </c>
      <c r="D107" s="142"/>
      <c r="E107" s="140" t="s">
        <v>55</v>
      </c>
      <c r="F107" s="140"/>
    </row>
    <row r="108" spans="1:6" ht="13.5" thickBot="1" x14ac:dyDescent="0.25">
      <c r="A108" s="14" t="s">
        <v>45</v>
      </c>
      <c r="B108" s="13" t="s">
        <v>57</v>
      </c>
      <c r="C108" s="142" t="s">
        <v>46</v>
      </c>
      <c r="D108" s="142"/>
      <c r="E108" s="141" t="s">
        <v>56</v>
      </c>
      <c r="F108" s="141"/>
    </row>
    <row r="109" spans="1:6" x14ac:dyDescent="0.2">
      <c r="A109" s="115" t="s">
        <v>247</v>
      </c>
      <c r="B109" s="116"/>
      <c r="C109" s="116"/>
      <c r="D109" s="116"/>
      <c r="E109" s="116"/>
      <c r="F109" s="117"/>
    </row>
    <row r="110" spans="1:6" x14ac:dyDescent="0.2">
      <c r="A110" s="96" t="s">
        <v>248</v>
      </c>
      <c r="B110" s="92" t="s">
        <v>249</v>
      </c>
      <c r="C110" s="119" t="s">
        <v>250</v>
      </c>
      <c r="D110" s="119"/>
      <c r="E110" s="120" t="s">
        <v>251</v>
      </c>
      <c r="F110" s="121"/>
    </row>
    <row r="111" spans="1:6" x14ac:dyDescent="0.2">
      <c r="A111" s="91" t="s">
        <v>257</v>
      </c>
      <c r="B111" s="91">
        <f>COUNT(C126:C133)</f>
        <v>8</v>
      </c>
      <c r="C111" s="118">
        <f>SUM(C126:C133)</f>
        <v>982.10735999999986</v>
      </c>
      <c r="D111" s="118"/>
      <c r="E111" s="118">
        <f>SUM(E126:E133)</f>
        <v>1473.16104</v>
      </c>
      <c r="F111" s="118"/>
    </row>
    <row r="112" spans="1:6" ht="13.5" thickBot="1" x14ac:dyDescent="0.25">
      <c r="A112" s="97" t="s">
        <v>252</v>
      </c>
      <c r="B112" s="92">
        <f>SUM(B111:B111)</f>
        <v>8</v>
      </c>
      <c r="C112" s="114">
        <f>SUM(C111:C111)</f>
        <v>982.10735999999986</v>
      </c>
      <c r="D112" s="114"/>
      <c r="E112" s="114">
        <f>SUM(E111:E111)</f>
        <v>1473.16104</v>
      </c>
      <c r="F112" s="114"/>
    </row>
    <row r="113" spans="1:8" ht="12.75" customHeight="1" x14ac:dyDescent="0.2">
      <c r="A113" s="115" t="s">
        <v>253</v>
      </c>
      <c r="B113" s="116"/>
      <c r="C113" s="116"/>
      <c r="D113" s="116"/>
      <c r="E113" s="116"/>
      <c r="F113" s="117"/>
      <c r="G113" s="90">
        <f>3.6*2.85</f>
        <v>10.26</v>
      </c>
    </row>
    <row r="114" spans="1:8" ht="15" customHeight="1" x14ac:dyDescent="0.2">
      <c r="A114" s="96" t="s">
        <v>248</v>
      </c>
      <c r="B114" s="92" t="s">
        <v>249</v>
      </c>
      <c r="C114" s="119" t="s">
        <v>250</v>
      </c>
      <c r="D114" s="119"/>
      <c r="E114" s="120" t="s">
        <v>251</v>
      </c>
      <c r="F114" s="121"/>
      <c r="G114" s="90"/>
    </row>
    <row r="115" spans="1:8" ht="15" customHeight="1" x14ac:dyDescent="0.2">
      <c r="A115" s="91" t="s">
        <v>254</v>
      </c>
      <c r="B115" s="91">
        <f>COUNT(C141:C148)*10+COUNT(C150:C156)</f>
        <v>87</v>
      </c>
      <c r="C115" s="118">
        <f>SUM(C141:C148)*10+SUM(C150:C156)</f>
        <v>39762.420516000006</v>
      </c>
      <c r="D115" s="118"/>
      <c r="E115" s="118">
        <f>SUM(E141:E148)*10+SUM(E150:E156)</f>
        <v>57655.509748199998</v>
      </c>
      <c r="F115" s="118"/>
    </row>
    <row r="116" spans="1:8" x14ac:dyDescent="0.2">
      <c r="A116" s="91" t="s">
        <v>255</v>
      </c>
      <c r="B116" s="91">
        <f>COUNT(C161:C171)*10+COUNT(C173:C180,C182:C183)</f>
        <v>120</v>
      </c>
      <c r="C116" s="118">
        <f>SUM(C161:C171)*10+SUM(C173:C180,C182:C183)</f>
        <v>49762.940759999998</v>
      </c>
      <c r="D116" s="118"/>
      <c r="E116" s="118">
        <f>SUM(E161:E171)*10+SUM(E173:E180,E182:E183)</f>
        <v>72156.264102000001</v>
      </c>
      <c r="F116" s="118"/>
    </row>
    <row r="117" spans="1:8" x14ac:dyDescent="0.2">
      <c r="A117" s="91" t="s">
        <v>257</v>
      </c>
      <c r="B117" s="91">
        <f>COUNT(C187:C197)+COUNT(C199:C209)*9+COUNT(C211:C214,C216:C221)</f>
        <v>120</v>
      </c>
      <c r="C117" s="118">
        <f>SUM(C187:C197)+SUM(C199:C209)*9+SUM(C211:C214,C216:C221)</f>
        <v>51781.72896</v>
      </c>
      <c r="D117" s="118"/>
      <c r="E117" s="118">
        <f>SUM(E187:E197)+SUM(E199:E209)*9+SUM(E211:E214,E216:E221)</f>
        <v>75200.969142000002</v>
      </c>
      <c r="F117" s="118"/>
    </row>
    <row r="118" spans="1:8" x14ac:dyDescent="0.2">
      <c r="A118" s="96" t="s">
        <v>252</v>
      </c>
      <c r="B118" s="92">
        <f t="shared" ref="B118:E118" si="0">SUM(B115:B117)</f>
        <v>327</v>
      </c>
      <c r="C118" s="114">
        <f t="shared" si="0"/>
        <v>141307.09023600002</v>
      </c>
      <c r="D118" s="114"/>
      <c r="E118" s="114">
        <f t="shared" si="0"/>
        <v>205012.74299220002</v>
      </c>
      <c r="F118" s="114"/>
    </row>
    <row r="119" spans="1:8" x14ac:dyDescent="0.2">
      <c r="A119" s="96" t="s">
        <v>256</v>
      </c>
      <c r="B119" s="92">
        <f>B112+B118</f>
        <v>335</v>
      </c>
      <c r="C119" s="114">
        <f>C112+C118</f>
        <v>142289.19759600001</v>
      </c>
      <c r="D119" s="114"/>
      <c r="E119" s="114">
        <f>E112+E118</f>
        <v>206485.90403220002</v>
      </c>
      <c r="F119" s="114"/>
    </row>
    <row r="120" spans="1:8" x14ac:dyDescent="0.2">
      <c r="A120" s="142" t="s">
        <v>47</v>
      </c>
      <c r="B120" s="142"/>
      <c r="C120" s="142"/>
      <c r="D120" s="142"/>
      <c r="E120" s="142"/>
      <c r="F120" s="142"/>
    </row>
    <row r="121" spans="1:8" ht="38.25" x14ac:dyDescent="0.2">
      <c r="A121" s="143" t="s">
        <v>48</v>
      </c>
      <c r="B121" s="143" t="s">
        <v>49</v>
      </c>
      <c r="C121" s="143" t="s">
        <v>146</v>
      </c>
      <c r="D121" s="143" t="s">
        <v>147</v>
      </c>
      <c r="E121" s="82" t="s">
        <v>148</v>
      </c>
      <c r="F121" s="143" t="s">
        <v>258</v>
      </c>
    </row>
    <row r="122" spans="1:8" x14ac:dyDescent="0.2">
      <c r="A122" s="144"/>
      <c r="B122" s="144"/>
      <c r="C122" s="144"/>
      <c r="D122" s="144"/>
      <c r="E122" s="33">
        <v>0.5</v>
      </c>
      <c r="F122" s="144"/>
    </row>
    <row r="123" spans="1:8" x14ac:dyDescent="0.2">
      <c r="A123" s="150" t="s">
        <v>235</v>
      </c>
      <c r="B123" s="150"/>
      <c r="C123" s="150"/>
      <c r="D123" s="150"/>
      <c r="E123" s="150"/>
      <c r="F123" s="150"/>
    </row>
    <row r="124" spans="1:8" x14ac:dyDescent="0.2">
      <c r="A124" s="150" t="s">
        <v>234</v>
      </c>
      <c r="B124" s="150"/>
      <c r="C124" s="150"/>
      <c r="D124" s="150"/>
      <c r="E124" s="150"/>
      <c r="F124" s="150"/>
    </row>
    <row r="125" spans="1:8" x14ac:dyDescent="0.2">
      <c r="A125" s="150" t="s">
        <v>236</v>
      </c>
      <c r="B125" s="150"/>
      <c r="C125" s="150"/>
      <c r="D125" s="150"/>
      <c r="E125" s="150"/>
      <c r="F125" s="150"/>
    </row>
    <row r="126" spans="1:8" x14ac:dyDescent="0.2">
      <c r="A126" s="145" t="str">
        <f>A125</f>
        <v>Ground Floor For Commercial, Society Office, Driver's Room, Meter Room &amp; Parking</v>
      </c>
      <c r="B126" s="29">
        <v>1</v>
      </c>
      <c r="C126" s="89">
        <f>(10.26)*10.764</f>
        <v>110.43863999999999</v>
      </c>
      <c r="D126" s="24">
        <v>0</v>
      </c>
      <c r="E126" s="24">
        <f>C126*(($E$122)+1)+(IF(D126&lt;101,D126,IF(D126&lt;201,D126/2,IF(D126&lt;=301,D126/3,D126/4))))</f>
        <v>165.65796</v>
      </c>
      <c r="F126" s="29" t="s">
        <v>233</v>
      </c>
    </row>
    <row r="127" spans="1:8" x14ac:dyDescent="0.2">
      <c r="A127" s="146"/>
      <c r="B127" s="29">
        <v>2</v>
      </c>
      <c r="C127" s="89">
        <f>(10.44)*10.764</f>
        <v>112.37615999999998</v>
      </c>
      <c r="D127" s="24">
        <v>0</v>
      </c>
      <c r="E127" s="24">
        <f t="shared" ref="E127:E131" si="1">C127*(($E$122)+1)+(IF(D127&lt;101,D127,IF(D127&lt;201,D127/2,IF(D127&lt;=301,D127/3,D127/4))))</f>
        <v>168.56423999999998</v>
      </c>
      <c r="F127" s="29" t="s">
        <v>233</v>
      </c>
      <c r="G127" s="90">
        <f>5.6*2.1</f>
        <v>11.76</v>
      </c>
      <c r="H127" s="6">
        <f>2.25*1</f>
        <v>2.25</v>
      </c>
    </row>
    <row r="128" spans="1:8" x14ac:dyDescent="0.2">
      <c r="A128" s="146"/>
      <c r="B128" s="29">
        <v>3</v>
      </c>
      <c r="C128" s="89">
        <f>(11.76)*10.764</f>
        <v>126.58463999999999</v>
      </c>
      <c r="D128" s="24">
        <v>0</v>
      </c>
      <c r="E128" s="24">
        <f t="shared" si="1"/>
        <v>189.87696</v>
      </c>
      <c r="F128" s="29" t="s">
        <v>233</v>
      </c>
      <c r="G128" s="90">
        <f>5.6*2.35</f>
        <v>13.16</v>
      </c>
    </row>
    <row r="129" spans="1:7" x14ac:dyDescent="0.2">
      <c r="A129" s="146"/>
      <c r="B129" s="29">
        <v>4</v>
      </c>
      <c r="C129" s="89">
        <f>(13.16)*10.764</f>
        <v>141.65423999999999</v>
      </c>
      <c r="D129" s="24">
        <v>0</v>
      </c>
      <c r="E129" s="24">
        <f t="shared" si="1"/>
        <v>212.48136</v>
      </c>
      <c r="F129" s="29" t="s">
        <v>233</v>
      </c>
      <c r="G129" s="90">
        <f>5.6*2.4</f>
        <v>13.44</v>
      </c>
    </row>
    <row r="130" spans="1:7" x14ac:dyDescent="0.2">
      <c r="A130" s="146"/>
      <c r="B130" s="29">
        <v>5</v>
      </c>
      <c r="C130" s="89">
        <f>(13.44)*10.764</f>
        <v>144.66815999999997</v>
      </c>
      <c r="D130" s="24">
        <v>0</v>
      </c>
      <c r="E130" s="24">
        <f t="shared" si="1"/>
        <v>217.00223999999997</v>
      </c>
      <c r="F130" s="29" t="s">
        <v>233</v>
      </c>
      <c r="G130" s="90">
        <f>5.6*2.05</f>
        <v>11.479999999999999</v>
      </c>
    </row>
    <row r="131" spans="1:7" x14ac:dyDescent="0.2">
      <c r="A131" s="146"/>
      <c r="B131" s="29">
        <v>6</v>
      </c>
      <c r="C131" s="89">
        <f>(5.6*2.05)*10.764</f>
        <v>123.57071999999998</v>
      </c>
      <c r="D131" s="24">
        <v>0</v>
      </c>
      <c r="E131" s="24">
        <f t="shared" si="1"/>
        <v>185.35607999999996</v>
      </c>
      <c r="F131" s="29" t="s">
        <v>233</v>
      </c>
    </row>
    <row r="132" spans="1:7" ht="12.75" customHeight="1" x14ac:dyDescent="0.2">
      <c r="A132" s="146"/>
      <c r="B132" s="29">
        <v>7</v>
      </c>
      <c r="C132" s="89">
        <f>(10.44)*10.764</f>
        <v>112.37615999999998</v>
      </c>
      <c r="D132" s="24">
        <v>0</v>
      </c>
      <c r="E132" s="24">
        <f t="shared" ref="E132:E133" si="2">C132*(($E$122)+1)+(IF(D132&lt;101,D132,IF(D132&lt;201,D132/2,IF(D132&lt;=301,D132/3,D132/4))))</f>
        <v>168.56423999999998</v>
      </c>
      <c r="F132" s="29" t="s">
        <v>233</v>
      </c>
      <c r="G132" s="90">
        <f>3.6*2.85</f>
        <v>10.26</v>
      </c>
    </row>
    <row r="133" spans="1:7" ht="14.25" customHeight="1" x14ac:dyDescent="0.2">
      <c r="A133" s="147"/>
      <c r="B133" s="29">
        <v>8</v>
      </c>
      <c r="C133" s="89">
        <f>(10.26)*10.764</f>
        <v>110.43863999999999</v>
      </c>
      <c r="D133" s="24">
        <v>0</v>
      </c>
      <c r="E133" s="24">
        <f t="shared" si="2"/>
        <v>165.65796</v>
      </c>
      <c r="F133" s="29" t="s">
        <v>233</v>
      </c>
    </row>
    <row r="134" spans="1:7" x14ac:dyDescent="0.2">
      <c r="A134" s="142"/>
      <c r="B134" s="142"/>
      <c r="C134" s="142"/>
      <c r="D134" s="142"/>
      <c r="E134" s="142"/>
      <c r="F134" s="142"/>
    </row>
    <row r="135" spans="1:7" ht="38.25" x14ac:dyDescent="0.2">
      <c r="A135" s="143" t="s">
        <v>48</v>
      </c>
      <c r="B135" s="143" t="s">
        <v>49</v>
      </c>
      <c r="C135" s="143" t="s">
        <v>146</v>
      </c>
      <c r="D135" s="143" t="s">
        <v>147</v>
      </c>
      <c r="E135" s="32" t="s">
        <v>148</v>
      </c>
      <c r="F135" s="143" t="s">
        <v>261</v>
      </c>
    </row>
    <row r="136" spans="1:7" x14ac:dyDescent="0.2">
      <c r="A136" s="144"/>
      <c r="B136" s="144"/>
      <c r="C136" s="144"/>
      <c r="D136" s="144"/>
      <c r="E136" s="33">
        <v>0.45</v>
      </c>
      <c r="F136" s="144"/>
    </row>
    <row r="137" spans="1:7" x14ac:dyDescent="0.2">
      <c r="A137" s="150" t="s">
        <v>137</v>
      </c>
      <c r="B137" s="150"/>
      <c r="C137" s="150"/>
      <c r="D137" s="150"/>
      <c r="E137" s="150"/>
      <c r="F137" s="150"/>
    </row>
    <row r="138" spans="1:7" x14ac:dyDescent="0.2">
      <c r="A138" s="150" t="s">
        <v>232</v>
      </c>
      <c r="B138" s="150"/>
      <c r="C138" s="150"/>
      <c r="D138" s="150"/>
      <c r="E138" s="150"/>
      <c r="F138" s="150"/>
    </row>
    <row r="139" spans="1:7" x14ac:dyDescent="0.2">
      <c r="A139" s="150" t="s">
        <v>237</v>
      </c>
      <c r="B139" s="150"/>
      <c r="C139" s="150"/>
      <c r="D139" s="150"/>
      <c r="E139" s="150"/>
      <c r="F139" s="150"/>
    </row>
    <row r="140" spans="1:7" x14ac:dyDescent="0.2">
      <c r="A140" s="150" t="s">
        <v>238</v>
      </c>
      <c r="B140" s="150"/>
      <c r="C140" s="150"/>
      <c r="D140" s="150"/>
      <c r="E140" s="150"/>
      <c r="F140" s="150"/>
      <c r="G140" s="6">
        <f>4.65*2.9+2.1*2.45+2.9*3.45+2.9*3.45+2.15*1.2+1.2*1.9+3.2*0.9</f>
        <v>46.38000000000001</v>
      </c>
    </row>
    <row r="141" spans="1:7" x14ac:dyDescent="0.2">
      <c r="A141" s="145" t="str">
        <f>A140</f>
        <v>1st to 7th &amp; 9th to 11th Floor for Residential</v>
      </c>
      <c r="B141" s="29">
        <v>1</v>
      </c>
      <c r="C141" s="89">
        <f>(48.637+2.25)*10.764</f>
        <v>547.74766799999998</v>
      </c>
      <c r="D141" s="24">
        <v>0</v>
      </c>
      <c r="E141" s="24">
        <f>C141*(($E$136)+1)+(IF(D141&lt;101,D141,IF(D141&lt;201,D141/2,IF(D141&lt;=301,D141/3,D141/4))))</f>
        <v>794.23411859999999</v>
      </c>
      <c r="F141" s="89" t="s">
        <v>239</v>
      </c>
    </row>
    <row r="142" spans="1:7" x14ac:dyDescent="0.2">
      <c r="A142" s="146"/>
      <c r="B142" s="29">
        <v>2</v>
      </c>
      <c r="C142" s="89">
        <f>(48.637+2.25)*10.764</f>
        <v>547.74766799999998</v>
      </c>
      <c r="D142" s="24">
        <v>0</v>
      </c>
      <c r="E142" s="24">
        <f t="shared" ref="E142:E148" si="3">C142*(($E$136)+1)+(IF(D142&lt;101,D142,IF(D142&lt;201,D142/2,IF(D142&lt;=301,D142/3,D142/4))))</f>
        <v>794.23411859999999</v>
      </c>
      <c r="F142" s="89" t="s">
        <v>239</v>
      </c>
      <c r="G142" s="6">
        <f>4.25*2.9+2.1*2.1+2.75*3.1+1.5*1+1.56*1.1+1.7*0.9</f>
        <v>30.006</v>
      </c>
    </row>
    <row r="143" spans="1:7" ht="15" customHeight="1" x14ac:dyDescent="0.2">
      <c r="A143" s="146"/>
      <c r="B143" s="29">
        <v>3</v>
      </c>
      <c r="C143" s="89">
        <f>(31.587+2.25)*10.764</f>
        <v>364.22146800000002</v>
      </c>
      <c r="D143" s="24">
        <v>0</v>
      </c>
      <c r="E143" s="24">
        <f t="shared" si="3"/>
        <v>528.12112860000002</v>
      </c>
      <c r="F143" s="89" t="s">
        <v>58</v>
      </c>
    </row>
    <row r="144" spans="1:7" x14ac:dyDescent="0.2">
      <c r="A144" s="146"/>
      <c r="B144" s="29">
        <v>4</v>
      </c>
      <c r="C144" s="89">
        <f>(31.587+2.25)*10.764</f>
        <v>364.22146800000002</v>
      </c>
      <c r="D144" s="24">
        <v>0</v>
      </c>
      <c r="E144" s="24">
        <f t="shared" si="3"/>
        <v>528.12112860000002</v>
      </c>
      <c r="F144" s="89" t="s">
        <v>58</v>
      </c>
    </row>
    <row r="145" spans="1:6" x14ac:dyDescent="0.2">
      <c r="A145" s="146"/>
      <c r="B145" s="29">
        <v>5</v>
      </c>
      <c r="C145" s="89">
        <f>(48.637+2.25)*10.764</f>
        <v>547.74766799999998</v>
      </c>
      <c r="D145" s="24">
        <v>0</v>
      </c>
      <c r="E145" s="24">
        <f t="shared" si="3"/>
        <v>794.23411859999999</v>
      </c>
      <c r="F145" s="89" t="s">
        <v>239</v>
      </c>
    </row>
    <row r="146" spans="1:6" x14ac:dyDescent="0.2">
      <c r="A146" s="146"/>
      <c r="B146" s="29">
        <v>6</v>
      </c>
      <c r="C146" s="89">
        <f>(48.637+2.25)*10.764</f>
        <v>547.74766799999998</v>
      </c>
      <c r="D146" s="24">
        <v>0</v>
      </c>
      <c r="E146" s="24">
        <f t="shared" si="3"/>
        <v>794.23411859999999</v>
      </c>
      <c r="F146" s="89" t="s">
        <v>239</v>
      </c>
    </row>
    <row r="147" spans="1:6" ht="12.75" customHeight="1" x14ac:dyDescent="0.2">
      <c r="A147" s="146"/>
      <c r="B147" s="29">
        <v>7</v>
      </c>
      <c r="C147" s="89">
        <f>(31.587+2.25)*10.764</f>
        <v>364.22146800000002</v>
      </c>
      <c r="D147" s="24">
        <v>0</v>
      </c>
      <c r="E147" s="24">
        <f t="shared" si="3"/>
        <v>528.12112860000002</v>
      </c>
      <c r="F147" s="89" t="s">
        <v>58</v>
      </c>
    </row>
    <row r="148" spans="1:6" x14ac:dyDescent="0.2">
      <c r="A148" s="147"/>
      <c r="B148" s="29">
        <v>8</v>
      </c>
      <c r="C148" s="89">
        <f>(31.587+2.25)*10.764</f>
        <v>364.22146800000002</v>
      </c>
      <c r="D148" s="24">
        <v>0</v>
      </c>
      <c r="E148" s="24">
        <f t="shared" si="3"/>
        <v>528.12112860000002</v>
      </c>
      <c r="F148" s="89" t="s">
        <v>58</v>
      </c>
    </row>
    <row r="149" spans="1:6" x14ac:dyDescent="0.2">
      <c r="A149" s="150" t="s">
        <v>240</v>
      </c>
      <c r="B149" s="150"/>
      <c r="C149" s="150"/>
      <c r="D149" s="150"/>
      <c r="E149" s="150"/>
      <c r="F149" s="150"/>
    </row>
    <row r="150" spans="1:6" x14ac:dyDescent="0.2">
      <c r="A150" s="145" t="str">
        <f>A149</f>
        <v>8th Floor (Part Refuge Area)</v>
      </c>
      <c r="B150" s="29">
        <v>1</v>
      </c>
      <c r="C150" s="89">
        <f>(48.637+2.25)*10.764</f>
        <v>547.74766799999998</v>
      </c>
      <c r="D150" s="24">
        <v>0</v>
      </c>
      <c r="E150" s="24">
        <f>C150*(($E$136)+1)+(IF(D150&lt;101,D150,IF(D150&lt;201,D150/2,IF(D150&lt;=301,D150/3,D150/4))))</f>
        <v>794.23411859999999</v>
      </c>
      <c r="F150" s="89" t="s">
        <v>239</v>
      </c>
    </row>
    <row r="151" spans="1:6" x14ac:dyDescent="0.2">
      <c r="A151" s="146"/>
      <c r="B151" s="29">
        <v>2</v>
      </c>
      <c r="C151" s="89">
        <f>(48.637+2.25)*10.764</f>
        <v>547.74766799999998</v>
      </c>
      <c r="D151" s="24">
        <v>0</v>
      </c>
      <c r="E151" s="24">
        <f t="shared" ref="E151:E156" si="4">C151*(($E$136)+1)+(IF(D151&lt;101,D151,IF(D151&lt;201,D151/2,IF(D151&lt;=301,D151/3,D151/4))))</f>
        <v>794.23411859999999</v>
      </c>
      <c r="F151" s="89" t="s">
        <v>239</v>
      </c>
    </row>
    <row r="152" spans="1:6" x14ac:dyDescent="0.2">
      <c r="A152" s="146"/>
      <c r="B152" s="29">
        <v>3</v>
      </c>
      <c r="C152" s="89">
        <f>(31.587+2.25)*10.764</f>
        <v>364.22146800000002</v>
      </c>
      <c r="D152" s="24">
        <v>0</v>
      </c>
      <c r="E152" s="24">
        <f t="shared" si="4"/>
        <v>528.12112860000002</v>
      </c>
      <c r="F152" s="89" t="s">
        <v>58</v>
      </c>
    </row>
    <row r="153" spans="1:6" x14ac:dyDescent="0.2">
      <c r="A153" s="146"/>
      <c r="B153" s="29">
        <v>4</v>
      </c>
      <c r="C153" s="89">
        <f>(31.587+2.25)*10.764</f>
        <v>364.22146800000002</v>
      </c>
      <c r="D153" s="24">
        <v>0</v>
      </c>
      <c r="E153" s="24">
        <f t="shared" si="4"/>
        <v>528.12112860000002</v>
      </c>
      <c r="F153" s="89" t="s">
        <v>58</v>
      </c>
    </row>
    <row r="154" spans="1:6" x14ac:dyDescent="0.2">
      <c r="A154" s="146"/>
      <c r="B154" s="29">
        <v>5</v>
      </c>
      <c r="C154" s="89">
        <f>(48.637+2.25)*10.764</f>
        <v>547.74766799999998</v>
      </c>
      <c r="D154" s="24">
        <v>0</v>
      </c>
      <c r="E154" s="24">
        <f t="shared" si="4"/>
        <v>794.23411859999999</v>
      </c>
      <c r="F154" s="89" t="s">
        <v>239</v>
      </c>
    </row>
    <row r="155" spans="1:6" x14ac:dyDescent="0.2">
      <c r="A155" s="146"/>
      <c r="B155" s="29">
        <v>6</v>
      </c>
      <c r="C155" s="89">
        <f>(48.637+2.25)*10.764</f>
        <v>547.74766799999998</v>
      </c>
      <c r="D155" s="24">
        <v>0</v>
      </c>
      <c r="E155" s="24">
        <f t="shared" si="4"/>
        <v>794.23411859999999</v>
      </c>
      <c r="F155" s="89" t="s">
        <v>239</v>
      </c>
    </row>
    <row r="156" spans="1:6" x14ac:dyDescent="0.2">
      <c r="A156" s="146"/>
      <c r="B156" s="29">
        <v>7</v>
      </c>
      <c r="C156" s="89">
        <f>(31.587+2.25)*10.764</f>
        <v>364.22146800000002</v>
      </c>
      <c r="D156" s="24">
        <v>0</v>
      </c>
      <c r="E156" s="24">
        <f t="shared" si="4"/>
        <v>528.12112860000002</v>
      </c>
      <c r="F156" s="89" t="s">
        <v>58</v>
      </c>
    </row>
    <row r="157" spans="1:6" x14ac:dyDescent="0.2">
      <c r="A157" s="147"/>
      <c r="B157" s="29">
        <v>8</v>
      </c>
      <c r="C157" s="148" t="s">
        <v>241</v>
      </c>
      <c r="D157" s="148"/>
      <c r="E157" s="149"/>
      <c r="F157" s="89"/>
    </row>
    <row r="158" spans="1:6" x14ac:dyDescent="0.2">
      <c r="A158" s="150" t="s">
        <v>242</v>
      </c>
      <c r="B158" s="150"/>
      <c r="C158" s="150"/>
      <c r="D158" s="150"/>
      <c r="E158" s="150"/>
      <c r="F158" s="150"/>
    </row>
    <row r="159" spans="1:6" x14ac:dyDescent="0.2">
      <c r="A159" s="150" t="s">
        <v>243</v>
      </c>
      <c r="B159" s="150"/>
      <c r="C159" s="150"/>
      <c r="D159" s="150"/>
      <c r="E159" s="150"/>
      <c r="F159" s="150"/>
    </row>
    <row r="160" spans="1:6" x14ac:dyDescent="0.2">
      <c r="A160" s="154" t="s">
        <v>244</v>
      </c>
      <c r="B160" s="155"/>
      <c r="C160" s="155"/>
      <c r="D160" s="155"/>
      <c r="E160" s="155"/>
      <c r="F160" s="156"/>
    </row>
    <row r="161" spans="1:7" x14ac:dyDescent="0.2">
      <c r="A161" s="145" t="str">
        <f>A160</f>
        <v>1st to 7th &amp; 9th to 11th Floor For Residential</v>
      </c>
      <c r="B161" s="29">
        <v>1</v>
      </c>
      <c r="C161" s="89">
        <f>(48.637+2.25)*10.764</f>
        <v>547.74766799999998</v>
      </c>
      <c r="D161" s="24">
        <v>0</v>
      </c>
      <c r="E161" s="24">
        <f t="shared" ref="E161:E167" si="5">C161*(($E$136)+1)+(IF(D161&lt;101,D161,IF(D161&lt;201,D161/2,IF(D161&lt;=301,D161/3,D161/4))))</f>
        <v>794.23411859999999</v>
      </c>
      <c r="F161" s="89" t="s">
        <v>239</v>
      </c>
    </row>
    <row r="162" spans="1:7" x14ac:dyDescent="0.2">
      <c r="A162" s="146"/>
      <c r="B162" s="29">
        <v>2</v>
      </c>
      <c r="C162" s="89">
        <f>(31.587+2.25)*10.764</f>
        <v>364.22146800000002</v>
      </c>
      <c r="D162" s="24">
        <v>0</v>
      </c>
      <c r="E162" s="24">
        <f t="shared" si="5"/>
        <v>528.12112860000002</v>
      </c>
      <c r="F162" s="89" t="s">
        <v>58</v>
      </c>
    </row>
    <row r="163" spans="1:7" x14ac:dyDescent="0.2">
      <c r="A163" s="146"/>
      <c r="B163" s="29">
        <v>3</v>
      </c>
      <c r="C163" s="89">
        <f>(31.587+2.25)*10.764</f>
        <v>364.22146800000002</v>
      </c>
      <c r="D163" s="24">
        <v>0</v>
      </c>
      <c r="E163" s="24">
        <f t="shared" si="5"/>
        <v>528.12112860000002</v>
      </c>
      <c r="F163" s="89" t="s">
        <v>58</v>
      </c>
    </row>
    <row r="164" spans="1:7" x14ac:dyDescent="0.2">
      <c r="A164" s="146"/>
      <c r="B164" s="29">
        <v>4</v>
      </c>
      <c r="C164" s="89">
        <f>(31.587+2.25)*10.764</f>
        <v>364.22146800000002</v>
      </c>
      <c r="D164" s="24">
        <v>0</v>
      </c>
      <c r="E164" s="24">
        <f t="shared" si="5"/>
        <v>528.12112860000002</v>
      </c>
      <c r="F164" s="89" t="s">
        <v>58</v>
      </c>
    </row>
    <row r="165" spans="1:7" x14ac:dyDescent="0.2">
      <c r="A165" s="146"/>
      <c r="B165" s="29">
        <v>5</v>
      </c>
      <c r="C165" s="89">
        <f>(31.587+2.25)*10.764</f>
        <v>364.22146800000002</v>
      </c>
      <c r="D165" s="24">
        <v>0</v>
      </c>
      <c r="E165" s="24">
        <f t="shared" si="5"/>
        <v>528.12112860000002</v>
      </c>
      <c r="F165" s="89" t="s">
        <v>58</v>
      </c>
    </row>
    <row r="166" spans="1:7" x14ac:dyDescent="0.2">
      <c r="A166" s="146"/>
      <c r="B166" s="29">
        <v>6</v>
      </c>
      <c r="C166" s="89">
        <f>(48.637+2.25)*10.764</f>
        <v>547.74766799999998</v>
      </c>
      <c r="D166" s="24">
        <v>0</v>
      </c>
      <c r="E166" s="24">
        <f t="shared" si="5"/>
        <v>794.23411859999999</v>
      </c>
      <c r="F166" s="89" t="s">
        <v>239</v>
      </c>
    </row>
    <row r="167" spans="1:7" x14ac:dyDescent="0.2">
      <c r="A167" s="146"/>
      <c r="B167" s="29">
        <v>7</v>
      </c>
      <c r="C167" s="89">
        <f>(48.637+2.25)*10.764</f>
        <v>547.74766799999998</v>
      </c>
      <c r="D167" s="24">
        <v>0</v>
      </c>
      <c r="E167" s="24">
        <f t="shared" si="5"/>
        <v>794.23411859999999</v>
      </c>
      <c r="F167" s="89" t="s">
        <v>239</v>
      </c>
    </row>
    <row r="168" spans="1:7" x14ac:dyDescent="0.2">
      <c r="A168" s="146"/>
      <c r="B168" s="29">
        <v>8</v>
      </c>
      <c r="C168" s="89">
        <f>(31.587+2.25)*10.764</f>
        <v>364.22146800000002</v>
      </c>
      <c r="D168" s="24">
        <v>0</v>
      </c>
      <c r="E168" s="24">
        <f t="shared" ref="E168:E170" si="6">C168*(($E$136)+1)+(IF(D168&lt;101,D168,IF(D168&lt;201,D168/2,IF(D168&lt;=301,D168/3,D168/4))))</f>
        <v>528.12112860000002</v>
      </c>
      <c r="F168" s="89" t="s">
        <v>58</v>
      </c>
    </row>
    <row r="169" spans="1:7" x14ac:dyDescent="0.2">
      <c r="A169" s="146"/>
      <c r="B169" s="29">
        <v>9</v>
      </c>
      <c r="C169" s="89">
        <f t="shared" ref="C169:C171" si="7">(31.587+2.25)*10.764</f>
        <v>364.22146800000002</v>
      </c>
      <c r="D169" s="24">
        <v>0</v>
      </c>
      <c r="E169" s="24">
        <f t="shared" si="6"/>
        <v>528.12112860000002</v>
      </c>
      <c r="F169" s="89" t="s">
        <v>58</v>
      </c>
    </row>
    <row r="170" spans="1:7" x14ac:dyDescent="0.2">
      <c r="A170" s="146"/>
      <c r="B170" s="29">
        <v>10</v>
      </c>
      <c r="C170" s="89">
        <f t="shared" si="7"/>
        <v>364.22146800000002</v>
      </c>
      <c r="D170" s="24">
        <v>0</v>
      </c>
      <c r="E170" s="24">
        <f t="shared" si="6"/>
        <v>528.12112860000002</v>
      </c>
      <c r="F170" s="89" t="s">
        <v>58</v>
      </c>
    </row>
    <row r="171" spans="1:7" x14ac:dyDescent="0.2">
      <c r="A171" s="147"/>
      <c r="B171" s="29">
        <v>11</v>
      </c>
      <c r="C171" s="89">
        <f t="shared" si="7"/>
        <v>364.22146800000002</v>
      </c>
      <c r="D171" s="24">
        <v>0</v>
      </c>
      <c r="E171" s="24">
        <f t="shared" ref="E171" si="8">C171*(($E$136)+1)+(IF(D171&lt;101,D171,IF(D171&lt;201,D171/2,IF(D171&lt;=301,D171/3,D171/4))))</f>
        <v>528.12112860000002</v>
      </c>
      <c r="F171" s="89" t="s">
        <v>58</v>
      </c>
    </row>
    <row r="172" spans="1:7" x14ac:dyDescent="0.2">
      <c r="A172" s="154" t="s">
        <v>240</v>
      </c>
      <c r="B172" s="155"/>
      <c r="C172" s="155"/>
      <c r="D172" s="155"/>
      <c r="E172" s="155"/>
      <c r="F172" s="156"/>
    </row>
    <row r="173" spans="1:7" x14ac:dyDescent="0.2">
      <c r="A173" s="145" t="str">
        <f>A172</f>
        <v>8th Floor (Part Refuge Area)</v>
      </c>
      <c r="B173" s="29">
        <v>1</v>
      </c>
      <c r="C173" s="89">
        <f>(48.637+2.25)*10.764</f>
        <v>547.74766799999998</v>
      </c>
      <c r="D173" s="24">
        <v>0</v>
      </c>
      <c r="E173" s="24">
        <f t="shared" ref="E173:E183" si="9">C173*(($E$136)+1)+(IF(D173&lt;101,D173,IF(D173&lt;201,D173/2,IF(D173&lt;=301,D173/3,D173/4))))</f>
        <v>794.23411859999999</v>
      </c>
      <c r="F173" s="89" t="s">
        <v>239</v>
      </c>
      <c r="G173" s="6">
        <f>2.9*4.25+2.1*2.1+3.1*2.75+1.5*1+1.1*1.55+1.6*0.9</f>
        <v>29.905000000000001</v>
      </c>
    </row>
    <row r="174" spans="1:7" x14ac:dyDescent="0.2">
      <c r="A174" s="146"/>
      <c r="B174" s="29">
        <v>2</v>
      </c>
      <c r="C174" s="89">
        <f>(31.587+2.25)*10.764</f>
        <v>364.22146800000002</v>
      </c>
      <c r="D174" s="24">
        <v>0</v>
      </c>
      <c r="E174" s="24">
        <f t="shared" si="9"/>
        <v>528.12112860000002</v>
      </c>
      <c r="F174" s="89" t="s">
        <v>58</v>
      </c>
    </row>
    <row r="175" spans="1:7" x14ac:dyDescent="0.2">
      <c r="A175" s="146"/>
      <c r="B175" s="29">
        <v>3</v>
      </c>
      <c r="C175" s="89">
        <f>(31.587+2.25)*10.764</f>
        <v>364.22146800000002</v>
      </c>
      <c r="D175" s="24">
        <v>0</v>
      </c>
      <c r="E175" s="24">
        <f t="shared" si="9"/>
        <v>528.12112860000002</v>
      </c>
      <c r="F175" s="89" t="s">
        <v>58</v>
      </c>
    </row>
    <row r="176" spans="1:7" x14ac:dyDescent="0.2">
      <c r="A176" s="146"/>
      <c r="B176" s="29">
        <v>4</v>
      </c>
      <c r="C176" s="89">
        <f>(31.587+2.25)*10.764</f>
        <v>364.22146800000002</v>
      </c>
      <c r="D176" s="24">
        <v>0</v>
      </c>
      <c r="E176" s="24">
        <f t="shared" si="9"/>
        <v>528.12112860000002</v>
      </c>
      <c r="F176" s="89" t="s">
        <v>58</v>
      </c>
    </row>
    <row r="177" spans="1:7" x14ac:dyDescent="0.2">
      <c r="A177" s="146"/>
      <c r="B177" s="29">
        <v>5</v>
      </c>
      <c r="C177" s="89">
        <f>(31.587+2.25)*10.764</f>
        <v>364.22146800000002</v>
      </c>
      <c r="D177" s="24">
        <v>0</v>
      </c>
      <c r="E177" s="24">
        <f t="shared" si="9"/>
        <v>528.12112860000002</v>
      </c>
      <c r="F177" s="89" t="s">
        <v>58</v>
      </c>
    </row>
    <row r="178" spans="1:7" x14ac:dyDescent="0.2">
      <c r="A178" s="146"/>
      <c r="B178" s="29">
        <v>6</v>
      </c>
      <c r="C178" s="89">
        <f>(48.637+2.25)*10.764</f>
        <v>547.74766799999998</v>
      </c>
      <c r="D178" s="24">
        <v>0</v>
      </c>
      <c r="E178" s="24">
        <f t="shared" si="9"/>
        <v>794.23411859999999</v>
      </c>
      <c r="F178" s="89" t="s">
        <v>239</v>
      </c>
    </row>
    <row r="179" spans="1:7" x14ac:dyDescent="0.2">
      <c r="A179" s="146"/>
      <c r="B179" s="29">
        <v>7</v>
      </c>
      <c r="C179" s="89">
        <f>(48.637+2.25)*10.764</f>
        <v>547.74766799999998</v>
      </c>
      <c r="D179" s="24">
        <v>0</v>
      </c>
      <c r="E179" s="24">
        <f t="shared" si="9"/>
        <v>794.23411859999999</v>
      </c>
      <c r="F179" s="89" t="s">
        <v>239</v>
      </c>
      <c r="G179" s="6">
        <f>2.55*2.425</f>
        <v>6.183749999999999</v>
      </c>
    </row>
    <row r="180" spans="1:7" x14ac:dyDescent="0.2">
      <c r="A180" s="146"/>
      <c r="B180" s="29">
        <v>8</v>
      </c>
      <c r="C180" s="89">
        <f>(31.587+2.25)*10.764</f>
        <v>364.22146800000002</v>
      </c>
      <c r="D180" s="24">
        <v>0</v>
      </c>
      <c r="E180" s="24">
        <f t="shared" si="9"/>
        <v>528.12112860000002</v>
      </c>
      <c r="F180" s="89" t="s">
        <v>58</v>
      </c>
    </row>
    <row r="181" spans="1:7" x14ac:dyDescent="0.2">
      <c r="A181" s="146"/>
      <c r="B181" s="29">
        <v>9</v>
      </c>
      <c r="C181" s="148" t="s">
        <v>241</v>
      </c>
      <c r="D181" s="148"/>
      <c r="E181" s="149"/>
      <c r="F181" s="89"/>
    </row>
    <row r="182" spans="1:7" x14ac:dyDescent="0.2">
      <c r="A182" s="146"/>
      <c r="B182" s="29">
        <v>10</v>
      </c>
      <c r="C182" s="89">
        <f t="shared" ref="C182:C183" si="10">(31.587+2.25)*10.764</f>
        <v>364.22146800000002</v>
      </c>
      <c r="D182" s="24">
        <v>0</v>
      </c>
      <c r="E182" s="24">
        <f t="shared" si="9"/>
        <v>528.12112860000002</v>
      </c>
      <c r="F182" s="89" t="s">
        <v>58</v>
      </c>
    </row>
    <row r="183" spans="1:7" x14ac:dyDescent="0.2">
      <c r="A183" s="147"/>
      <c r="B183" s="29">
        <v>11</v>
      </c>
      <c r="C183" s="89">
        <f t="shared" si="10"/>
        <v>364.22146800000002</v>
      </c>
      <c r="D183" s="24">
        <v>0</v>
      </c>
      <c r="E183" s="24">
        <f t="shared" si="9"/>
        <v>528.12112860000002</v>
      </c>
      <c r="F183" s="89" t="s">
        <v>58</v>
      </c>
    </row>
    <row r="184" spans="1:7" x14ac:dyDescent="0.2">
      <c r="A184" s="150" t="s">
        <v>235</v>
      </c>
      <c r="B184" s="150"/>
      <c r="C184" s="150"/>
      <c r="D184" s="150"/>
      <c r="E184" s="150"/>
      <c r="F184" s="150"/>
    </row>
    <row r="185" spans="1:7" x14ac:dyDescent="0.2">
      <c r="A185" s="150" t="s">
        <v>234</v>
      </c>
      <c r="B185" s="150"/>
      <c r="C185" s="150"/>
      <c r="D185" s="150"/>
      <c r="E185" s="150"/>
      <c r="F185" s="150"/>
    </row>
    <row r="186" spans="1:7" x14ac:dyDescent="0.2">
      <c r="A186" s="154" t="s">
        <v>245</v>
      </c>
      <c r="B186" s="155"/>
      <c r="C186" s="155"/>
      <c r="D186" s="155"/>
      <c r="E186" s="155"/>
      <c r="F186" s="156"/>
    </row>
    <row r="187" spans="1:7" x14ac:dyDescent="0.2">
      <c r="A187" s="145" t="str">
        <f>A186</f>
        <v>1st Floor For Residential</v>
      </c>
      <c r="B187" s="29">
        <v>1</v>
      </c>
      <c r="C187" s="89">
        <f t="shared" ref="C187:C192" si="11">(31.587+2.25)*10.764</f>
        <v>364.22146800000002</v>
      </c>
      <c r="D187" s="24">
        <v>0</v>
      </c>
      <c r="E187" s="24">
        <f t="shared" ref="E187:E197" si="12">C187*(($E$136)+1)+(IF(D187&lt;101,D187,IF(D187&lt;201,D187/2,IF(D187&lt;=301,D187/3,D187/4))))</f>
        <v>528.12112860000002</v>
      </c>
      <c r="F187" s="89" t="s">
        <v>58</v>
      </c>
    </row>
    <row r="188" spans="1:7" x14ac:dyDescent="0.2">
      <c r="A188" s="146"/>
      <c r="B188" s="29">
        <v>2</v>
      </c>
      <c r="C188" s="89">
        <f t="shared" si="11"/>
        <v>364.22146800000002</v>
      </c>
      <c r="D188" s="24">
        <v>0</v>
      </c>
      <c r="E188" s="24">
        <f t="shared" si="12"/>
        <v>528.12112860000002</v>
      </c>
      <c r="F188" s="89" t="s">
        <v>58</v>
      </c>
    </row>
    <row r="189" spans="1:7" x14ac:dyDescent="0.2">
      <c r="A189" s="146"/>
      <c r="B189" s="29">
        <v>3</v>
      </c>
      <c r="C189" s="89">
        <f t="shared" si="11"/>
        <v>364.22146800000002</v>
      </c>
      <c r="D189" s="24">
        <v>0</v>
      </c>
      <c r="E189" s="24">
        <f t="shared" si="12"/>
        <v>528.12112860000002</v>
      </c>
      <c r="F189" s="89" t="s">
        <v>58</v>
      </c>
    </row>
    <row r="190" spans="1:7" x14ac:dyDescent="0.2">
      <c r="A190" s="146"/>
      <c r="B190" s="29">
        <v>4</v>
      </c>
      <c r="C190" s="89">
        <f t="shared" si="11"/>
        <v>364.22146800000002</v>
      </c>
      <c r="D190" s="24">
        <v>0</v>
      </c>
      <c r="E190" s="24">
        <f t="shared" si="12"/>
        <v>528.12112860000002</v>
      </c>
      <c r="F190" s="89" t="s">
        <v>58</v>
      </c>
    </row>
    <row r="191" spans="1:7" x14ac:dyDescent="0.2">
      <c r="A191" s="146"/>
      <c r="B191" s="29">
        <v>5</v>
      </c>
      <c r="C191" s="89">
        <f t="shared" si="11"/>
        <v>364.22146800000002</v>
      </c>
      <c r="D191" s="24">
        <v>0</v>
      </c>
      <c r="E191" s="24">
        <f t="shared" si="12"/>
        <v>528.12112860000002</v>
      </c>
      <c r="F191" s="89" t="s">
        <v>58</v>
      </c>
    </row>
    <row r="192" spans="1:7" x14ac:dyDescent="0.2">
      <c r="A192" s="146"/>
      <c r="B192" s="29">
        <v>6</v>
      </c>
      <c r="C192" s="89">
        <f t="shared" si="11"/>
        <v>364.22146800000002</v>
      </c>
      <c r="D192" s="24">
        <v>0</v>
      </c>
      <c r="E192" s="24">
        <f t="shared" si="12"/>
        <v>528.12112860000002</v>
      </c>
      <c r="F192" s="89" t="s">
        <v>58</v>
      </c>
    </row>
    <row r="193" spans="1:6" x14ac:dyDescent="0.2">
      <c r="A193" s="146"/>
      <c r="B193" s="29">
        <v>7</v>
      </c>
      <c r="C193" s="89">
        <f>(48.637+2.25)*10.764</f>
        <v>547.74766799999998</v>
      </c>
      <c r="D193" s="89">
        <f>(2.25*2.425)*10.764</f>
        <v>58.731074999999997</v>
      </c>
      <c r="E193" s="24">
        <f t="shared" si="12"/>
        <v>852.96519360000002</v>
      </c>
      <c r="F193" s="89" t="s">
        <v>239</v>
      </c>
    </row>
    <row r="194" spans="1:6" x14ac:dyDescent="0.2">
      <c r="A194" s="146"/>
      <c r="B194" s="29">
        <v>8</v>
      </c>
      <c r="C194" s="89">
        <f>(48.637+2.25)*10.764</f>
        <v>547.74766799999998</v>
      </c>
      <c r="D194" s="89">
        <f>(2.25*2.425)*10.764</f>
        <v>58.731074999999997</v>
      </c>
      <c r="E194" s="24">
        <f t="shared" si="12"/>
        <v>852.96519360000002</v>
      </c>
      <c r="F194" s="89" t="s">
        <v>239</v>
      </c>
    </row>
    <row r="195" spans="1:6" x14ac:dyDescent="0.2">
      <c r="A195" s="146"/>
      <c r="B195" s="29">
        <v>9</v>
      </c>
      <c r="C195" s="89">
        <f>(31.587+2.25)*10.764</f>
        <v>364.22146800000002</v>
      </c>
      <c r="D195" s="24">
        <v>0</v>
      </c>
      <c r="E195" s="24">
        <f t="shared" si="12"/>
        <v>528.12112860000002</v>
      </c>
      <c r="F195" s="89" t="s">
        <v>58</v>
      </c>
    </row>
    <row r="196" spans="1:6" x14ac:dyDescent="0.2">
      <c r="A196" s="146"/>
      <c r="B196" s="29">
        <v>10</v>
      </c>
      <c r="C196" s="89">
        <f>(48.637+2.25)*10.764</f>
        <v>547.74766799999998</v>
      </c>
      <c r="D196" s="24">
        <v>0</v>
      </c>
      <c r="E196" s="24">
        <f t="shared" si="12"/>
        <v>794.23411859999999</v>
      </c>
      <c r="F196" s="89" t="s">
        <v>239</v>
      </c>
    </row>
    <row r="197" spans="1:6" x14ac:dyDescent="0.2">
      <c r="A197" s="147"/>
      <c r="B197" s="29">
        <v>11</v>
      </c>
      <c r="C197" s="89">
        <f>(48.637+2.25)*10.764</f>
        <v>547.74766799999998</v>
      </c>
      <c r="D197" s="24">
        <v>0</v>
      </c>
      <c r="E197" s="24">
        <f t="shared" si="12"/>
        <v>794.23411859999999</v>
      </c>
      <c r="F197" s="89" t="s">
        <v>239</v>
      </c>
    </row>
    <row r="198" spans="1:6" x14ac:dyDescent="0.2">
      <c r="A198" s="154" t="s">
        <v>246</v>
      </c>
      <c r="B198" s="155"/>
      <c r="C198" s="155"/>
      <c r="D198" s="155"/>
      <c r="E198" s="155"/>
      <c r="F198" s="156"/>
    </row>
    <row r="199" spans="1:6" x14ac:dyDescent="0.2">
      <c r="A199" s="145" t="str">
        <f>A198</f>
        <v>2nd to 7th &amp; 9th to 11th Floor</v>
      </c>
      <c r="B199" s="29">
        <v>1</v>
      </c>
      <c r="C199" s="89">
        <f t="shared" ref="C199:C204" si="13">(31.587+2.25)*10.764</f>
        <v>364.22146800000002</v>
      </c>
      <c r="D199" s="24">
        <v>0</v>
      </c>
      <c r="E199" s="24">
        <f t="shared" ref="E199:E209" si="14">C199*(($E$136)+1)+(IF(D199&lt;101,D199,IF(D199&lt;201,D199/2,IF(D199&lt;=301,D199/3,D199/4))))</f>
        <v>528.12112860000002</v>
      </c>
      <c r="F199" s="89" t="s">
        <v>58</v>
      </c>
    </row>
    <row r="200" spans="1:6" x14ac:dyDescent="0.2">
      <c r="A200" s="146"/>
      <c r="B200" s="29">
        <v>2</v>
      </c>
      <c r="C200" s="89">
        <f t="shared" si="13"/>
        <v>364.22146800000002</v>
      </c>
      <c r="D200" s="24">
        <v>0</v>
      </c>
      <c r="E200" s="24">
        <f t="shared" si="14"/>
        <v>528.12112860000002</v>
      </c>
      <c r="F200" s="89" t="s">
        <v>58</v>
      </c>
    </row>
    <row r="201" spans="1:6" x14ac:dyDescent="0.2">
      <c r="A201" s="146"/>
      <c r="B201" s="29">
        <v>3</v>
      </c>
      <c r="C201" s="89">
        <f t="shared" si="13"/>
        <v>364.22146800000002</v>
      </c>
      <c r="D201" s="24">
        <v>0</v>
      </c>
      <c r="E201" s="24">
        <f t="shared" si="14"/>
        <v>528.12112860000002</v>
      </c>
      <c r="F201" s="89" t="s">
        <v>58</v>
      </c>
    </row>
    <row r="202" spans="1:6" x14ac:dyDescent="0.2">
      <c r="A202" s="146"/>
      <c r="B202" s="29">
        <v>4</v>
      </c>
      <c r="C202" s="89">
        <f t="shared" si="13"/>
        <v>364.22146800000002</v>
      </c>
      <c r="D202" s="24">
        <v>0</v>
      </c>
      <c r="E202" s="24">
        <f t="shared" si="14"/>
        <v>528.12112860000002</v>
      </c>
      <c r="F202" s="89" t="s">
        <v>58</v>
      </c>
    </row>
    <row r="203" spans="1:6" x14ac:dyDescent="0.2">
      <c r="A203" s="146"/>
      <c r="B203" s="29">
        <v>5</v>
      </c>
      <c r="C203" s="89">
        <f t="shared" si="13"/>
        <v>364.22146800000002</v>
      </c>
      <c r="D203" s="24">
        <v>0</v>
      </c>
      <c r="E203" s="24">
        <f t="shared" si="14"/>
        <v>528.12112860000002</v>
      </c>
      <c r="F203" s="89" t="s">
        <v>58</v>
      </c>
    </row>
    <row r="204" spans="1:6" x14ac:dyDescent="0.2">
      <c r="A204" s="146"/>
      <c r="B204" s="29">
        <v>6</v>
      </c>
      <c r="C204" s="89">
        <f t="shared" si="13"/>
        <v>364.22146800000002</v>
      </c>
      <c r="D204" s="24">
        <v>0</v>
      </c>
      <c r="E204" s="24">
        <f t="shared" si="14"/>
        <v>528.12112860000002</v>
      </c>
      <c r="F204" s="89" t="s">
        <v>58</v>
      </c>
    </row>
    <row r="205" spans="1:6" x14ac:dyDescent="0.2">
      <c r="A205" s="146"/>
      <c r="B205" s="29">
        <v>7</v>
      </c>
      <c r="C205" s="89">
        <f>(48.637+2.25)*10.764</f>
        <v>547.74766799999998</v>
      </c>
      <c r="D205" s="89">
        <v>0</v>
      </c>
      <c r="E205" s="24">
        <f t="shared" si="14"/>
        <v>794.23411859999999</v>
      </c>
      <c r="F205" s="89" t="s">
        <v>239</v>
      </c>
    </row>
    <row r="206" spans="1:6" x14ac:dyDescent="0.2">
      <c r="A206" s="146"/>
      <c r="B206" s="29">
        <v>8</v>
      </c>
      <c r="C206" s="89">
        <f>(48.637+2.25)*10.764</f>
        <v>547.74766799999998</v>
      </c>
      <c r="D206" s="89">
        <v>0</v>
      </c>
      <c r="E206" s="24">
        <f t="shared" si="14"/>
        <v>794.23411859999999</v>
      </c>
      <c r="F206" s="89" t="s">
        <v>239</v>
      </c>
    </row>
    <row r="207" spans="1:6" x14ac:dyDescent="0.2">
      <c r="A207" s="146"/>
      <c r="B207" s="29">
        <v>9</v>
      </c>
      <c r="C207" s="89">
        <f>(31.587+2.25)*10.764</f>
        <v>364.22146800000002</v>
      </c>
      <c r="D207" s="24">
        <v>0</v>
      </c>
      <c r="E207" s="24">
        <f t="shared" si="14"/>
        <v>528.12112860000002</v>
      </c>
      <c r="F207" s="89" t="s">
        <v>58</v>
      </c>
    </row>
    <row r="208" spans="1:6" x14ac:dyDescent="0.2">
      <c r="A208" s="146"/>
      <c r="B208" s="29">
        <v>10</v>
      </c>
      <c r="C208" s="89">
        <f>(48.637+2.25)*10.764</f>
        <v>547.74766799999998</v>
      </c>
      <c r="D208" s="24">
        <v>0</v>
      </c>
      <c r="E208" s="24">
        <f t="shared" si="14"/>
        <v>794.23411859999999</v>
      </c>
      <c r="F208" s="89" t="s">
        <v>239</v>
      </c>
    </row>
    <row r="209" spans="1:6" x14ac:dyDescent="0.2">
      <c r="A209" s="147"/>
      <c r="B209" s="29">
        <v>11</v>
      </c>
      <c r="C209" s="89">
        <f>(48.637+2.25)*10.764</f>
        <v>547.74766799999998</v>
      </c>
      <c r="D209" s="24">
        <v>0</v>
      </c>
      <c r="E209" s="24">
        <f t="shared" si="14"/>
        <v>794.23411859999999</v>
      </c>
      <c r="F209" s="89" t="s">
        <v>239</v>
      </c>
    </row>
    <row r="210" spans="1:6" x14ac:dyDescent="0.2">
      <c r="A210" s="154" t="s">
        <v>240</v>
      </c>
      <c r="B210" s="155"/>
      <c r="C210" s="155"/>
      <c r="D210" s="155"/>
      <c r="E210" s="155"/>
      <c r="F210" s="156"/>
    </row>
    <row r="211" spans="1:6" x14ac:dyDescent="0.2">
      <c r="A211" s="145" t="str">
        <f>A210</f>
        <v>8th Floor (Part Refuge Area)</v>
      </c>
      <c r="B211" s="29">
        <v>1</v>
      </c>
      <c r="C211" s="89">
        <f>(31.587+2.25)*10.764</f>
        <v>364.22146800000002</v>
      </c>
      <c r="D211" s="24">
        <v>0</v>
      </c>
      <c r="E211" s="24">
        <f t="shared" ref="E211:E221" si="15">C211*(($E$136)+1)+(IF(D211&lt;101,D211,IF(D211&lt;201,D211/2,IF(D211&lt;=301,D211/3,D211/4))))</f>
        <v>528.12112860000002</v>
      </c>
      <c r="F211" s="89" t="s">
        <v>58</v>
      </c>
    </row>
    <row r="212" spans="1:6" x14ac:dyDescent="0.2">
      <c r="A212" s="146"/>
      <c r="B212" s="29">
        <v>2</v>
      </c>
      <c r="C212" s="89">
        <f>(31.587+2.25)*10.764</f>
        <v>364.22146800000002</v>
      </c>
      <c r="D212" s="24">
        <v>0</v>
      </c>
      <c r="E212" s="24">
        <f t="shared" si="15"/>
        <v>528.12112860000002</v>
      </c>
      <c r="F212" s="89" t="s">
        <v>58</v>
      </c>
    </row>
    <row r="213" spans="1:6" x14ac:dyDescent="0.2">
      <c r="A213" s="146"/>
      <c r="B213" s="29">
        <v>3</v>
      </c>
      <c r="C213" s="89">
        <f>(31.587+2.25)*10.764</f>
        <v>364.22146800000002</v>
      </c>
      <c r="D213" s="24">
        <v>0</v>
      </c>
      <c r="E213" s="24">
        <f t="shared" si="15"/>
        <v>528.12112860000002</v>
      </c>
      <c r="F213" s="89" t="s">
        <v>58</v>
      </c>
    </row>
    <row r="214" spans="1:6" x14ac:dyDescent="0.2">
      <c r="A214" s="146"/>
      <c r="B214" s="29">
        <v>4</v>
      </c>
      <c r="C214" s="89">
        <f>(31.587+2.25)*10.764</f>
        <v>364.22146800000002</v>
      </c>
      <c r="D214" s="24">
        <v>0</v>
      </c>
      <c r="E214" s="24">
        <f t="shared" si="15"/>
        <v>528.12112860000002</v>
      </c>
      <c r="F214" s="89" t="s">
        <v>58</v>
      </c>
    </row>
    <row r="215" spans="1:6" x14ac:dyDescent="0.2">
      <c r="A215" s="146"/>
      <c r="B215" s="29">
        <v>5</v>
      </c>
      <c r="C215" s="148" t="s">
        <v>241</v>
      </c>
      <c r="D215" s="148"/>
      <c r="E215" s="149"/>
      <c r="F215" s="89"/>
    </row>
    <row r="216" spans="1:6" x14ac:dyDescent="0.2">
      <c r="A216" s="146"/>
      <c r="B216" s="29">
        <v>6</v>
      </c>
      <c r="C216" s="89">
        <f>(31.587+2.25)*10.764</f>
        <v>364.22146800000002</v>
      </c>
      <c r="D216" s="24">
        <v>0</v>
      </c>
      <c r="E216" s="24">
        <f t="shared" si="15"/>
        <v>528.12112860000002</v>
      </c>
      <c r="F216" s="89" t="s">
        <v>58</v>
      </c>
    </row>
    <row r="217" spans="1:6" x14ac:dyDescent="0.2">
      <c r="A217" s="146"/>
      <c r="B217" s="29">
        <v>7</v>
      </c>
      <c r="C217" s="89">
        <f>(48.637+2.25)*10.764</f>
        <v>547.74766799999998</v>
      </c>
      <c r="D217" s="89">
        <v>0</v>
      </c>
      <c r="E217" s="24">
        <f t="shared" si="15"/>
        <v>794.23411859999999</v>
      </c>
      <c r="F217" s="89" t="s">
        <v>239</v>
      </c>
    </row>
    <row r="218" spans="1:6" x14ac:dyDescent="0.2">
      <c r="A218" s="146"/>
      <c r="B218" s="29">
        <v>8</v>
      </c>
      <c r="C218" s="89">
        <f>(48.637+2.25)*10.764</f>
        <v>547.74766799999998</v>
      </c>
      <c r="D218" s="89">
        <v>0</v>
      </c>
      <c r="E218" s="24">
        <f t="shared" si="15"/>
        <v>794.23411859999999</v>
      </c>
      <c r="F218" s="89" t="s">
        <v>239</v>
      </c>
    </row>
    <row r="219" spans="1:6" x14ac:dyDescent="0.2">
      <c r="A219" s="146"/>
      <c r="B219" s="29">
        <v>9</v>
      </c>
      <c r="C219" s="89">
        <f>(31.587+2.25)*10.764</f>
        <v>364.22146800000002</v>
      </c>
      <c r="D219" s="24">
        <v>0</v>
      </c>
      <c r="E219" s="24">
        <f t="shared" si="15"/>
        <v>528.12112860000002</v>
      </c>
      <c r="F219" s="89" t="s">
        <v>58</v>
      </c>
    </row>
    <row r="220" spans="1:6" x14ac:dyDescent="0.2">
      <c r="A220" s="146"/>
      <c r="B220" s="29">
        <v>10</v>
      </c>
      <c r="C220" s="89">
        <f>(48.637+2.25)*10.764</f>
        <v>547.74766799999998</v>
      </c>
      <c r="D220" s="24">
        <v>0</v>
      </c>
      <c r="E220" s="24">
        <f t="shared" si="15"/>
        <v>794.23411859999999</v>
      </c>
      <c r="F220" s="89" t="s">
        <v>239</v>
      </c>
    </row>
    <row r="221" spans="1:6" x14ac:dyDescent="0.2">
      <c r="A221" s="147"/>
      <c r="B221" s="29">
        <v>11</v>
      </c>
      <c r="C221" s="89">
        <f>(48.637+2.25)*10.764</f>
        <v>547.74766799999998</v>
      </c>
      <c r="D221" s="24">
        <v>0</v>
      </c>
      <c r="E221" s="24">
        <f t="shared" si="15"/>
        <v>794.23411859999999</v>
      </c>
      <c r="F221" s="89" t="s">
        <v>239</v>
      </c>
    </row>
    <row r="222" spans="1:6" x14ac:dyDescent="0.2">
      <c r="A222" s="151"/>
      <c r="B222" s="152"/>
      <c r="C222" s="152"/>
      <c r="D222" s="152"/>
      <c r="E222" s="152"/>
      <c r="F222" s="153"/>
    </row>
    <row r="223" spans="1:6" x14ac:dyDescent="0.2">
      <c r="A223" s="142" t="s">
        <v>119</v>
      </c>
      <c r="B223" s="142"/>
      <c r="C223" s="142"/>
      <c r="D223" s="142"/>
      <c r="E223" s="142"/>
      <c r="F223" s="142"/>
    </row>
    <row r="224" spans="1:6" x14ac:dyDescent="0.2">
      <c r="A224" s="99" t="s">
        <v>120</v>
      </c>
      <c r="B224" s="100"/>
      <c r="C224" s="101"/>
      <c r="D224" s="99">
        <v>7400</v>
      </c>
      <c r="E224" s="100"/>
      <c r="F224" s="101"/>
    </row>
    <row r="225" spans="1:6" x14ac:dyDescent="0.2">
      <c r="A225" s="99" t="s">
        <v>121</v>
      </c>
      <c r="B225" s="100"/>
      <c r="C225" s="101"/>
      <c r="D225" s="102" t="s">
        <v>269</v>
      </c>
      <c r="E225" s="103"/>
      <c r="F225" s="104"/>
    </row>
    <row r="226" spans="1:6" x14ac:dyDescent="0.2">
      <c r="A226" s="142" t="s">
        <v>50</v>
      </c>
      <c r="B226" s="142"/>
      <c r="C226" s="142"/>
      <c r="D226" s="142"/>
      <c r="E226" s="142"/>
      <c r="F226" s="142"/>
    </row>
    <row r="227" spans="1:6" ht="144" customHeight="1" x14ac:dyDescent="0.2">
      <c r="A227" s="182" t="s">
        <v>273</v>
      </c>
      <c r="B227" s="182"/>
      <c r="C227" s="182"/>
      <c r="D227" s="182"/>
      <c r="E227" s="182"/>
      <c r="F227" s="182"/>
    </row>
    <row r="228" spans="1:6" x14ac:dyDescent="0.2">
      <c r="A228" s="26" t="s">
        <v>124</v>
      </c>
      <c r="B228" s="134" t="str">
        <f>B7</f>
        <v>Mangalam</v>
      </c>
      <c r="C228" s="135"/>
      <c r="D228" s="135"/>
      <c r="E228" s="135"/>
      <c r="F228" s="136"/>
    </row>
    <row r="229" spans="1:6" x14ac:dyDescent="0.2">
      <c r="A229" s="122"/>
      <c r="B229" s="123"/>
      <c r="C229" s="123"/>
      <c r="D229" s="123"/>
      <c r="E229" s="123"/>
      <c r="F229" s="124"/>
    </row>
    <row r="230" spans="1:6" x14ac:dyDescent="0.2">
      <c r="A230" s="122"/>
      <c r="B230" s="123"/>
      <c r="C230" s="123"/>
      <c r="D230" s="123"/>
      <c r="E230" s="123"/>
      <c r="F230" s="124"/>
    </row>
    <row r="231" spans="1:6" x14ac:dyDescent="0.2">
      <c r="A231" s="122"/>
      <c r="B231" s="123"/>
      <c r="C231" s="123"/>
      <c r="D231" s="123"/>
      <c r="E231" s="123"/>
      <c r="F231" s="124"/>
    </row>
    <row r="232" spans="1:6" x14ac:dyDescent="0.2">
      <c r="A232" s="122"/>
      <c r="B232" s="123"/>
      <c r="C232" s="123"/>
      <c r="D232" s="123"/>
      <c r="E232" s="123"/>
      <c r="F232" s="124"/>
    </row>
    <row r="233" spans="1:6" x14ac:dyDescent="0.2">
      <c r="A233" s="122"/>
      <c r="B233" s="123"/>
      <c r="C233" s="123"/>
      <c r="D233" s="123"/>
      <c r="E233" s="123"/>
      <c r="F233" s="124"/>
    </row>
    <row r="234" spans="1:6" x14ac:dyDescent="0.2">
      <c r="A234" s="122"/>
      <c r="B234" s="123"/>
      <c r="C234" s="123"/>
      <c r="D234" s="123"/>
      <c r="E234" s="123"/>
      <c r="F234" s="124"/>
    </row>
    <row r="235" spans="1:6" x14ac:dyDescent="0.2">
      <c r="A235" s="122"/>
      <c r="B235" s="123"/>
      <c r="C235" s="123"/>
      <c r="D235" s="123"/>
      <c r="E235" s="123"/>
      <c r="F235" s="124"/>
    </row>
    <row r="236" spans="1:6" x14ac:dyDescent="0.2">
      <c r="A236" s="122"/>
      <c r="B236" s="123"/>
      <c r="C236" s="123"/>
      <c r="D236" s="123"/>
      <c r="E236" s="123"/>
      <c r="F236" s="124"/>
    </row>
    <row r="237" spans="1:6" x14ac:dyDescent="0.2">
      <c r="A237" s="122"/>
      <c r="B237" s="123"/>
      <c r="C237" s="123"/>
      <c r="D237" s="123"/>
      <c r="E237" s="123"/>
      <c r="F237" s="124"/>
    </row>
    <row r="238" spans="1:6" x14ac:dyDescent="0.2">
      <c r="A238" s="122"/>
      <c r="B238" s="123"/>
      <c r="C238" s="123"/>
      <c r="D238" s="123"/>
      <c r="E238" s="123"/>
      <c r="F238" s="124"/>
    </row>
    <row r="239" spans="1:6" x14ac:dyDescent="0.2">
      <c r="A239" s="122"/>
      <c r="B239" s="123"/>
      <c r="C239" s="123"/>
      <c r="D239" s="123"/>
      <c r="E239" s="123"/>
      <c r="F239" s="124"/>
    </row>
    <row r="240" spans="1:6" x14ac:dyDescent="0.2">
      <c r="A240" s="122"/>
      <c r="B240" s="123"/>
      <c r="C240" s="123"/>
      <c r="D240" s="123"/>
      <c r="E240" s="123"/>
      <c r="F240" s="124"/>
    </row>
    <row r="241" spans="1:8" x14ac:dyDescent="0.2">
      <c r="A241" s="122"/>
      <c r="B241" s="123"/>
      <c r="C241" s="123"/>
      <c r="D241" s="123"/>
      <c r="E241" s="123"/>
      <c r="F241" s="124"/>
    </row>
    <row r="242" spans="1:8" x14ac:dyDescent="0.2">
      <c r="A242" s="122"/>
      <c r="B242" s="123"/>
      <c r="C242" s="123"/>
      <c r="D242" s="123"/>
      <c r="E242" s="123"/>
      <c r="F242" s="124"/>
    </row>
    <row r="243" spans="1:8" x14ac:dyDescent="0.2">
      <c r="A243" s="122"/>
      <c r="B243" s="123"/>
      <c r="C243" s="123"/>
      <c r="D243" s="123"/>
      <c r="E243" s="123"/>
      <c r="F243" s="124"/>
    </row>
    <row r="244" spans="1:8" x14ac:dyDescent="0.2">
      <c r="A244" s="122"/>
      <c r="B244" s="123"/>
      <c r="C244" s="123"/>
      <c r="D244" s="123"/>
      <c r="E244" s="123"/>
      <c r="F244" s="124"/>
    </row>
    <row r="245" spans="1:8" x14ac:dyDescent="0.2">
      <c r="A245" s="122"/>
      <c r="B245" s="123"/>
      <c r="C245" s="123"/>
      <c r="D245" s="123"/>
      <c r="E245" s="123"/>
      <c r="F245" s="124"/>
    </row>
    <row r="246" spans="1:8" x14ac:dyDescent="0.2">
      <c r="A246" s="122"/>
      <c r="B246" s="123"/>
      <c r="C246" s="123"/>
      <c r="D246" s="123"/>
      <c r="E246" s="123"/>
      <c r="F246" s="124"/>
    </row>
    <row r="247" spans="1:8" x14ac:dyDescent="0.2">
      <c r="A247" s="122"/>
      <c r="B247" s="123"/>
      <c r="C247" s="123"/>
      <c r="D247" s="123"/>
      <c r="E247" s="123"/>
      <c r="F247" s="124"/>
    </row>
    <row r="248" spans="1:8" x14ac:dyDescent="0.2">
      <c r="A248" s="122"/>
      <c r="B248" s="123"/>
      <c r="C248" s="123"/>
      <c r="D248" s="123"/>
      <c r="E248" s="123"/>
      <c r="F248" s="124"/>
    </row>
    <row r="249" spans="1:8" x14ac:dyDescent="0.2">
      <c r="A249" s="122"/>
      <c r="B249" s="123"/>
      <c r="C249" s="123"/>
      <c r="D249" s="123"/>
      <c r="E249" s="123"/>
      <c r="F249" s="124"/>
    </row>
    <row r="250" spans="1:8" ht="15" x14ac:dyDescent="0.25">
      <c r="A250" s="122"/>
      <c r="B250" s="123"/>
      <c r="C250" s="123"/>
      <c r="D250" s="123"/>
      <c r="E250" s="123"/>
      <c r="F250" s="124"/>
      <c r="G250" s="85"/>
      <c r="H250"/>
    </row>
    <row r="251" spans="1:8" x14ac:dyDescent="0.2">
      <c r="A251" s="122"/>
      <c r="B251" s="123"/>
      <c r="C251" s="123"/>
      <c r="D251" s="123"/>
      <c r="E251" s="123"/>
      <c r="F251" s="124"/>
    </row>
    <row r="252" spans="1:8" x14ac:dyDescent="0.2">
      <c r="A252" s="122"/>
      <c r="B252" s="123"/>
      <c r="C252" s="123"/>
      <c r="D252" s="123"/>
      <c r="E252" s="123"/>
      <c r="F252" s="124"/>
    </row>
    <row r="253" spans="1:8" x14ac:dyDescent="0.2">
      <c r="A253" s="122"/>
      <c r="B253" s="123"/>
      <c r="C253" s="123"/>
      <c r="D253" s="123"/>
      <c r="E253" s="123"/>
      <c r="F253" s="124"/>
    </row>
    <row r="254" spans="1:8" x14ac:dyDescent="0.2">
      <c r="A254" s="122"/>
      <c r="B254" s="123"/>
      <c r="C254" s="123"/>
      <c r="D254" s="123"/>
      <c r="E254" s="123"/>
      <c r="F254" s="124"/>
    </row>
    <row r="255" spans="1:8" x14ac:dyDescent="0.2">
      <c r="A255" s="122"/>
      <c r="B255" s="123"/>
      <c r="C255" s="123"/>
      <c r="D255" s="123"/>
      <c r="E255" s="123"/>
      <c r="F255" s="124"/>
    </row>
    <row r="256" spans="1:8" x14ac:dyDescent="0.2">
      <c r="A256" s="122"/>
      <c r="B256" s="123"/>
      <c r="C256" s="123"/>
      <c r="D256" s="123"/>
      <c r="E256" s="123"/>
      <c r="F256" s="124"/>
    </row>
    <row r="257" spans="1:6" x14ac:dyDescent="0.2">
      <c r="A257" s="122"/>
      <c r="B257" s="123"/>
      <c r="C257" s="123"/>
      <c r="D257" s="123"/>
      <c r="E257" s="123"/>
      <c r="F257" s="124"/>
    </row>
    <row r="258" spans="1:6" x14ac:dyDescent="0.2">
      <c r="A258" s="122"/>
      <c r="B258" s="123"/>
      <c r="C258" s="123"/>
      <c r="D258" s="123"/>
      <c r="E258" s="123"/>
      <c r="F258" s="124"/>
    </row>
    <row r="259" spans="1:6" x14ac:dyDescent="0.2">
      <c r="A259" s="122"/>
      <c r="B259" s="123"/>
      <c r="C259" s="123"/>
      <c r="D259" s="123"/>
      <c r="E259" s="123"/>
      <c r="F259" s="124"/>
    </row>
    <row r="260" spans="1:6" x14ac:dyDescent="0.2">
      <c r="A260" s="122"/>
      <c r="B260" s="123"/>
      <c r="C260" s="123"/>
      <c r="D260" s="123"/>
      <c r="E260" s="123"/>
      <c r="F260" s="124"/>
    </row>
    <row r="261" spans="1:6" x14ac:dyDescent="0.2">
      <c r="A261" s="122"/>
      <c r="B261" s="123"/>
      <c r="C261" s="123"/>
      <c r="D261" s="123"/>
      <c r="E261" s="123"/>
      <c r="F261" s="124"/>
    </row>
    <row r="262" spans="1:6" x14ac:dyDescent="0.2">
      <c r="A262" s="122"/>
      <c r="B262" s="123"/>
      <c r="C262" s="123"/>
      <c r="D262" s="123"/>
      <c r="E262" s="123"/>
      <c r="F262" s="124"/>
    </row>
    <row r="263" spans="1:6" x14ac:dyDescent="0.2">
      <c r="A263" s="122"/>
      <c r="B263" s="123"/>
      <c r="C263" s="123"/>
      <c r="D263" s="123"/>
      <c r="E263" s="123"/>
      <c r="F263" s="124"/>
    </row>
    <row r="264" spans="1:6" x14ac:dyDescent="0.2">
      <c r="A264" s="122"/>
      <c r="B264" s="123"/>
      <c r="C264" s="123"/>
      <c r="D264" s="123"/>
      <c r="E264" s="123"/>
      <c r="F264" s="124"/>
    </row>
    <row r="265" spans="1:6" x14ac:dyDescent="0.2">
      <c r="A265" s="122"/>
      <c r="B265" s="123"/>
      <c r="C265" s="123"/>
      <c r="D265" s="123"/>
      <c r="E265" s="123"/>
      <c r="F265" s="124"/>
    </row>
    <row r="266" spans="1:6" x14ac:dyDescent="0.2">
      <c r="A266" s="122"/>
      <c r="B266" s="123"/>
      <c r="C266" s="123"/>
      <c r="D266" s="123"/>
      <c r="E266" s="123"/>
      <c r="F266" s="124"/>
    </row>
    <row r="267" spans="1:6" x14ac:dyDescent="0.2">
      <c r="A267" s="122"/>
      <c r="B267" s="123"/>
      <c r="C267" s="123"/>
      <c r="D267" s="123"/>
      <c r="E267" s="123"/>
      <c r="F267" s="124"/>
    </row>
    <row r="268" spans="1:6" x14ac:dyDescent="0.2">
      <c r="A268" s="122"/>
      <c r="B268" s="123"/>
      <c r="C268" s="123"/>
      <c r="D268" s="123"/>
      <c r="E268" s="123"/>
      <c r="F268" s="124"/>
    </row>
    <row r="269" spans="1:6" x14ac:dyDescent="0.2">
      <c r="A269" s="122"/>
      <c r="B269" s="123"/>
      <c r="C269" s="123"/>
      <c r="D269" s="123"/>
      <c r="E269" s="123"/>
      <c r="F269" s="124"/>
    </row>
    <row r="270" spans="1:6" x14ac:dyDescent="0.2">
      <c r="A270" s="122"/>
      <c r="B270" s="123"/>
      <c r="C270" s="123"/>
      <c r="D270" s="123"/>
      <c r="E270" s="123"/>
      <c r="F270" s="124"/>
    </row>
    <row r="271" spans="1:6" x14ac:dyDescent="0.2">
      <c r="A271" s="122"/>
      <c r="B271" s="123"/>
      <c r="C271" s="123"/>
      <c r="D271" s="123"/>
      <c r="E271" s="123"/>
      <c r="F271" s="124"/>
    </row>
    <row r="272" spans="1:6" x14ac:dyDescent="0.2">
      <c r="A272" s="122"/>
      <c r="B272" s="123"/>
      <c r="C272" s="123"/>
      <c r="D272" s="123"/>
      <c r="E272" s="123"/>
      <c r="F272" s="124"/>
    </row>
    <row r="273" spans="1:6" x14ac:dyDescent="0.2">
      <c r="A273" s="122"/>
      <c r="B273" s="123"/>
      <c r="C273" s="123"/>
      <c r="D273" s="123"/>
      <c r="E273" s="123"/>
      <c r="F273" s="124"/>
    </row>
    <row r="274" spans="1:6" x14ac:dyDescent="0.2">
      <c r="A274" s="122"/>
      <c r="B274" s="123"/>
      <c r="C274" s="123"/>
      <c r="D274" s="123"/>
      <c r="E274" s="123"/>
      <c r="F274" s="124"/>
    </row>
    <row r="275" spans="1:6" x14ac:dyDescent="0.2">
      <c r="A275" s="122"/>
      <c r="B275" s="123"/>
      <c r="C275" s="123"/>
      <c r="D275" s="123"/>
      <c r="E275" s="123"/>
      <c r="F275" s="124"/>
    </row>
    <row r="276" spans="1:6" x14ac:dyDescent="0.2">
      <c r="A276" s="122"/>
      <c r="B276" s="123"/>
      <c r="C276" s="123"/>
      <c r="D276" s="123"/>
      <c r="E276" s="123"/>
      <c r="F276" s="124"/>
    </row>
    <row r="277" spans="1:6" x14ac:dyDescent="0.2">
      <c r="A277" s="122"/>
      <c r="B277" s="123"/>
      <c r="C277" s="123"/>
      <c r="D277" s="123"/>
      <c r="E277" s="123"/>
      <c r="F277" s="124"/>
    </row>
    <row r="278" spans="1:6" x14ac:dyDescent="0.2">
      <c r="A278" s="122"/>
      <c r="B278" s="123"/>
      <c r="C278" s="123"/>
      <c r="D278" s="123"/>
      <c r="E278" s="123"/>
      <c r="F278" s="124"/>
    </row>
    <row r="279" spans="1:6" x14ac:dyDescent="0.2">
      <c r="A279" s="122"/>
      <c r="B279" s="123"/>
      <c r="C279" s="123"/>
      <c r="D279" s="123"/>
      <c r="E279" s="123"/>
      <c r="F279" s="124"/>
    </row>
    <row r="280" spans="1:6" x14ac:dyDescent="0.2">
      <c r="A280" s="122"/>
      <c r="B280" s="123"/>
      <c r="C280" s="123"/>
      <c r="D280" s="123"/>
      <c r="E280" s="123"/>
      <c r="F280" s="124"/>
    </row>
    <row r="281" spans="1:6" x14ac:dyDescent="0.2">
      <c r="A281" s="122"/>
      <c r="B281" s="123"/>
      <c r="C281" s="123"/>
      <c r="D281" s="123"/>
      <c r="E281" s="123"/>
      <c r="F281" s="124"/>
    </row>
    <row r="282" spans="1:6" x14ac:dyDescent="0.2">
      <c r="A282" s="125"/>
      <c r="B282" s="126"/>
      <c r="C282" s="126"/>
      <c r="D282" s="126"/>
      <c r="E282" s="126"/>
      <c r="F282" s="127"/>
    </row>
    <row r="283" spans="1:6" x14ac:dyDescent="0.2">
      <c r="A283" s="26" t="s">
        <v>149</v>
      </c>
      <c r="B283" s="134"/>
      <c r="C283" s="135"/>
      <c r="D283" s="135"/>
      <c r="E283" s="135"/>
      <c r="F283" s="136"/>
    </row>
    <row r="284" spans="1:6" x14ac:dyDescent="0.2">
      <c r="A284" s="122"/>
      <c r="B284" s="123"/>
      <c r="C284" s="123"/>
      <c r="D284" s="123"/>
      <c r="E284" s="123"/>
      <c r="F284" s="124"/>
    </row>
    <row r="285" spans="1:6" x14ac:dyDescent="0.2">
      <c r="A285" s="122"/>
      <c r="B285" s="123"/>
      <c r="C285" s="123"/>
      <c r="D285" s="123"/>
      <c r="E285" s="123"/>
      <c r="F285" s="124"/>
    </row>
    <row r="286" spans="1:6" x14ac:dyDescent="0.2">
      <c r="A286" s="122"/>
      <c r="B286" s="123"/>
      <c r="C286" s="123"/>
      <c r="D286" s="123"/>
      <c r="E286" s="123"/>
      <c r="F286" s="124"/>
    </row>
    <row r="287" spans="1:6" x14ac:dyDescent="0.2">
      <c r="A287" s="122"/>
      <c r="B287" s="123"/>
      <c r="C287" s="123"/>
      <c r="D287" s="123"/>
      <c r="E287" s="123"/>
      <c r="F287" s="124"/>
    </row>
    <row r="288" spans="1:6" x14ac:dyDescent="0.2">
      <c r="A288" s="122"/>
      <c r="B288" s="123"/>
      <c r="C288" s="123"/>
      <c r="D288" s="123"/>
      <c r="E288" s="123"/>
      <c r="F288" s="124"/>
    </row>
    <row r="289" spans="1:6" ht="22.5" customHeight="1" x14ac:dyDescent="0.2">
      <c r="A289" s="122"/>
      <c r="B289" s="123"/>
      <c r="C289" s="123"/>
      <c r="D289" s="123"/>
      <c r="E289" s="123"/>
      <c r="F289" s="124"/>
    </row>
    <row r="290" spans="1:6" ht="55.5" customHeight="1" x14ac:dyDescent="0.2">
      <c r="A290" s="122"/>
      <c r="B290" s="123"/>
      <c r="C290" s="123"/>
      <c r="D290" s="123"/>
      <c r="E290" s="123"/>
      <c r="F290" s="124"/>
    </row>
    <row r="291" spans="1:6" x14ac:dyDescent="0.2">
      <c r="A291" s="122"/>
      <c r="B291" s="123"/>
      <c r="C291" s="123"/>
      <c r="D291" s="123"/>
      <c r="E291" s="123"/>
      <c r="F291" s="124"/>
    </row>
    <row r="292" spans="1:6" x14ac:dyDescent="0.2">
      <c r="A292" s="122"/>
      <c r="B292" s="123"/>
      <c r="C292" s="123"/>
      <c r="D292" s="123"/>
      <c r="E292" s="123"/>
      <c r="F292" s="124"/>
    </row>
    <row r="293" spans="1:6" x14ac:dyDescent="0.2">
      <c r="A293" s="122"/>
      <c r="B293" s="123"/>
      <c r="C293" s="123"/>
      <c r="D293" s="123"/>
      <c r="E293" s="123"/>
      <c r="F293" s="124"/>
    </row>
    <row r="294" spans="1:6" x14ac:dyDescent="0.2">
      <c r="A294" s="122"/>
      <c r="B294" s="123"/>
      <c r="C294" s="123"/>
      <c r="D294" s="123"/>
      <c r="E294" s="123"/>
      <c r="F294" s="124"/>
    </row>
    <row r="295" spans="1:6" x14ac:dyDescent="0.2">
      <c r="A295" s="122"/>
      <c r="B295" s="123"/>
      <c r="C295" s="123"/>
      <c r="D295" s="123"/>
      <c r="E295" s="123"/>
      <c r="F295" s="124"/>
    </row>
    <row r="296" spans="1:6" x14ac:dyDescent="0.2">
      <c r="A296" s="122"/>
      <c r="B296" s="123"/>
      <c r="C296" s="123"/>
      <c r="D296" s="123"/>
      <c r="E296" s="123"/>
      <c r="F296" s="124"/>
    </row>
    <row r="297" spans="1:6" x14ac:dyDescent="0.2">
      <c r="A297" s="122"/>
      <c r="B297" s="123"/>
      <c r="C297" s="123"/>
      <c r="D297" s="123"/>
      <c r="E297" s="123"/>
      <c r="F297" s="124"/>
    </row>
    <row r="298" spans="1:6" x14ac:dyDescent="0.2">
      <c r="A298" s="122"/>
      <c r="B298" s="123"/>
      <c r="C298" s="123"/>
      <c r="D298" s="123"/>
      <c r="E298" s="123"/>
      <c r="F298" s="124"/>
    </row>
    <row r="299" spans="1:6" x14ac:dyDescent="0.2">
      <c r="A299" s="122"/>
      <c r="B299" s="123"/>
      <c r="C299" s="123"/>
      <c r="D299" s="123"/>
      <c r="E299" s="123"/>
      <c r="F299" s="124"/>
    </row>
    <row r="300" spans="1:6" x14ac:dyDescent="0.2">
      <c r="A300" s="122"/>
      <c r="B300" s="123"/>
      <c r="C300" s="123"/>
      <c r="D300" s="123"/>
      <c r="E300" s="123"/>
      <c r="F300" s="124"/>
    </row>
    <row r="301" spans="1:6" x14ac:dyDescent="0.2">
      <c r="A301" s="122"/>
      <c r="B301" s="123"/>
      <c r="C301" s="123"/>
      <c r="D301" s="123"/>
      <c r="E301" s="123"/>
      <c r="F301" s="124"/>
    </row>
    <row r="302" spans="1:6" x14ac:dyDescent="0.2">
      <c r="A302" s="122"/>
      <c r="B302" s="123"/>
      <c r="C302" s="123"/>
      <c r="D302" s="123"/>
      <c r="E302" s="123"/>
      <c r="F302" s="124"/>
    </row>
    <row r="303" spans="1:6" x14ac:dyDescent="0.2">
      <c r="A303" s="122"/>
      <c r="B303" s="123"/>
      <c r="C303" s="123"/>
      <c r="D303" s="123"/>
      <c r="E303" s="123"/>
      <c r="F303" s="124"/>
    </row>
    <row r="304" spans="1:6" x14ac:dyDescent="0.2">
      <c r="A304" s="122"/>
      <c r="B304" s="123"/>
      <c r="C304" s="123"/>
      <c r="D304" s="123"/>
      <c r="E304" s="123"/>
      <c r="F304" s="124"/>
    </row>
    <row r="305" spans="1:6" x14ac:dyDescent="0.2">
      <c r="A305" s="122"/>
      <c r="B305" s="123"/>
      <c r="C305" s="123"/>
      <c r="D305" s="123"/>
      <c r="E305" s="123"/>
      <c r="F305" s="124"/>
    </row>
    <row r="306" spans="1:6" x14ac:dyDescent="0.2">
      <c r="A306" s="122"/>
      <c r="B306" s="123"/>
      <c r="C306" s="123"/>
      <c r="D306" s="123"/>
      <c r="E306" s="123"/>
      <c r="F306" s="124"/>
    </row>
    <row r="307" spans="1:6" x14ac:dyDescent="0.2">
      <c r="A307" s="122"/>
      <c r="B307" s="123"/>
      <c r="C307" s="123"/>
      <c r="D307" s="123"/>
      <c r="E307" s="123"/>
      <c r="F307" s="124"/>
    </row>
    <row r="308" spans="1:6" x14ac:dyDescent="0.2">
      <c r="A308" s="122"/>
      <c r="B308" s="123"/>
      <c r="C308" s="123"/>
      <c r="D308" s="123"/>
      <c r="E308" s="123"/>
      <c r="F308" s="124"/>
    </row>
    <row r="309" spans="1:6" x14ac:dyDescent="0.2">
      <c r="A309" s="122"/>
      <c r="B309" s="123"/>
      <c r="C309" s="123"/>
      <c r="D309" s="123"/>
      <c r="E309" s="123"/>
      <c r="F309" s="124"/>
    </row>
    <row r="310" spans="1:6" x14ac:dyDescent="0.2">
      <c r="A310" s="122"/>
      <c r="B310" s="123"/>
      <c r="C310" s="123"/>
      <c r="D310" s="123"/>
      <c r="E310" s="123"/>
      <c r="F310" s="124"/>
    </row>
    <row r="311" spans="1:6" x14ac:dyDescent="0.2">
      <c r="A311" s="122"/>
      <c r="B311" s="123"/>
      <c r="C311" s="123"/>
      <c r="D311" s="123"/>
      <c r="E311" s="123"/>
      <c r="F311" s="124"/>
    </row>
    <row r="312" spans="1:6" x14ac:dyDescent="0.2">
      <c r="A312" s="122"/>
      <c r="B312" s="123"/>
      <c r="C312" s="123"/>
      <c r="D312" s="123"/>
      <c r="E312" s="123"/>
      <c r="F312" s="124"/>
    </row>
    <row r="313" spans="1:6" x14ac:dyDescent="0.2">
      <c r="A313" s="122"/>
      <c r="B313" s="123"/>
      <c r="C313" s="123"/>
      <c r="D313" s="123"/>
      <c r="E313" s="123"/>
      <c r="F313" s="124"/>
    </row>
    <row r="314" spans="1:6" x14ac:dyDescent="0.2">
      <c r="A314" s="122"/>
      <c r="B314" s="123"/>
      <c r="C314" s="123"/>
      <c r="D314" s="123"/>
      <c r="E314" s="123"/>
      <c r="F314" s="124"/>
    </row>
    <row r="315" spans="1:6" x14ac:dyDescent="0.2">
      <c r="A315" s="122"/>
      <c r="B315" s="123"/>
      <c r="C315" s="123"/>
      <c r="D315" s="123"/>
      <c r="E315" s="123"/>
      <c r="F315" s="124"/>
    </row>
    <row r="316" spans="1:6" x14ac:dyDescent="0.2">
      <c r="A316" s="122"/>
      <c r="B316" s="123"/>
      <c r="C316" s="123"/>
      <c r="D316" s="123"/>
      <c r="E316" s="123"/>
      <c r="F316" s="124"/>
    </row>
    <row r="317" spans="1:6" x14ac:dyDescent="0.2">
      <c r="A317" s="122"/>
      <c r="B317" s="123"/>
      <c r="C317" s="123"/>
      <c r="D317" s="123"/>
      <c r="E317" s="123"/>
      <c r="F317" s="124"/>
    </row>
    <row r="318" spans="1:6" x14ac:dyDescent="0.2">
      <c r="A318" s="122"/>
      <c r="B318" s="123"/>
      <c r="C318" s="123"/>
      <c r="D318" s="123"/>
      <c r="E318" s="123"/>
      <c r="F318" s="124"/>
    </row>
    <row r="319" spans="1:6" x14ac:dyDescent="0.2">
      <c r="A319" s="122"/>
      <c r="B319" s="123"/>
      <c r="C319" s="123"/>
      <c r="D319" s="123"/>
      <c r="E319" s="123"/>
      <c r="F319" s="124"/>
    </row>
    <row r="320" spans="1:6" x14ac:dyDescent="0.2">
      <c r="A320" s="122"/>
      <c r="B320" s="123"/>
      <c r="C320" s="123"/>
      <c r="D320" s="123"/>
      <c r="E320" s="123"/>
      <c r="F320" s="124"/>
    </row>
    <row r="321" spans="1:6" x14ac:dyDescent="0.2">
      <c r="A321" s="122"/>
      <c r="B321" s="123"/>
      <c r="C321" s="123"/>
      <c r="D321" s="123"/>
      <c r="E321" s="123"/>
      <c r="F321" s="124"/>
    </row>
    <row r="322" spans="1:6" x14ac:dyDescent="0.2">
      <c r="A322" s="122"/>
      <c r="B322" s="123"/>
      <c r="C322" s="123"/>
      <c r="D322" s="123"/>
      <c r="E322" s="123"/>
      <c r="F322" s="124"/>
    </row>
    <row r="323" spans="1:6" x14ac:dyDescent="0.2">
      <c r="A323" s="122"/>
      <c r="B323" s="123"/>
      <c r="C323" s="123"/>
      <c r="D323" s="123"/>
      <c r="E323" s="123"/>
      <c r="F323" s="124"/>
    </row>
    <row r="324" spans="1:6" x14ac:dyDescent="0.2">
      <c r="A324" s="122"/>
      <c r="B324" s="123"/>
      <c r="C324" s="123"/>
      <c r="D324" s="123"/>
      <c r="E324" s="123"/>
      <c r="F324" s="124"/>
    </row>
    <row r="325" spans="1:6" x14ac:dyDescent="0.2">
      <c r="A325" s="122"/>
      <c r="B325" s="123"/>
      <c r="C325" s="123"/>
      <c r="D325" s="123"/>
      <c r="E325" s="123"/>
      <c r="F325" s="124"/>
    </row>
    <row r="326" spans="1:6" x14ac:dyDescent="0.2">
      <c r="A326" s="122"/>
      <c r="B326" s="123"/>
      <c r="C326" s="123"/>
      <c r="D326" s="123"/>
      <c r="E326" s="123"/>
      <c r="F326" s="124"/>
    </row>
    <row r="327" spans="1:6" x14ac:dyDescent="0.2">
      <c r="A327" s="122"/>
      <c r="B327" s="123"/>
      <c r="C327" s="123"/>
      <c r="D327" s="123"/>
      <c r="E327" s="123"/>
      <c r="F327" s="124"/>
    </row>
    <row r="328" spans="1:6" x14ac:dyDescent="0.2">
      <c r="A328" s="122"/>
      <c r="B328" s="123"/>
      <c r="C328" s="123"/>
      <c r="D328" s="123"/>
      <c r="E328" s="123"/>
      <c r="F328" s="124"/>
    </row>
    <row r="329" spans="1:6" x14ac:dyDescent="0.2">
      <c r="A329" s="122"/>
      <c r="B329" s="123"/>
      <c r="C329" s="123"/>
      <c r="D329" s="123"/>
      <c r="E329" s="123"/>
      <c r="F329" s="124"/>
    </row>
    <row r="330" spans="1:6" x14ac:dyDescent="0.2">
      <c r="A330" s="122"/>
      <c r="B330" s="123"/>
      <c r="C330" s="123"/>
      <c r="D330" s="123"/>
      <c r="E330" s="123"/>
      <c r="F330" s="124"/>
    </row>
    <row r="331" spans="1:6" x14ac:dyDescent="0.2">
      <c r="A331" s="122"/>
      <c r="B331" s="123"/>
      <c r="C331" s="123"/>
      <c r="D331" s="123"/>
      <c r="E331" s="123"/>
      <c r="F331" s="124"/>
    </row>
    <row r="332" spans="1:6" x14ac:dyDescent="0.2">
      <c r="A332" s="125"/>
      <c r="B332" s="126"/>
      <c r="C332" s="126"/>
      <c r="D332" s="126"/>
      <c r="E332" s="126"/>
      <c r="F332" s="127"/>
    </row>
    <row r="333" spans="1:6" x14ac:dyDescent="0.2">
      <c r="A333" s="174" t="s">
        <v>125</v>
      </c>
      <c r="B333" s="174"/>
      <c r="C333" s="174"/>
      <c r="D333" s="174"/>
      <c r="E333" s="174"/>
      <c r="F333" s="174"/>
    </row>
    <row r="334" spans="1:6" x14ac:dyDescent="0.2">
      <c r="A334" s="122"/>
      <c r="B334" s="123"/>
      <c r="C334" s="123"/>
      <c r="D334" s="123"/>
      <c r="E334" s="123"/>
      <c r="F334" s="124"/>
    </row>
    <row r="335" spans="1:6" x14ac:dyDescent="0.2">
      <c r="A335" s="122"/>
      <c r="B335" s="123"/>
      <c r="C335" s="123"/>
      <c r="D335" s="123"/>
      <c r="E335" s="123"/>
      <c r="F335" s="124"/>
    </row>
    <row r="336" spans="1:6" x14ac:dyDescent="0.2">
      <c r="A336" s="122"/>
      <c r="B336" s="123"/>
      <c r="C336" s="123"/>
      <c r="D336" s="123"/>
      <c r="E336" s="123"/>
      <c r="F336" s="124"/>
    </row>
    <row r="337" spans="1:6" x14ac:dyDescent="0.2">
      <c r="A337" s="122"/>
      <c r="B337" s="123"/>
      <c r="C337" s="123"/>
      <c r="D337" s="123"/>
      <c r="E337" s="123"/>
      <c r="F337" s="124"/>
    </row>
    <row r="338" spans="1:6" x14ac:dyDescent="0.2">
      <c r="A338" s="122"/>
      <c r="B338" s="123"/>
      <c r="C338" s="123"/>
      <c r="D338" s="123"/>
      <c r="E338" s="123"/>
      <c r="F338" s="124"/>
    </row>
    <row r="339" spans="1:6" x14ac:dyDescent="0.2">
      <c r="A339" s="122"/>
      <c r="B339" s="123"/>
      <c r="C339" s="123"/>
      <c r="D339" s="123"/>
      <c r="E339" s="123"/>
      <c r="F339" s="124"/>
    </row>
    <row r="340" spans="1:6" x14ac:dyDescent="0.2">
      <c r="A340" s="122"/>
      <c r="B340" s="123"/>
      <c r="C340" s="123"/>
      <c r="D340" s="123"/>
      <c r="E340" s="123"/>
      <c r="F340" s="124"/>
    </row>
    <row r="341" spans="1:6" x14ac:dyDescent="0.2">
      <c r="A341" s="122"/>
      <c r="B341" s="123"/>
      <c r="C341" s="123"/>
      <c r="D341" s="123"/>
      <c r="E341" s="123"/>
      <c r="F341" s="124"/>
    </row>
    <row r="342" spans="1:6" x14ac:dyDescent="0.2">
      <c r="A342" s="122"/>
      <c r="B342" s="123"/>
      <c r="C342" s="123"/>
      <c r="D342" s="123"/>
      <c r="E342" s="123"/>
      <c r="F342" s="124"/>
    </row>
    <row r="343" spans="1:6" x14ac:dyDescent="0.2">
      <c r="A343" s="122"/>
      <c r="B343" s="123"/>
      <c r="C343" s="123"/>
      <c r="D343" s="123"/>
      <c r="E343" s="123"/>
      <c r="F343" s="124"/>
    </row>
    <row r="344" spans="1:6" x14ac:dyDescent="0.2">
      <c r="A344" s="122"/>
      <c r="B344" s="123"/>
      <c r="C344" s="123"/>
      <c r="D344" s="123"/>
      <c r="E344" s="123"/>
      <c r="F344" s="124"/>
    </row>
    <row r="345" spans="1:6" x14ac:dyDescent="0.2">
      <c r="A345" s="122"/>
      <c r="B345" s="123"/>
      <c r="C345" s="123"/>
      <c r="D345" s="123"/>
      <c r="E345" s="123"/>
      <c r="F345" s="124"/>
    </row>
    <row r="346" spans="1:6" x14ac:dyDescent="0.2">
      <c r="A346" s="122"/>
      <c r="B346" s="123"/>
      <c r="C346" s="123"/>
      <c r="D346" s="123"/>
      <c r="E346" s="123"/>
      <c r="F346" s="124"/>
    </row>
    <row r="347" spans="1:6" x14ac:dyDescent="0.2">
      <c r="A347" s="122"/>
      <c r="B347" s="123"/>
      <c r="C347" s="123"/>
      <c r="D347" s="123"/>
      <c r="E347" s="123"/>
      <c r="F347" s="124"/>
    </row>
    <row r="348" spans="1:6" x14ac:dyDescent="0.2">
      <c r="A348" s="122"/>
      <c r="B348" s="123"/>
      <c r="C348" s="123"/>
      <c r="D348" s="123"/>
      <c r="E348" s="123"/>
      <c r="F348" s="124"/>
    </row>
    <row r="349" spans="1:6" x14ac:dyDescent="0.2">
      <c r="A349" s="122"/>
      <c r="B349" s="123"/>
      <c r="C349" s="123"/>
      <c r="D349" s="123"/>
      <c r="E349" s="123"/>
      <c r="F349" s="124"/>
    </row>
    <row r="350" spans="1:6" x14ac:dyDescent="0.2">
      <c r="A350" s="122"/>
      <c r="B350" s="123"/>
      <c r="C350" s="123"/>
      <c r="D350" s="123"/>
      <c r="E350" s="123"/>
      <c r="F350" s="124"/>
    </row>
    <row r="351" spans="1:6" x14ac:dyDescent="0.2">
      <c r="A351" s="122"/>
      <c r="B351" s="123"/>
      <c r="C351" s="123"/>
      <c r="D351" s="123"/>
      <c r="E351" s="123"/>
      <c r="F351" s="124"/>
    </row>
    <row r="352" spans="1:6" x14ac:dyDescent="0.2">
      <c r="A352" s="122"/>
      <c r="B352" s="123"/>
      <c r="C352" s="123"/>
      <c r="D352" s="123"/>
      <c r="E352" s="123"/>
      <c r="F352" s="124"/>
    </row>
    <row r="353" spans="1:6" x14ac:dyDescent="0.2">
      <c r="A353" s="122"/>
      <c r="B353" s="123"/>
      <c r="C353" s="123"/>
      <c r="D353" s="123"/>
      <c r="E353" s="123"/>
      <c r="F353" s="124"/>
    </row>
    <row r="354" spans="1:6" x14ac:dyDescent="0.2">
      <c r="A354" s="122"/>
      <c r="B354" s="123"/>
      <c r="C354" s="123"/>
      <c r="D354" s="123"/>
      <c r="E354" s="123"/>
      <c r="F354" s="124"/>
    </row>
    <row r="355" spans="1:6" x14ac:dyDescent="0.2">
      <c r="A355" s="122"/>
      <c r="B355" s="123"/>
      <c r="C355" s="123"/>
      <c r="D355" s="123"/>
      <c r="E355" s="123"/>
      <c r="F355" s="124"/>
    </row>
    <row r="356" spans="1:6" x14ac:dyDescent="0.2">
      <c r="A356" s="122"/>
      <c r="B356" s="123"/>
      <c r="C356" s="123"/>
      <c r="D356" s="123"/>
      <c r="E356" s="123"/>
      <c r="F356" s="124"/>
    </row>
    <row r="357" spans="1:6" x14ac:dyDescent="0.2">
      <c r="A357" s="122"/>
      <c r="B357" s="123"/>
      <c r="C357" s="123"/>
      <c r="D357" s="123"/>
      <c r="E357" s="123"/>
      <c r="F357" s="124"/>
    </row>
    <row r="358" spans="1:6" x14ac:dyDescent="0.2">
      <c r="A358" s="122"/>
      <c r="B358" s="123"/>
      <c r="C358" s="123"/>
      <c r="D358" s="123"/>
      <c r="E358" s="123"/>
      <c r="F358" s="124"/>
    </row>
    <row r="359" spans="1:6" x14ac:dyDescent="0.2">
      <c r="A359" s="122"/>
      <c r="B359" s="123"/>
      <c r="C359" s="123"/>
      <c r="D359" s="123"/>
      <c r="E359" s="123"/>
      <c r="F359" s="124"/>
    </row>
    <row r="360" spans="1:6" x14ac:dyDescent="0.2">
      <c r="A360" s="122"/>
      <c r="B360" s="123"/>
      <c r="C360" s="123"/>
      <c r="D360" s="123"/>
      <c r="E360" s="123"/>
      <c r="F360" s="124"/>
    </row>
    <row r="361" spans="1:6" x14ac:dyDescent="0.2">
      <c r="A361" s="122"/>
      <c r="B361" s="123"/>
      <c r="C361" s="123"/>
      <c r="D361" s="123"/>
      <c r="E361" s="123"/>
      <c r="F361" s="124"/>
    </row>
    <row r="362" spans="1:6" x14ac:dyDescent="0.2">
      <c r="A362" s="122"/>
      <c r="B362" s="123"/>
      <c r="C362" s="123"/>
      <c r="D362" s="123"/>
      <c r="E362" s="123"/>
      <c r="F362" s="124"/>
    </row>
    <row r="363" spans="1:6" x14ac:dyDescent="0.2">
      <c r="A363" s="122"/>
      <c r="B363" s="123"/>
      <c r="C363" s="123"/>
      <c r="D363" s="123"/>
      <c r="E363" s="123"/>
      <c r="F363" s="124"/>
    </row>
    <row r="364" spans="1:6" x14ac:dyDescent="0.2">
      <c r="A364" s="122"/>
      <c r="B364" s="123"/>
      <c r="C364" s="123"/>
      <c r="D364" s="123"/>
      <c r="E364" s="123"/>
      <c r="F364" s="124"/>
    </row>
    <row r="365" spans="1:6" x14ac:dyDescent="0.2">
      <c r="A365" s="122"/>
      <c r="B365" s="123"/>
      <c r="C365" s="123"/>
      <c r="D365" s="123"/>
      <c r="E365" s="123"/>
      <c r="F365" s="124"/>
    </row>
    <row r="366" spans="1:6" x14ac:dyDescent="0.2">
      <c r="A366" s="122"/>
      <c r="B366" s="123"/>
      <c r="C366" s="123"/>
      <c r="D366" s="123"/>
      <c r="E366" s="123"/>
      <c r="F366" s="124"/>
    </row>
    <row r="367" spans="1:6" x14ac:dyDescent="0.2">
      <c r="A367" s="122"/>
      <c r="B367" s="123"/>
      <c r="C367" s="123"/>
      <c r="D367" s="123"/>
      <c r="E367" s="123"/>
      <c r="F367" s="124"/>
    </row>
    <row r="368" spans="1:6" x14ac:dyDescent="0.2">
      <c r="A368" s="122"/>
      <c r="B368" s="123"/>
      <c r="C368" s="123"/>
      <c r="D368" s="123"/>
      <c r="E368" s="123"/>
      <c r="F368" s="124"/>
    </row>
    <row r="369" spans="1:6" ht="79.5" customHeight="1" x14ac:dyDescent="0.2">
      <c r="A369" s="122"/>
      <c r="B369" s="123"/>
      <c r="C369" s="123"/>
      <c r="D369" s="123"/>
      <c r="E369" s="123"/>
      <c r="F369" s="124"/>
    </row>
    <row r="370" spans="1:6" x14ac:dyDescent="0.2">
      <c r="A370" s="122"/>
      <c r="B370" s="123"/>
      <c r="C370" s="123"/>
      <c r="D370" s="123"/>
      <c r="E370" s="123"/>
      <c r="F370" s="124"/>
    </row>
    <row r="371" spans="1:6" x14ac:dyDescent="0.2">
      <c r="A371" s="122"/>
      <c r="B371" s="123"/>
      <c r="C371" s="123"/>
      <c r="D371" s="123"/>
      <c r="E371" s="123"/>
      <c r="F371" s="124"/>
    </row>
    <row r="372" spans="1:6" x14ac:dyDescent="0.2">
      <c r="A372" s="122"/>
      <c r="B372" s="123"/>
      <c r="C372" s="123"/>
      <c r="D372" s="123"/>
      <c r="E372" s="123"/>
      <c r="F372" s="124"/>
    </row>
    <row r="373" spans="1:6" x14ac:dyDescent="0.2">
      <c r="A373" s="122"/>
      <c r="B373" s="123"/>
      <c r="C373" s="123"/>
      <c r="D373" s="123"/>
      <c r="E373" s="123"/>
      <c r="F373" s="124"/>
    </row>
    <row r="374" spans="1:6" x14ac:dyDescent="0.2">
      <c r="A374" s="122"/>
      <c r="B374" s="123"/>
      <c r="C374" s="123"/>
      <c r="D374" s="123"/>
      <c r="E374" s="123"/>
      <c r="F374" s="124"/>
    </row>
    <row r="375" spans="1:6" x14ac:dyDescent="0.2">
      <c r="A375" s="122"/>
      <c r="B375" s="123"/>
      <c r="C375" s="123"/>
      <c r="D375" s="123"/>
      <c r="E375" s="123"/>
      <c r="F375" s="124"/>
    </row>
    <row r="376" spans="1:6" x14ac:dyDescent="0.2">
      <c r="A376" s="122"/>
      <c r="B376" s="123"/>
      <c r="C376" s="123"/>
      <c r="D376" s="123"/>
      <c r="E376" s="123"/>
      <c r="F376" s="124"/>
    </row>
    <row r="377" spans="1:6" x14ac:dyDescent="0.2">
      <c r="A377" s="122"/>
      <c r="B377" s="123"/>
      <c r="C377" s="123"/>
      <c r="D377" s="123"/>
      <c r="E377" s="123"/>
      <c r="F377" s="124"/>
    </row>
    <row r="378" spans="1:6" x14ac:dyDescent="0.2">
      <c r="A378" s="122"/>
      <c r="B378" s="123"/>
      <c r="C378" s="123"/>
      <c r="D378" s="123"/>
      <c r="E378" s="123"/>
      <c r="F378" s="124"/>
    </row>
    <row r="379" spans="1:6" ht="54.75" customHeight="1" x14ac:dyDescent="0.2">
      <c r="A379" s="14" t="s">
        <v>122</v>
      </c>
      <c r="B379" s="86" t="s">
        <v>274</v>
      </c>
      <c r="C379" s="142" t="s">
        <v>123</v>
      </c>
      <c r="D379" s="142"/>
      <c r="E379" s="139"/>
      <c r="F379" s="139"/>
    </row>
  </sheetData>
  <mergeCells count="310">
    <mergeCell ref="A185:F185"/>
    <mergeCell ref="A186:F186"/>
    <mergeCell ref="A187:A197"/>
    <mergeCell ref="A184:F184"/>
    <mergeCell ref="A199:A209"/>
    <mergeCell ref="B12:F12"/>
    <mergeCell ref="B36:F36"/>
    <mergeCell ref="A378:F378"/>
    <mergeCell ref="A373:F373"/>
    <mergeCell ref="A374:F374"/>
    <mergeCell ref="A375:F375"/>
    <mergeCell ref="A376:F376"/>
    <mergeCell ref="A377:F377"/>
    <mergeCell ref="A364:F364"/>
    <mergeCell ref="A365:F365"/>
    <mergeCell ref="A366:F366"/>
    <mergeCell ref="A367:F367"/>
    <mergeCell ref="A368:F368"/>
    <mergeCell ref="A369:F369"/>
    <mergeCell ref="A370:F370"/>
    <mergeCell ref="A371:F371"/>
    <mergeCell ref="A372:F372"/>
    <mergeCell ref="A355:F355"/>
    <mergeCell ref="A356:F356"/>
    <mergeCell ref="A140:F140"/>
    <mergeCell ref="A137:F137"/>
    <mergeCell ref="A172:F172"/>
    <mergeCell ref="A141:A148"/>
    <mergeCell ref="A149:F149"/>
    <mergeCell ref="A357:F357"/>
    <mergeCell ref="A358:F358"/>
    <mergeCell ref="A359:F359"/>
    <mergeCell ref="A360:F360"/>
    <mergeCell ref="A361:F361"/>
    <mergeCell ref="A362:F362"/>
    <mergeCell ref="A363:F363"/>
    <mergeCell ref="A346:F346"/>
    <mergeCell ref="A347:F347"/>
    <mergeCell ref="A348:F348"/>
    <mergeCell ref="A349:F349"/>
    <mergeCell ref="A350:F350"/>
    <mergeCell ref="A351:F351"/>
    <mergeCell ref="A352:F352"/>
    <mergeCell ref="A353:F353"/>
    <mergeCell ref="A354:F354"/>
    <mergeCell ref="A337:F337"/>
    <mergeCell ref="A338:F338"/>
    <mergeCell ref="A339:F339"/>
    <mergeCell ref="A340:F340"/>
    <mergeCell ref="A341:F341"/>
    <mergeCell ref="A342:F342"/>
    <mergeCell ref="A343:F343"/>
    <mergeCell ref="A344:F344"/>
    <mergeCell ref="A345:F345"/>
    <mergeCell ref="A333:F333"/>
    <mergeCell ref="A334:F334"/>
    <mergeCell ref="A335:F335"/>
    <mergeCell ref="A336:F336"/>
    <mergeCell ref="A271:F271"/>
    <mergeCell ref="A272:F272"/>
    <mergeCell ref="A273:F273"/>
    <mergeCell ref="A274:F274"/>
    <mergeCell ref="A275:F275"/>
    <mergeCell ref="A295:F295"/>
    <mergeCell ref="A296:F296"/>
    <mergeCell ref="A297:F297"/>
    <mergeCell ref="A298:F298"/>
    <mergeCell ref="A299:F299"/>
    <mergeCell ref="A300:F300"/>
    <mergeCell ref="A301:F301"/>
    <mergeCell ref="A302:F302"/>
    <mergeCell ref="A330:F330"/>
    <mergeCell ref="A331:F331"/>
    <mergeCell ref="A312:F312"/>
    <mergeCell ref="A313:F313"/>
    <mergeCell ref="A314:F314"/>
    <mergeCell ref="A315:F315"/>
    <mergeCell ref="A316:F316"/>
    <mergeCell ref="A262:F262"/>
    <mergeCell ref="A263:F263"/>
    <mergeCell ref="A264:F264"/>
    <mergeCell ref="A265:F265"/>
    <mergeCell ref="A266:F266"/>
    <mergeCell ref="A267:F267"/>
    <mergeCell ref="A268:F268"/>
    <mergeCell ref="A269:F269"/>
    <mergeCell ref="A270:F270"/>
    <mergeCell ref="A253:F253"/>
    <mergeCell ref="A254:F254"/>
    <mergeCell ref="A255:F255"/>
    <mergeCell ref="A256:F256"/>
    <mergeCell ref="A257:F257"/>
    <mergeCell ref="A258:F258"/>
    <mergeCell ref="A259:F259"/>
    <mergeCell ref="A260:F260"/>
    <mergeCell ref="A261:F261"/>
    <mergeCell ref="A244:F244"/>
    <mergeCell ref="A245:F245"/>
    <mergeCell ref="A246:F246"/>
    <mergeCell ref="A247:F247"/>
    <mergeCell ref="A248:F248"/>
    <mergeCell ref="A249:F249"/>
    <mergeCell ref="A250:F250"/>
    <mergeCell ref="A251:F251"/>
    <mergeCell ref="A252:F252"/>
    <mergeCell ref="A235:F235"/>
    <mergeCell ref="A236:F236"/>
    <mergeCell ref="A237:F237"/>
    <mergeCell ref="A238:F238"/>
    <mergeCell ref="A239:F239"/>
    <mergeCell ref="A240:F240"/>
    <mergeCell ref="A241:F241"/>
    <mergeCell ref="A242:F242"/>
    <mergeCell ref="A243:F243"/>
    <mergeCell ref="B228:F228"/>
    <mergeCell ref="A229:F229"/>
    <mergeCell ref="A230:F230"/>
    <mergeCell ref="A231:F231"/>
    <mergeCell ref="A232:F232"/>
    <mergeCell ref="A233:F233"/>
    <mergeCell ref="A234:F234"/>
    <mergeCell ref="A227:F227"/>
    <mergeCell ref="A226:F226"/>
    <mergeCell ref="E42:F42"/>
    <mergeCell ref="A135:A136"/>
    <mergeCell ref="B135:B136"/>
    <mergeCell ref="C135:C136"/>
    <mergeCell ref="D135:D136"/>
    <mergeCell ref="F135:F136"/>
    <mergeCell ref="C49:F49"/>
    <mergeCell ref="B51:F51"/>
    <mergeCell ref="A55:F55"/>
    <mergeCell ref="A56:B57"/>
    <mergeCell ref="A70:B71"/>
    <mergeCell ref="B72:F72"/>
    <mergeCell ref="E73:F73"/>
    <mergeCell ref="E74:F83"/>
    <mergeCell ref="A84:B85"/>
    <mergeCell ref="B86:F86"/>
    <mergeCell ref="E87:F87"/>
    <mergeCell ref="E88:F97"/>
    <mergeCell ref="A120:F120"/>
    <mergeCell ref="A121:A122"/>
    <mergeCell ref="B121:B122"/>
    <mergeCell ref="B52:F52"/>
    <mergeCell ref="B50:F50"/>
    <mergeCell ref="C118:D118"/>
    <mergeCell ref="B27:C27"/>
    <mergeCell ref="A53:F53"/>
    <mergeCell ref="D54:F54"/>
    <mergeCell ref="B44:F44"/>
    <mergeCell ref="B45:F45"/>
    <mergeCell ref="B46:F46"/>
    <mergeCell ref="C47:F47"/>
    <mergeCell ref="C48:F48"/>
    <mergeCell ref="E39:F39"/>
    <mergeCell ref="A29:A32"/>
    <mergeCell ref="B35:F35"/>
    <mergeCell ref="B28:C28"/>
    <mergeCell ref="C34:D34"/>
    <mergeCell ref="E27:F27"/>
    <mergeCell ref="E28:F28"/>
    <mergeCell ref="B33:F33"/>
    <mergeCell ref="E34:F34"/>
    <mergeCell ref="A47:A49"/>
    <mergeCell ref="A37:F37"/>
    <mergeCell ref="A38:A43"/>
    <mergeCell ref="B38:D38"/>
    <mergeCell ref="E38:F38"/>
    <mergeCell ref="B39:D39"/>
    <mergeCell ref="B42:D42"/>
    <mergeCell ref="A1:F1"/>
    <mergeCell ref="B23:F23"/>
    <mergeCell ref="B22:F22"/>
    <mergeCell ref="B26:F26"/>
    <mergeCell ref="B17:F17"/>
    <mergeCell ref="B16:F16"/>
    <mergeCell ref="B25:F25"/>
    <mergeCell ref="B10:F10"/>
    <mergeCell ref="A6:F6"/>
    <mergeCell ref="B3:D3"/>
    <mergeCell ref="B4:D4"/>
    <mergeCell ref="B5:D5"/>
    <mergeCell ref="B20:F20"/>
    <mergeCell ref="B21:F21"/>
    <mergeCell ref="B24:F24"/>
    <mergeCell ref="A2:F2"/>
    <mergeCell ref="B7:F7"/>
    <mergeCell ref="B8:F8"/>
    <mergeCell ref="B19:F19"/>
    <mergeCell ref="B9:F9"/>
    <mergeCell ref="B13:F13"/>
    <mergeCell ref="B14:F14"/>
    <mergeCell ref="B15:F15"/>
    <mergeCell ref="B11:F11"/>
    <mergeCell ref="C379:D379"/>
    <mergeCell ref="E379:F379"/>
    <mergeCell ref="B98:F98"/>
    <mergeCell ref="A99:F99"/>
    <mergeCell ref="C100:D100"/>
    <mergeCell ref="C101:D101"/>
    <mergeCell ref="C108:D108"/>
    <mergeCell ref="A134:F134"/>
    <mergeCell ref="A286:F286"/>
    <mergeCell ref="A287:F287"/>
    <mergeCell ref="A288:F288"/>
    <mergeCell ref="A289:F289"/>
    <mergeCell ref="A290:F290"/>
    <mergeCell ref="A291:F291"/>
    <mergeCell ref="A292:F292"/>
    <mergeCell ref="A293:F293"/>
    <mergeCell ref="A294:F294"/>
    <mergeCell ref="A223:F223"/>
    <mergeCell ref="A309:F309"/>
    <mergeCell ref="A310:F310"/>
    <mergeCell ref="A311:F311"/>
    <mergeCell ref="A332:F332"/>
    <mergeCell ref="A321:F321"/>
    <mergeCell ref="C102:D102"/>
    <mergeCell ref="A224:C224"/>
    <mergeCell ref="C121:C122"/>
    <mergeCell ref="D121:D122"/>
    <mergeCell ref="F121:F122"/>
    <mergeCell ref="A161:A171"/>
    <mergeCell ref="A173:A183"/>
    <mergeCell ref="C157:E157"/>
    <mergeCell ref="C181:E181"/>
    <mergeCell ref="A123:F123"/>
    <mergeCell ref="A124:F124"/>
    <mergeCell ref="A125:F125"/>
    <mergeCell ref="A126:A133"/>
    <mergeCell ref="A138:F138"/>
    <mergeCell ref="A139:F139"/>
    <mergeCell ref="D224:F224"/>
    <mergeCell ref="A222:F222"/>
    <mergeCell ref="A210:F210"/>
    <mergeCell ref="A211:A221"/>
    <mergeCell ref="C215:E215"/>
    <mergeCell ref="A198:F198"/>
    <mergeCell ref="A150:A157"/>
    <mergeCell ref="A158:F158"/>
    <mergeCell ref="A159:F159"/>
    <mergeCell ref="A160:F160"/>
    <mergeCell ref="B18:C18"/>
    <mergeCell ref="D18:F18"/>
    <mergeCell ref="A303:F303"/>
    <mergeCell ref="A304:F304"/>
    <mergeCell ref="A305:F305"/>
    <mergeCell ref="A306:F306"/>
    <mergeCell ref="A307:F307"/>
    <mergeCell ref="A308:F308"/>
    <mergeCell ref="A109:F109"/>
    <mergeCell ref="C110:D110"/>
    <mergeCell ref="E110:F110"/>
    <mergeCell ref="C111:D111"/>
    <mergeCell ref="E111:F111"/>
    <mergeCell ref="C112:D112"/>
    <mergeCell ref="B40:D40"/>
    <mergeCell ref="E40:F40"/>
    <mergeCell ref="B41:D41"/>
    <mergeCell ref="E41:F41"/>
    <mergeCell ref="B43:D43"/>
    <mergeCell ref="E43:F43"/>
    <mergeCell ref="B283:F283"/>
    <mergeCell ref="A284:F284"/>
    <mergeCell ref="A285:F285"/>
    <mergeCell ref="E59:F59"/>
    <mergeCell ref="A327:F327"/>
    <mergeCell ref="A328:F328"/>
    <mergeCell ref="A329:F329"/>
    <mergeCell ref="A276:F276"/>
    <mergeCell ref="A277:F277"/>
    <mergeCell ref="A278:F278"/>
    <mergeCell ref="A279:F279"/>
    <mergeCell ref="A280:F280"/>
    <mergeCell ref="A281:F281"/>
    <mergeCell ref="A282:F282"/>
    <mergeCell ref="A317:F317"/>
    <mergeCell ref="A318:F318"/>
    <mergeCell ref="A319:F319"/>
    <mergeCell ref="A320:F320"/>
    <mergeCell ref="A322:F322"/>
    <mergeCell ref="A323:F323"/>
    <mergeCell ref="A324:F324"/>
    <mergeCell ref="A325:F325"/>
    <mergeCell ref="A326:F326"/>
    <mergeCell ref="A225:C225"/>
    <mergeCell ref="D225:F225"/>
    <mergeCell ref="E60:F69"/>
    <mergeCell ref="B58:F58"/>
    <mergeCell ref="E112:F112"/>
    <mergeCell ref="A113:F113"/>
    <mergeCell ref="E118:F118"/>
    <mergeCell ref="C119:D119"/>
    <mergeCell ref="E119:F119"/>
    <mergeCell ref="C117:D117"/>
    <mergeCell ref="E117:F117"/>
    <mergeCell ref="C114:D114"/>
    <mergeCell ref="E114:F114"/>
    <mergeCell ref="C115:D115"/>
    <mergeCell ref="E115:F115"/>
    <mergeCell ref="C116:D116"/>
    <mergeCell ref="E116:F116"/>
    <mergeCell ref="C103:D103"/>
    <mergeCell ref="C104:D104"/>
    <mergeCell ref="C105:D105"/>
    <mergeCell ref="C106:D106"/>
    <mergeCell ref="E107:F107"/>
    <mergeCell ref="E108:F108"/>
    <mergeCell ref="C107:D107"/>
  </mergeCells>
  <dataValidations disablePrompts="1" count="1">
    <dataValidation type="list" allowBlank="1" showInputMessage="1" showErrorMessage="1" sqref="A9" xr:uid="{00000000-0002-0000-0000-000000000000}">
      <formula1>"CTS No,Survey No,Plot No,Old Gut No,FP No,"</formula1>
    </dataValidation>
  </dataValidations>
  <hyperlinks>
    <hyperlink ref="B19" r:id="rId1" xr:uid="{00000000-0004-0000-0000-000000000000}"/>
  </hyperlinks>
  <printOptions horizontalCentered="1"/>
  <pageMargins left="0.23622047244094491" right="0.23622047244094491" top="0.78740157480314965" bottom="0.70866141732283472" header="0.19685039370078741" footer="0.19685039370078741"/>
  <pageSetup paperSize="2" scale="98" fitToHeight="0" orientation="portrait" r:id="rId2"/>
  <headerFooter>
    <oddHeader>&amp;C&amp;G</oddHeader>
    <oddFooter>&amp;L&amp;"Times New Roman,Bold"&amp;F&amp;R&amp;"Times New Roman,Bold"&amp;P</oddFooter>
  </headerFooter>
  <rowBreaks count="4" manualBreakCount="4">
    <brk id="54" max="16383" man="1"/>
    <brk id="227" max="5" man="1"/>
    <brk id="282" max="5" man="1"/>
    <brk id="332" max="5"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2"/>
  <sheetViews>
    <sheetView zoomScale="115" zoomScaleNormal="115" workbookViewId="0">
      <selection activeCell="D15" sqref="D15:D22"/>
    </sheetView>
  </sheetViews>
  <sheetFormatPr defaultRowHeight="15" x14ac:dyDescent="0.25"/>
  <cols>
    <col min="1" max="1" width="24.140625" customWidth="1"/>
    <col min="2" max="6" width="17.5703125" customWidth="1"/>
    <col min="7" max="7" width="10.42578125" customWidth="1"/>
  </cols>
  <sheetData>
    <row r="1" spans="1:8" x14ac:dyDescent="0.25">
      <c r="A1" s="183" t="s">
        <v>117</v>
      </c>
      <c r="B1" s="184"/>
      <c r="C1" s="9" t="s">
        <v>61</v>
      </c>
      <c r="D1" s="9" t="s">
        <v>62</v>
      </c>
      <c r="E1" s="9" t="s">
        <v>63</v>
      </c>
      <c r="F1" s="10" t="s">
        <v>48</v>
      </c>
    </row>
    <row r="2" spans="1:8" x14ac:dyDescent="0.25">
      <c r="A2" s="185"/>
      <c r="B2" s="186"/>
      <c r="C2" s="7">
        <v>0</v>
      </c>
      <c r="D2" s="36">
        <v>1</v>
      </c>
      <c r="E2" s="7">
        <v>0</v>
      </c>
      <c r="F2" s="8">
        <f ca="1">--TRIM(RIGHT(SUBSTITUTE(LEFT(A1,_xlfn.AGGREGATE(16,6,FIND({0,1,2,3,4,5,6,7,8,9},A1,ROW(INDIRECT("1:"&amp;LEN(A1)))),1))," ",REPT(" ",LEN(A1))),LEN(A1)))</f>
        <v>3</v>
      </c>
    </row>
    <row r="3" spans="1:8" x14ac:dyDescent="0.25">
      <c r="A3" s="2" t="s">
        <v>64</v>
      </c>
      <c r="B3" s="3" t="s">
        <v>65</v>
      </c>
      <c r="C3" s="34" t="s">
        <v>66</v>
      </c>
      <c r="D3" s="37" t="s">
        <v>59</v>
      </c>
      <c r="E3" s="187" t="s">
        <v>136</v>
      </c>
      <c r="F3" s="188"/>
      <c r="G3" s="46" t="s">
        <v>67</v>
      </c>
      <c r="H3" s="41">
        <f ca="1">F2*25%</f>
        <v>0.75</v>
      </c>
    </row>
    <row r="4" spans="1:8" x14ac:dyDescent="0.25">
      <c r="A4" s="2" t="s">
        <v>68</v>
      </c>
      <c r="B4" s="4">
        <f ca="1">H5</f>
        <v>3</v>
      </c>
      <c r="C4" s="35">
        <f ca="1">((100/F2)*B4)/100</f>
        <v>1</v>
      </c>
      <c r="D4" s="39" t="str">
        <f ca="1">IF(C13=100%,"All work Completed. Possession granted to the Building.",IF(C12=100%,"All work Completed, Waiting for OC",D10&amp;""&amp;D11&amp;""&amp;D9&amp;""&amp;D12&amp;" "&amp;D13))</f>
        <v xml:space="preserve">Excavation, Plinth, RCC Slab, Brickwork Completed </v>
      </c>
      <c r="E4" s="189" t="str">
        <f ca="1">D4</f>
        <v xml:space="preserve">Excavation, Plinth, RCC Slab, Brickwork Completed </v>
      </c>
      <c r="F4" s="190"/>
      <c r="G4" s="1" t="s">
        <v>69</v>
      </c>
      <c r="H4" s="42">
        <f ca="1">F2*50%</f>
        <v>1.5</v>
      </c>
    </row>
    <row r="5" spans="1:8" x14ac:dyDescent="0.25">
      <c r="A5" s="2" t="s">
        <v>70</v>
      </c>
      <c r="B5" s="5">
        <f ca="1">H13</f>
        <v>3</v>
      </c>
      <c r="C5" s="35">
        <f ca="1">((100/F2)*B5)/100</f>
        <v>1</v>
      </c>
      <c r="D5" s="40"/>
      <c r="E5" s="191"/>
      <c r="F5" s="192"/>
      <c r="G5" s="1" t="s">
        <v>71</v>
      </c>
      <c r="H5" s="42">
        <f ca="1">F2</f>
        <v>3</v>
      </c>
    </row>
    <row r="6" spans="1:8" x14ac:dyDescent="0.25">
      <c r="A6" s="2" t="s">
        <v>72</v>
      </c>
      <c r="B6" s="5">
        <v>4</v>
      </c>
      <c r="C6" s="35">
        <f ca="1">((100/(D2+E2+F2))*B6)/100</f>
        <v>1</v>
      </c>
      <c r="D6" s="40"/>
      <c r="E6" s="191"/>
      <c r="F6" s="192"/>
      <c r="G6" s="1" t="s">
        <v>73</v>
      </c>
      <c r="H6" s="43">
        <f ca="1">(IF(C2&gt;1,(F2/(C2+2)),F2/4))</f>
        <v>0.75</v>
      </c>
    </row>
    <row r="7" spans="1:8" x14ac:dyDescent="0.25">
      <c r="A7" s="2" t="s">
        <v>74</v>
      </c>
      <c r="B7" s="4">
        <v>3</v>
      </c>
      <c r="C7" s="35">
        <f ca="1">((100/F2)*B7)/100</f>
        <v>1</v>
      </c>
      <c r="D7" s="40"/>
      <c r="E7" s="191"/>
      <c r="F7" s="192"/>
      <c r="G7" s="1" t="s">
        <v>75</v>
      </c>
      <c r="H7" s="43">
        <f ca="1">(IF(C2&gt;1,(F2/(C2+2)+H6),F2/4+H6))</f>
        <v>1.5</v>
      </c>
    </row>
    <row r="8" spans="1:8" x14ac:dyDescent="0.25">
      <c r="A8" s="2" t="s">
        <v>76</v>
      </c>
      <c r="B8" s="4">
        <v>0</v>
      </c>
      <c r="C8" s="35">
        <f ca="1">((100/F2)*B8)/100</f>
        <v>0</v>
      </c>
      <c r="D8" s="38">
        <f ca="1">(((B5/F2*10)+(40/(D2+E2+F2)*B6)+(15/(F2)*B7)+(5/(F2)*B8)+(5/F2*B9)+(10/F2*B10)+(5/F2*B11)+(5/F2*B12)+(5/F2*B13))/100)</f>
        <v>0.65</v>
      </c>
      <c r="E8" s="191"/>
      <c r="F8" s="192"/>
      <c r="G8" s="1" t="s">
        <v>77</v>
      </c>
      <c r="H8" s="43">
        <f>(IF(C2&gt;1,(F2/(C2+2)+H7),0))</f>
        <v>0</v>
      </c>
    </row>
    <row r="9" spans="1:8" x14ac:dyDescent="0.25">
      <c r="A9" s="2" t="s">
        <v>78</v>
      </c>
      <c r="B9" s="4">
        <v>0</v>
      </c>
      <c r="C9" s="35">
        <f ca="1">((100/(F2))*B9)/100</f>
        <v>0</v>
      </c>
      <c r="D9" s="40" t="str">
        <f ca="1">(IF(B4=0,"Work not yet Started.",IF(C4=25%,"Piling work in process",IF(C4=50%,"Excavation work in process",IF(C4=100%,"","0")))))&amp;(IF(B5=0%,"",IF(B5=H6,", Footing work is process",IF(B5=H7,", Footing work Completed",IF(B5=H8,", 1st Basement Completed",IF(B5=H9,", 1st &amp; 2nd Basement Completed",IF(B5=H10,", 1st to 3rd Basement Completed",IF(B5=H11,", 1st to 4th Basement Completed",IF(B5=H12,", Plinth work is process",IF(B5=H13,"","0"))))))))))</f>
        <v/>
      </c>
      <c r="E9" s="191"/>
      <c r="F9" s="192"/>
      <c r="G9" s="1" t="s">
        <v>79</v>
      </c>
      <c r="H9" s="43">
        <f>(IF(C2&gt;2,(F2/(C2+2)+H8),0))</f>
        <v>0</v>
      </c>
    </row>
    <row r="10" spans="1:8" x14ac:dyDescent="0.25">
      <c r="A10" s="2" t="s">
        <v>80</v>
      </c>
      <c r="B10" s="4">
        <v>0</v>
      </c>
      <c r="C10" s="35">
        <f ca="1">((100/F2)*B10)/100</f>
        <v>0</v>
      </c>
      <c r="D10" s="40" t="str">
        <f ca="1">IF(C4=100%,"Excavation","")&amp;IF(C5=100%,", Plinth","")&amp;IF(C6=100%,", RCC Slab","")&amp;IF(C7=100%,", Brickwork","")&amp;IF(C8=100%,", Internal Plaster","")&amp;IF(C9=100%,", External Plaster","")&amp;IF(C10=100%,", Flooring","")&amp;IF(C11=100%,", Painting","")&amp;IF(C12=100%,", Building common Amenities","")</f>
        <v>Excavation, Plinth, RCC Slab, Brickwork</v>
      </c>
      <c r="E10" s="191"/>
      <c r="F10" s="192"/>
      <c r="G10" s="1" t="s">
        <v>81</v>
      </c>
      <c r="H10" s="44">
        <f>(IF(C2&gt;3,(F2/(C2+2)+H9),0))</f>
        <v>0</v>
      </c>
    </row>
    <row r="11" spans="1:8" x14ac:dyDescent="0.25">
      <c r="A11" s="2" t="s">
        <v>82</v>
      </c>
      <c r="B11" s="4">
        <v>0</v>
      </c>
      <c r="C11" s="35">
        <f ca="1">((100/F2)*B11)/100</f>
        <v>0</v>
      </c>
      <c r="D11" s="40" t="str">
        <f ca="1">IF(D10&lt;&gt;""," Completed","")</f>
        <v xml:space="preserve"> Completed</v>
      </c>
      <c r="E11" s="191"/>
      <c r="F11" s="192"/>
      <c r="G11" s="1" t="s">
        <v>83</v>
      </c>
      <c r="H11" s="43">
        <f>(IF(C2&gt;4,(F2/(C2+2)+H10),0))</f>
        <v>0</v>
      </c>
    </row>
    <row r="12" spans="1:8" x14ac:dyDescent="0.25">
      <c r="A12" s="2" t="s">
        <v>84</v>
      </c>
      <c r="B12" s="4">
        <v>0</v>
      </c>
      <c r="C12" s="35">
        <f ca="1">((100/(F2))*B12)/100</f>
        <v>0</v>
      </c>
      <c r="D12" s="40" t="str">
        <f ca="1">(IF(B6=(D2+E2+F2),"",IF(B6&gt;0,", RCC upto "&amp;B6&amp;" Slab","")))&amp;(IF(B7=F2,"",IF(B7&gt;0,", Brickwork upto "&amp;B7&amp;" Floor","")))&amp;(IF(B8=F2,"",IF(B8&gt;0,", Internal Plaster upto "&amp;B8&amp;" Floor","")))&amp;(IF(B9=F2,"",IF(B9&gt;0,", External Plaster upto "&amp;B9&amp;" Floor","")))&amp;(IF(B10=F2,"",IF(B10&gt;0,", Flooring upto "&amp;B10&amp;" Floor","")))&amp;(IF(B11=F2,"",IF(B11&gt;0,", Painting upto "&amp;B11&amp;" Floor","")))&amp;(IF(B12=F2,"",IF(B12&gt;0,", Finishing upto "&amp;B12&amp;" Floor","")))&amp;(IF(B13=F2,"",IF(B13&gt;0,", Possession upto "&amp;B13&amp;" Floor","")))</f>
        <v/>
      </c>
      <c r="E12" s="191"/>
      <c r="F12" s="192"/>
      <c r="G12" s="1" t="s">
        <v>85</v>
      </c>
      <c r="H12" s="43">
        <f ca="1">(IF(C2=1,(F2/(C2+3)+H7),IF(C2=0,(F2/4+H7),IF(C2&gt;1,0))))</f>
        <v>2.25</v>
      </c>
    </row>
    <row r="13" spans="1:8" ht="15.75" thickBot="1" x14ac:dyDescent="0.3">
      <c r="A13" s="48" t="s">
        <v>86</v>
      </c>
      <c r="B13" s="49">
        <v>0</v>
      </c>
      <c r="C13" s="50">
        <f ca="1">((100/(F2))*B13)/100</f>
        <v>0</v>
      </c>
      <c r="D13" s="51" t="str">
        <f ca="1">IF(D12&lt;&gt;"","Completed","")</f>
        <v/>
      </c>
      <c r="E13" s="193"/>
      <c r="F13" s="194"/>
      <c r="G13" s="47" t="s">
        <v>87</v>
      </c>
      <c r="H13" s="45">
        <f ca="1">(IF(C2&gt;1.5,(F2/(C2+2)+H7+MAX(0,H8-H7)+MAX(0,H9-H8)+MAX(0,H10-H9)+MAX(0,H11-H10)+MAX(0,H12-H11)),IF(C2=1,(F2/(C2+3)+H12),IF(C2=0,F2/4+H12))))</f>
        <v>3</v>
      </c>
    </row>
    <row r="15" spans="1:8" x14ac:dyDescent="0.25">
      <c r="D15" s="88">
        <f>(10.26)*10.764</f>
        <v>110.43863999999999</v>
      </c>
    </row>
    <row r="16" spans="1:8" x14ac:dyDescent="0.25">
      <c r="D16" s="88">
        <f>(10.44)*10.764</f>
        <v>112.37615999999998</v>
      </c>
    </row>
    <row r="17" spans="4:4" x14ac:dyDescent="0.25">
      <c r="D17" s="88">
        <f>(11.26)*10.764</f>
        <v>121.20263999999999</v>
      </c>
    </row>
    <row r="18" spans="4:4" x14ac:dyDescent="0.25">
      <c r="D18" s="88">
        <f>(11.16)*10.764</f>
        <v>120.12624</v>
      </c>
    </row>
    <row r="19" spans="4:4" x14ac:dyDescent="0.25">
      <c r="D19" s="88">
        <f>(13.44)*10.764</f>
        <v>144.66815999999997</v>
      </c>
    </row>
    <row r="20" spans="4:4" x14ac:dyDescent="0.25">
      <c r="D20" s="88">
        <f>(13.438)*10.764</f>
        <v>144.64663200000001</v>
      </c>
    </row>
    <row r="21" spans="4:4" x14ac:dyDescent="0.25">
      <c r="D21" s="88">
        <f>(10.44)*10.764</f>
        <v>112.37615999999998</v>
      </c>
    </row>
    <row r="22" spans="4:4" x14ac:dyDescent="0.25">
      <c r="D22" s="88">
        <f>(10.25)*10.764</f>
        <v>110.33099999999999</v>
      </c>
    </row>
  </sheetData>
  <mergeCells count="3">
    <mergeCell ref="A1:B2"/>
    <mergeCell ref="E3:F3"/>
    <mergeCell ref="E4:F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vt:lpstr>
      <vt:lpstr>C%</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MANGESH AMDEKAR</dc:creator>
  <cp:lastModifiedBy>madhurapanchal77@gmail.com</cp:lastModifiedBy>
  <cp:lastPrinted>2025-04-02T12:40:03Z</cp:lastPrinted>
  <dcterms:created xsi:type="dcterms:W3CDTF">2019-01-21T04:29:02Z</dcterms:created>
  <dcterms:modified xsi:type="dcterms:W3CDTF">2025-04-02T12:43:56Z</dcterms:modified>
</cp:coreProperties>
</file>