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Oct 2025\01-10-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Report!$A$1:$H$480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9" i="1" l="1"/>
  <c r="I115" i="1" l="1"/>
  <c r="K115" i="1" s="1"/>
  <c r="D295" i="1"/>
  <c r="D294" i="1"/>
  <c r="D293" i="1"/>
  <c r="D292" i="1"/>
  <c r="D284" i="1"/>
  <c r="D283" i="1"/>
  <c r="D282" i="1"/>
  <c r="D281" i="1"/>
  <c r="D290" i="1"/>
  <c r="D289" i="1"/>
  <c r="D288" i="1"/>
  <c r="D287" i="1"/>
  <c r="D286" i="1"/>
  <c r="D279" i="1"/>
  <c r="D278" i="1"/>
  <c r="D277" i="1"/>
  <c r="D276" i="1"/>
  <c r="D275" i="1"/>
  <c r="D273" i="1"/>
  <c r="D272" i="1"/>
  <c r="D271" i="1"/>
  <c r="D270" i="1"/>
  <c r="D268" i="1"/>
  <c r="D267" i="1"/>
  <c r="D266" i="1"/>
  <c r="D265" i="1"/>
  <c r="D264" i="1"/>
  <c r="D262" i="1"/>
  <c r="D261" i="1"/>
  <c r="D259" i="1"/>
  <c r="D257" i="1"/>
  <c r="D256" i="1"/>
  <c r="D255" i="1"/>
  <c r="D254" i="1"/>
  <c r="D253" i="1"/>
  <c r="D251" i="1"/>
  <c r="D250" i="1"/>
  <c r="D249" i="1"/>
  <c r="D248" i="1"/>
  <c r="D246" i="1"/>
  <c r="D245" i="1"/>
  <c r="D244" i="1"/>
  <c r="D243" i="1"/>
  <c r="D242" i="1"/>
  <c r="D240" i="1"/>
  <c r="D239" i="1"/>
  <c r="D238" i="1"/>
  <c r="D237" i="1"/>
  <c r="D235" i="1"/>
  <c r="D234" i="1"/>
  <c r="D233" i="1"/>
  <c r="D232" i="1"/>
  <c r="D231" i="1"/>
  <c r="D229" i="1"/>
  <c r="D228" i="1"/>
  <c r="D227" i="1"/>
  <c r="D226" i="1"/>
  <c r="D223" i="1"/>
  <c r="D222" i="1"/>
  <c r="D224" i="1"/>
  <c r="D221" i="1"/>
  <c r="D220" i="1"/>
  <c r="D214" i="1"/>
  <c r="D175" i="1"/>
  <c r="D218" i="1"/>
  <c r="D217" i="1"/>
  <c r="D216" i="1"/>
  <c r="D212" i="1"/>
  <c r="D211" i="1"/>
  <c r="D210" i="1"/>
  <c r="D209" i="1"/>
  <c r="D208" i="1"/>
  <c r="D207" i="1"/>
  <c r="D205" i="1"/>
  <c r="D204" i="1"/>
  <c r="D203" i="1"/>
  <c r="D202" i="1"/>
  <c r="D201" i="1"/>
  <c r="D199" i="1"/>
  <c r="D198" i="1"/>
  <c r="D197" i="1"/>
  <c r="D196" i="1"/>
  <c r="D195" i="1"/>
  <c r="D194" i="1"/>
  <c r="D192" i="1"/>
  <c r="D191" i="1"/>
  <c r="D190" i="1"/>
  <c r="D189" i="1"/>
  <c r="D188" i="1"/>
  <c r="D186" i="1"/>
  <c r="D185" i="1"/>
  <c r="D184" i="1"/>
  <c r="D183" i="1"/>
  <c r="D182" i="1"/>
  <c r="D181" i="1"/>
  <c r="D179" i="1"/>
  <c r="D178" i="1"/>
  <c r="D177" i="1"/>
  <c r="D173" i="1"/>
  <c r="D172" i="1"/>
  <c r="D171" i="1"/>
  <c r="D170" i="1"/>
  <c r="D169" i="1"/>
  <c r="D168" i="1"/>
  <c r="D166" i="1"/>
  <c r="D165" i="1"/>
  <c r="D164" i="1"/>
  <c r="D163" i="1"/>
  <c r="D162" i="1"/>
  <c r="G152" i="1"/>
  <c r="D160" i="1"/>
  <c r="D159" i="1"/>
  <c r="D158" i="1"/>
  <c r="D157" i="1"/>
  <c r="D156" i="1"/>
  <c r="D155" i="1"/>
  <c r="D147" i="1"/>
  <c r="D142" i="1"/>
  <c r="D153" i="1"/>
  <c r="D152" i="1"/>
  <c r="D151" i="1"/>
  <c r="D150" i="1"/>
  <c r="D149" i="1"/>
  <c r="D146" i="1"/>
  <c r="D144" i="1"/>
  <c r="D145" i="1"/>
  <c r="D143" i="1"/>
  <c r="D131" i="1"/>
  <c r="G142" i="1"/>
  <c r="D135" i="1" l="1"/>
  <c r="C118" i="1" l="1"/>
  <c r="C117" i="1"/>
  <c r="C116" i="1"/>
  <c r="G151" i="1"/>
  <c r="G150" i="1"/>
  <c r="G149" i="1"/>
  <c r="G147" i="1"/>
  <c r="G146" i="1"/>
  <c r="G145" i="1"/>
  <c r="G144" i="1"/>
  <c r="G143" i="1"/>
  <c r="G224" i="1"/>
  <c r="G223" i="1"/>
  <c r="G222" i="1"/>
  <c r="G221" i="1"/>
  <c r="G220" i="1"/>
  <c r="G250" i="1"/>
  <c r="G249" i="1"/>
  <c r="G248" i="1"/>
  <c r="G246" i="1"/>
  <c r="G245" i="1"/>
  <c r="G244" i="1"/>
  <c r="G243" i="1"/>
  <c r="G242" i="1"/>
  <c r="G229" i="1"/>
  <c r="G228" i="1"/>
  <c r="G227" i="1"/>
  <c r="G226" i="1"/>
  <c r="K224" i="1"/>
  <c r="F295" i="1"/>
  <c r="H295" i="1" s="1"/>
  <c r="F294" i="1"/>
  <c r="H294" i="1" s="1"/>
  <c r="F293" i="1"/>
  <c r="H293" i="1" s="1"/>
  <c r="F292" i="1"/>
  <c r="H292" i="1" s="1"/>
  <c r="F290" i="1"/>
  <c r="H290" i="1" s="1"/>
  <c r="F289" i="1"/>
  <c r="H289" i="1" s="1"/>
  <c r="F288" i="1"/>
  <c r="H288" i="1" s="1"/>
  <c r="F287" i="1"/>
  <c r="H287" i="1" s="1"/>
  <c r="A287" i="1"/>
  <c r="A288" i="1" s="1"/>
  <c r="A289" i="1" s="1"/>
  <c r="A290" i="1" s="1"/>
  <c r="A291" i="1" s="1"/>
  <c r="A292" i="1" s="1"/>
  <c r="A293" i="1" s="1"/>
  <c r="A294" i="1" s="1"/>
  <c r="A295" i="1" s="1"/>
  <c r="F286" i="1"/>
  <c r="H286" i="1" s="1"/>
  <c r="F284" i="1"/>
  <c r="H284" i="1" s="1"/>
  <c r="F283" i="1"/>
  <c r="H283" i="1" s="1"/>
  <c r="F282" i="1"/>
  <c r="H282" i="1" s="1"/>
  <c r="F281" i="1"/>
  <c r="H281" i="1" s="1"/>
  <c r="F279" i="1"/>
  <c r="H279" i="1" s="1"/>
  <c r="F278" i="1"/>
  <c r="H278" i="1" s="1"/>
  <c r="F277" i="1"/>
  <c r="H277" i="1" s="1"/>
  <c r="F276" i="1"/>
  <c r="H276" i="1" s="1"/>
  <c r="A276" i="1"/>
  <c r="A277" i="1" s="1"/>
  <c r="A278" i="1" s="1"/>
  <c r="A279" i="1" s="1"/>
  <c r="A280" i="1" s="1"/>
  <c r="A281" i="1" s="1"/>
  <c r="A282" i="1" s="1"/>
  <c r="A283" i="1" s="1"/>
  <c r="A284" i="1" s="1"/>
  <c r="F275" i="1"/>
  <c r="H275" i="1" s="1"/>
  <c r="F273" i="1"/>
  <c r="H273" i="1" s="1"/>
  <c r="F272" i="1"/>
  <c r="H272" i="1" s="1"/>
  <c r="F271" i="1"/>
  <c r="H271" i="1" s="1"/>
  <c r="F270" i="1"/>
  <c r="H270" i="1" s="1"/>
  <c r="F268" i="1"/>
  <c r="H268" i="1" s="1"/>
  <c r="F267" i="1"/>
  <c r="H267" i="1" s="1"/>
  <c r="F266" i="1"/>
  <c r="H266" i="1" s="1"/>
  <c r="F265" i="1"/>
  <c r="H265" i="1" s="1"/>
  <c r="A265" i="1"/>
  <c r="A266" i="1" s="1"/>
  <c r="A267" i="1" s="1"/>
  <c r="A268" i="1" s="1"/>
  <c r="A269" i="1" s="1"/>
  <c r="A270" i="1" s="1"/>
  <c r="A271" i="1" s="1"/>
  <c r="A272" i="1" s="1"/>
  <c r="A273" i="1" s="1"/>
  <c r="F264" i="1"/>
  <c r="H264" i="1" s="1"/>
  <c r="F262" i="1"/>
  <c r="H262" i="1" s="1"/>
  <c r="F261" i="1"/>
  <c r="H261" i="1" s="1"/>
  <c r="F259" i="1"/>
  <c r="H259" i="1" s="1"/>
  <c r="F257" i="1"/>
  <c r="F256" i="1"/>
  <c r="H256" i="1" s="1"/>
  <c r="F255" i="1"/>
  <c r="H255" i="1" s="1"/>
  <c r="F254" i="1"/>
  <c r="A254" i="1"/>
  <c r="A255" i="1" s="1"/>
  <c r="A256" i="1" s="1"/>
  <c r="A257" i="1" s="1"/>
  <c r="A258" i="1" s="1"/>
  <c r="A259" i="1" s="1"/>
  <c r="A260" i="1" s="1"/>
  <c r="A261" i="1" s="1"/>
  <c r="A262" i="1" s="1"/>
  <c r="F253" i="1"/>
  <c r="H253" i="1" s="1"/>
  <c r="F242" i="1"/>
  <c r="F251" i="1"/>
  <c r="H251" i="1" s="1"/>
  <c r="F250" i="1"/>
  <c r="F249" i="1"/>
  <c r="F248" i="1"/>
  <c r="F246" i="1"/>
  <c r="F245" i="1"/>
  <c r="H245" i="1" s="1"/>
  <c r="F244" i="1"/>
  <c r="F243" i="1"/>
  <c r="A243" i="1"/>
  <c r="A244" i="1" s="1"/>
  <c r="A245" i="1" s="1"/>
  <c r="A246" i="1" s="1"/>
  <c r="A247" i="1" s="1"/>
  <c r="A248" i="1" s="1"/>
  <c r="A249" i="1" s="1"/>
  <c r="A250" i="1" s="1"/>
  <c r="A251" i="1" s="1"/>
  <c r="F235" i="1"/>
  <c r="H235" i="1" s="1"/>
  <c r="F233" i="1"/>
  <c r="H233" i="1" s="1"/>
  <c r="F234" i="1"/>
  <c r="H234" i="1" s="1"/>
  <c r="F195" i="1"/>
  <c r="H195" i="1" s="1"/>
  <c r="F221" i="1"/>
  <c r="F232" i="1"/>
  <c r="H232" i="1" s="1"/>
  <c r="F240" i="1"/>
  <c r="H240" i="1" s="1"/>
  <c r="F239" i="1"/>
  <c r="H239" i="1" s="1"/>
  <c r="F238" i="1"/>
  <c r="H238" i="1" s="1"/>
  <c r="F237" i="1"/>
  <c r="H237" i="1" s="1"/>
  <c r="A232" i="1"/>
  <c r="A233" i="1" s="1"/>
  <c r="A234" i="1" s="1"/>
  <c r="A235" i="1" s="1"/>
  <c r="A236" i="1" s="1"/>
  <c r="A237" i="1" s="1"/>
  <c r="A238" i="1" s="1"/>
  <c r="A239" i="1" s="1"/>
  <c r="A240" i="1" s="1"/>
  <c r="F231" i="1"/>
  <c r="H231" i="1" s="1"/>
  <c r="F228" i="1"/>
  <c r="F229" i="1"/>
  <c r="F227" i="1"/>
  <c r="F226" i="1"/>
  <c r="F220" i="1"/>
  <c r="F224" i="1"/>
  <c r="F223" i="1"/>
  <c r="F222" i="1"/>
  <c r="A221" i="1"/>
  <c r="A222" i="1" s="1"/>
  <c r="A223" i="1" s="1"/>
  <c r="A224" i="1" s="1"/>
  <c r="A225" i="1" s="1"/>
  <c r="A226" i="1" s="1"/>
  <c r="A227" i="1" s="1"/>
  <c r="A228" i="1" s="1"/>
  <c r="A229" i="1" s="1"/>
  <c r="F218" i="1"/>
  <c r="H218" i="1" s="1"/>
  <c r="F217" i="1"/>
  <c r="H217" i="1" s="1"/>
  <c r="I217" i="1" s="1"/>
  <c r="A217" i="1"/>
  <c r="A218" i="1" s="1"/>
  <c r="F216" i="1"/>
  <c r="H216" i="1" s="1"/>
  <c r="F214" i="1"/>
  <c r="H214" i="1" s="1"/>
  <c r="F212" i="1"/>
  <c r="H212" i="1" s="1"/>
  <c r="F211" i="1"/>
  <c r="H211" i="1" s="1"/>
  <c r="F210" i="1"/>
  <c r="H210" i="1" s="1"/>
  <c r="F209" i="1"/>
  <c r="H209" i="1" s="1"/>
  <c r="F208" i="1"/>
  <c r="H208" i="1" s="1"/>
  <c r="A208" i="1"/>
  <c r="A209" i="1" s="1"/>
  <c r="A210" i="1" s="1"/>
  <c r="A211" i="1" s="1"/>
  <c r="A212" i="1" s="1"/>
  <c r="A213" i="1" s="1"/>
  <c r="A214" i="1" s="1"/>
  <c r="F207" i="1"/>
  <c r="H207" i="1" s="1"/>
  <c r="F205" i="1"/>
  <c r="H205" i="1" s="1"/>
  <c r="F204" i="1"/>
  <c r="H204" i="1" s="1"/>
  <c r="F203" i="1"/>
  <c r="H203" i="1" s="1"/>
  <c r="F202" i="1"/>
  <c r="H202" i="1" s="1"/>
  <c r="F201" i="1"/>
  <c r="H201" i="1" s="1"/>
  <c r="F199" i="1"/>
  <c r="H199" i="1" s="1"/>
  <c r="F198" i="1"/>
  <c r="H198" i="1" s="1"/>
  <c r="F197" i="1"/>
  <c r="H197" i="1" s="1"/>
  <c r="F196" i="1"/>
  <c r="H196" i="1" s="1"/>
  <c r="A195" i="1"/>
  <c r="A196" i="1" s="1"/>
  <c r="A197" i="1" s="1"/>
  <c r="A198" i="1" s="1"/>
  <c r="A199" i="1" s="1"/>
  <c r="A200" i="1" s="1"/>
  <c r="A201" i="1" s="1"/>
  <c r="A202" i="1" s="1"/>
  <c r="A203" i="1" s="1"/>
  <c r="A204" i="1" s="1"/>
  <c r="A205" i="1" s="1"/>
  <c r="F194" i="1"/>
  <c r="H194" i="1" s="1"/>
  <c r="F177" i="1"/>
  <c r="H177" i="1" s="1"/>
  <c r="A178" i="1"/>
  <c r="G117" i="1" l="1"/>
  <c r="G118" i="1"/>
  <c r="E118" i="1"/>
  <c r="E117" i="1"/>
  <c r="H226" i="1"/>
  <c r="H248" i="1"/>
  <c r="H250" i="1"/>
  <c r="H246" i="1"/>
  <c r="H249" i="1"/>
  <c r="H244" i="1"/>
  <c r="H254" i="1"/>
  <c r="H257" i="1"/>
  <c r="H223" i="1"/>
  <c r="H242" i="1"/>
  <c r="H243" i="1"/>
  <c r="H227" i="1"/>
  <c r="H229" i="1"/>
  <c r="H228" i="1"/>
  <c r="H222" i="1"/>
  <c r="H221" i="1"/>
  <c r="H224" i="1"/>
  <c r="H220" i="1"/>
  <c r="I164" i="1"/>
  <c r="D133" i="1"/>
  <c r="D132" i="1"/>
  <c r="G51" i="1" l="1"/>
  <c r="I51" i="1"/>
  <c r="F112" i="1" l="1"/>
  <c r="C16" i="1" l="1"/>
  <c r="F192" i="1" l="1"/>
  <c r="H192" i="1" s="1"/>
  <c r="F190" i="1"/>
  <c r="H190" i="1" s="1"/>
  <c r="F189" i="1"/>
  <c r="H189" i="1" s="1"/>
  <c r="F188" i="1"/>
  <c r="H188" i="1" s="1"/>
  <c r="F186" i="1"/>
  <c r="H186" i="1" s="1"/>
  <c r="F185" i="1"/>
  <c r="H185" i="1" s="1"/>
  <c r="F184" i="1"/>
  <c r="H184" i="1" s="1"/>
  <c r="F181" i="1"/>
  <c r="H181" i="1" s="1"/>
  <c r="F179" i="1"/>
  <c r="H179" i="1" s="1"/>
  <c r="F175" i="1"/>
  <c r="H175" i="1" s="1"/>
  <c r="F173" i="1"/>
  <c r="H173" i="1" s="1"/>
  <c r="F172" i="1"/>
  <c r="H172" i="1" s="1"/>
  <c r="F171" i="1"/>
  <c r="H171" i="1" s="1"/>
  <c r="F170" i="1"/>
  <c r="H170" i="1" s="1"/>
  <c r="F169" i="1"/>
  <c r="H169" i="1" s="1"/>
  <c r="F166" i="1"/>
  <c r="H166" i="1" s="1"/>
  <c r="F165" i="1"/>
  <c r="H165" i="1" s="1"/>
  <c r="F162" i="1"/>
  <c r="H162" i="1" s="1"/>
  <c r="F160" i="1"/>
  <c r="H160" i="1" s="1"/>
  <c r="F159" i="1"/>
  <c r="H159" i="1" s="1"/>
  <c r="F158" i="1"/>
  <c r="H158" i="1" s="1"/>
  <c r="F157" i="1"/>
  <c r="H157" i="1" s="1"/>
  <c r="F156" i="1"/>
  <c r="H156" i="1" s="1"/>
  <c r="F155" i="1"/>
  <c r="H155" i="1" s="1"/>
  <c r="F153" i="1"/>
  <c r="H153" i="1" s="1"/>
  <c r="F152" i="1"/>
  <c r="H152" i="1" s="1"/>
  <c r="F149" i="1"/>
  <c r="H149" i="1" s="1"/>
  <c r="F146" i="1"/>
  <c r="H146" i="1" s="1"/>
  <c r="F145" i="1"/>
  <c r="H145" i="1" s="1"/>
  <c r="F143" i="1"/>
  <c r="F142" i="1"/>
  <c r="H142" i="1" s="1"/>
  <c r="D139" i="1"/>
  <c r="F139" i="1" s="1"/>
  <c r="H139" i="1" s="1"/>
  <c r="D138" i="1"/>
  <c r="F138" i="1" s="1"/>
  <c r="H138" i="1" s="1"/>
  <c r="D137" i="1"/>
  <c r="F137" i="1" s="1"/>
  <c r="H137" i="1" s="1"/>
  <c r="D136" i="1"/>
  <c r="F135" i="1"/>
  <c r="F133" i="1"/>
  <c r="H133" i="1" s="1"/>
  <c r="K129" i="1"/>
  <c r="F191" i="1"/>
  <c r="H191" i="1" s="1"/>
  <c r="F183" i="1"/>
  <c r="H183" i="1" s="1"/>
  <c r="F182" i="1"/>
  <c r="H182" i="1" s="1"/>
  <c r="A182" i="1"/>
  <c r="A183" i="1" s="1"/>
  <c r="A184" i="1" s="1"/>
  <c r="A185" i="1" s="1"/>
  <c r="A186" i="1" s="1"/>
  <c r="A187" i="1" s="1"/>
  <c r="A188" i="1" s="1"/>
  <c r="A189" i="1" s="1"/>
  <c r="A190" i="1" s="1"/>
  <c r="A191" i="1" s="1"/>
  <c r="A192" i="1" s="1"/>
  <c r="F178" i="1"/>
  <c r="H178" i="1" s="1"/>
  <c r="A169" i="1"/>
  <c r="A170" i="1" s="1"/>
  <c r="A171" i="1" s="1"/>
  <c r="A172" i="1" s="1"/>
  <c r="A173" i="1" s="1"/>
  <c r="A174" i="1" s="1"/>
  <c r="A175" i="1" s="1"/>
  <c r="A179" i="1" s="1"/>
  <c r="F168" i="1"/>
  <c r="H168" i="1" s="1"/>
  <c r="J168" i="1" s="1"/>
  <c r="F164" i="1"/>
  <c r="H164" i="1" s="1"/>
  <c r="F163" i="1"/>
  <c r="H163" i="1" s="1"/>
  <c r="A156" i="1"/>
  <c r="A157" i="1" s="1"/>
  <c r="A158" i="1" s="1"/>
  <c r="A159" i="1" s="1"/>
  <c r="A160" i="1" s="1"/>
  <c r="A161" i="1" s="1"/>
  <c r="A162" i="1" s="1"/>
  <c r="A163" i="1" s="1"/>
  <c r="A164" i="1" s="1"/>
  <c r="A165" i="1" s="1"/>
  <c r="A166" i="1" s="1"/>
  <c r="F150" i="1"/>
  <c r="H150" i="1" s="1"/>
  <c r="F147" i="1"/>
  <c r="H147" i="1" s="1"/>
  <c r="F151" i="1"/>
  <c r="H151" i="1" s="1"/>
  <c r="F144" i="1"/>
  <c r="H144" i="1" s="1"/>
  <c r="A143" i="1"/>
  <c r="A144" i="1" s="1"/>
  <c r="A145" i="1" s="1"/>
  <c r="A146" i="1" s="1"/>
  <c r="A147" i="1" s="1"/>
  <c r="A148" i="1" s="1"/>
  <c r="A149" i="1" s="1"/>
  <c r="A150" i="1" s="1"/>
  <c r="A151" i="1" s="1"/>
  <c r="A152" i="1" s="1"/>
  <c r="A153" i="1" s="1"/>
  <c r="F132" i="1"/>
  <c r="H132" i="1" s="1"/>
  <c r="A132" i="1"/>
  <c r="A133" i="1" s="1"/>
  <c r="A134" i="1" s="1"/>
  <c r="A135" i="1" s="1"/>
  <c r="A136" i="1" s="1"/>
  <c r="A137" i="1" s="1"/>
  <c r="A138" i="1" s="1"/>
  <c r="A139" i="1" s="1"/>
  <c r="C115" i="1" l="1"/>
  <c r="F136" i="1"/>
  <c r="H136" i="1" s="1"/>
  <c r="H143" i="1"/>
  <c r="G116" i="1" s="1"/>
  <c r="E116" i="1"/>
  <c r="H135" i="1"/>
  <c r="F131" i="1"/>
  <c r="H131" i="1" s="1"/>
  <c r="C87" i="1"/>
  <c r="G115" i="1" l="1"/>
  <c r="G119" i="1" s="1"/>
  <c r="E115" i="1"/>
  <c r="C119" i="1"/>
  <c r="E119" i="1"/>
  <c r="F297" i="1"/>
  <c r="H297" i="1" s="1"/>
  <c r="E31" i="1" l="1"/>
  <c r="E26" i="1"/>
  <c r="F305" i="1" l="1"/>
  <c r="H305" i="1" s="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s="1"/>
  <c r="I42" i="7" l="1"/>
  <c r="H42" i="7" s="1"/>
  <c r="L42" i="7"/>
  <c r="K42" i="7" s="1"/>
  <c r="D42" i="7"/>
  <c r="D44" i="7" s="1"/>
  <c r="E44" i="7"/>
  <c r="B335" i="1" l="1"/>
  <c r="F298" i="1" l="1"/>
  <c r="H298" i="1" s="1"/>
  <c r="F299" i="1"/>
  <c r="H299" i="1" s="1"/>
  <c r="F300" i="1"/>
  <c r="H300" i="1" s="1"/>
  <c r="G58" i="1" l="1"/>
  <c r="C58" i="1"/>
  <c r="G56" i="1"/>
  <c r="S33" i="1" l="1"/>
  <c r="F11" i="5" l="1"/>
  <c r="G11" i="5" s="1"/>
  <c r="F10" i="5"/>
  <c r="G10" i="5" s="1"/>
  <c r="F9" i="5"/>
  <c r="G9" i="5" s="1"/>
  <c r="F8" i="5"/>
  <c r="G8" i="5" s="1"/>
  <c r="F7" i="5"/>
  <c r="G7" i="5" s="1"/>
  <c r="F6" i="5"/>
  <c r="G6" i="5" s="1"/>
  <c r="F5" i="5"/>
  <c r="G5" i="5" s="1"/>
  <c r="G12" i="5" s="1"/>
  <c r="D357" i="1"/>
  <c r="B336" i="1"/>
  <c r="F332" i="1"/>
  <c r="H332" i="1" s="1"/>
  <c r="F331" i="1"/>
  <c r="H331" i="1" s="1"/>
  <c r="F330" i="1"/>
  <c r="H330" i="1" s="1"/>
  <c r="F329" i="1"/>
  <c r="H329" i="1" s="1"/>
  <c r="F328" i="1"/>
  <c r="H328" i="1" s="1"/>
  <c r="F326" i="1"/>
  <c r="H326" i="1" s="1"/>
  <c r="F325" i="1"/>
  <c r="H325" i="1" s="1"/>
  <c r="F324" i="1"/>
  <c r="H324" i="1" s="1"/>
  <c r="F323" i="1"/>
  <c r="H323" i="1" s="1"/>
  <c r="F322" i="1"/>
  <c r="H322" i="1" s="1"/>
  <c r="F320" i="1"/>
  <c r="H320" i="1" s="1"/>
  <c r="F319" i="1"/>
  <c r="H319" i="1" s="1"/>
  <c r="F318" i="1"/>
  <c r="H318" i="1" s="1"/>
  <c r="F317" i="1"/>
  <c r="H317" i="1" s="1"/>
  <c r="F316" i="1"/>
  <c r="H316" i="1" s="1"/>
  <c r="F314" i="1"/>
  <c r="H314" i="1" s="1"/>
  <c r="F313" i="1"/>
  <c r="H313" i="1" s="1"/>
  <c r="F312" i="1"/>
  <c r="H312" i="1" s="1"/>
  <c r="F311" i="1"/>
  <c r="H311" i="1" s="1"/>
  <c r="F310" i="1"/>
  <c r="H310" i="1" s="1"/>
  <c r="A310" i="1"/>
  <c r="A311" i="1" s="1"/>
  <c r="A312" i="1" s="1"/>
  <c r="A313" i="1" s="1"/>
  <c r="A314" i="1" s="1"/>
  <c r="F308" i="1"/>
  <c r="H308" i="1" s="1"/>
  <c r="F307" i="1"/>
  <c r="H307" i="1" s="1"/>
  <c r="F306" i="1"/>
  <c r="H306" i="1" s="1"/>
  <c r="A306" i="1"/>
  <c r="A307" i="1" s="1"/>
  <c r="A308" i="1" s="1"/>
  <c r="A298" i="1"/>
  <c r="A299" i="1" s="1"/>
  <c r="A300" i="1" s="1"/>
  <c r="G125" i="1"/>
  <c r="E125" i="1"/>
  <c r="C125" i="1"/>
  <c r="C73" i="1"/>
  <c r="B74" i="1" s="1"/>
  <c r="D62" i="1"/>
  <c r="G52" i="1"/>
  <c r="E44" i="1"/>
  <c r="E45" i="1" s="1"/>
  <c r="E28" i="1"/>
  <c r="I15" i="1"/>
  <c r="Z13" i="1"/>
  <c r="E8" i="1"/>
  <c r="E3" i="1"/>
  <c r="D67" i="1" s="1"/>
  <c r="H74" i="1"/>
  <c r="A328" i="1"/>
  <c r="A322" i="1"/>
  <c r="A316" i="1"/>
  <c r="J73" i="1" l="1"/>
  <c r="J75" i="1" s="1"/>
  <c r="J76" i="1"/>
  <c r="J77" i="1"/>
  <c r="J78" i="1"/>
  <c r="C77" i="1" s="1"/>
  <c r="D81" i="1"/>
  <c r="D83" i="1"/>
  <c r="D82" i="1"/>
  <c r="D86" i="1"/>
  <c r="D80" i="1"/>
  <c r="D85" i="1"/>
  <c r="D79" i="1"/>
  <c r="D84" i="1"/>
  <c r="J79" i="1"/>
  <c r="A323" i="1"/>
  <c r="A317" i="1"/>
  <c r="A329" i="1"/>
  <c r="D77" i="1" l="1"/>
  <c r="J83" i="1"/>
  <c r="J81" i="1"/>
  <c r="J82" i="1"/>
  <c r="J80" i="1"/>
  <c r="J85" i="1" s="1"/>
  <c r="J86" i="1" s="1"/>
  <c r="C78" i="1" s="1"/>
  <c r="J84" i="1"/>
  <c r="A330" i="1"/>
  <c r="A318" i="1"/>
  <c r="A324" i="1"/>
  <c r="B88" i="1" l="1"/>
  <c r="J74" i="1"/>
  <c r="E77" i="1"/>
  <c r="D78" i="1"/>
  <c r="G77" i="1"/>
  <c r="D71" i="1" s="1"/>
  <c r="A331" i="1"/>
  <c r="H88" i="1"/>
  <c r="A319" i="1"/>
  <c r="A325" i="1"/>
  <c r="I74" i="1" l="1"/>
  <c r="I75" i="1" s="1"/>
  <c r="I73" i="1" s="1"/>
  <c r="C75" i="1" s="1"/>
  <c r="J90" i="1"/>
  <c r="D100" i="1"/>
  <c r="D94" i="1"/>
  <c r="J92" i="1"/>
  <c r="C91" i="1" s="1"/>
  <c r="D98" i="1"/>
  <c r="J87" i="1"/>
  <c r="J89" i="1" s="1"/>
  <c r="D95" i="1"/>
  <c r="D99" i="1"/>
  <c r="D93" i="1"/>
  <c r="D97" i="1"/>
  <c r="J91" i="1"/>
  <c r="D96" i="1"/>
  <c r="J93" i="1"/>
  <c r="J94" i="1" s="1"/>
  <c r="J99" i="1" s="1"/>
  <c r="J100" i="1" s="1"/>
  <c r="C92" i="1" s="1"/>
  <c r="J98" i="1"/>
  <c r="J97" i="1"/>
  <c r="J96" i="1"/>
  <c r="J95" i="1"/>
  <c r="F72" i="1"/>
  <c r="D72" i="1"/>
  <c r="A326" i="1"/>
  <c r="A320" i="1"/>
  <c r="A332" i="1"/>
  <c r="E91" i="1" l="1"/>
  <c r="D92" i="1"/>
  <c r="G91" i="1"/>
  <c r="D91" i="1"/>
  <c r="I88" i="1" l="1"/>
  <c r="I89" i="1" s="1"/>
  <c r="J88" i="1"/>
  <c r="I87" i="1" l="1"/>
  <c r="C89"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5"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303"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<sst xmlns="http://schemas.openxmlformats.org/spreadsheetml/2006/main" count="796" uniqueCount="398">
  <si>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</si>
  <si>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</si>
  <si>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</si>
  <si>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</si>
  <si>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</si>
  <si>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</si>
  <si>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</si>
  <si>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</si>
  <si>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</si>
  <si>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</si>
  <si>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</si>
  <si>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</si>
  <si>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</si>
  <si>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</si>
  <si>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</si>
  <si>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</si>
  <si>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</si>
  <si>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</si>
  <si>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</si>
  <si>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</si>
  <si>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</si>
  <si>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</si>
  <si>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</si>
  <si>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</si>
  <si>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</si>
  <si>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</si>
  <si>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</si>
  <si>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</si>
  <si>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</si>
  <si>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</si>
  <si>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</si>
  <si>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</si>
  <si>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</si>
  <si>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</si>
  <si>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</si>
  <si>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</si>
  <si>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</si>
  <si>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</si>
  <si>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</si>
  <si>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</si>
  <si>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</si>
  <si>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</si>
  <si>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</si>
  <si>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</si>
  <si>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</si>
  <si>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</si>
  <si>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</si>
  <si>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</si>
  <si>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</si>
  <si>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</si>
  <si>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</si>
  <si>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</si>
  <si>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</si>
  <si>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</si>
  <si>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</si>
  <si>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</si>
  <si>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</si>
  <si>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</si>
  <si>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</si>
  <si>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</si>
  <si>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</si>
  <si>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</si>
  <si>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</si>
  <si>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</si>
  <si>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</si>
  <si>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</si>
  <si>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</si>
  <si>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</si>
  <si>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</si>
  <si>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</si>
  <si>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</si>
  <si>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</si>
  <si>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</si>
  <si>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</si>
  <si>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</si>
  <si>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</si>
  <si>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</si>
  <si>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</si>
  <si>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</si>
  <si>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</si>
  <si>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</si>
  <si>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</si>
  <si>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</si>
  <si>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</si>
  <si>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</si>
  <si>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</si>
  <si>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</si>
  <si>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</si>
  <si>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</si>
  <si>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</si>
  <si>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</si>
  <si>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</si>
  <si>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</si>
  <si>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</si>
  <si>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</si>
  <si>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</si>
  <si>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</si>
  <si>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</si>
  <si>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</si>
  <si>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</si>
  <si>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</si>
  <si>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</si>
  <si>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</si>
  <si>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</si>
  <si>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</si>
  <si>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</si>
  <si>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</si>
  <si>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</si>
  <si>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</si>
  <si>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</si>
  <si>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</si>
  <si>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</si>
  <si>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</si>
  <si>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</si>
  <si>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</si>
  <si>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</si>
  <si>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</si>
  <si>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</si>
  <si>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</si>
  <si>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</si>
  <si>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</si>
  <si>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</si>
  <si>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</si>
  <si>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</si>
  <si>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</si>
  <si>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</si>
  <si>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</si>
  <si>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</si>
  <si>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</si>
  <si>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</si>
  <si>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</si>
  <si>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</si>
  <si>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</si>
  <si>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</si>
  <si>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</si>
  <si>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</si>
  <si>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</si>
  <si>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</si>
  <si>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</si>
  <si>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</si>
  <si>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</si>
  <si>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</si>
  <si>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</si>
  <si>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</si>
  <si>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</si>
  <si>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</si>
  <si>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</si>
  <si>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</si>
  <si>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</si>
  <si>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</si>
  <si>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</si>
  <si>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</si>
  <si>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</si>
  <si>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</si>
  <si>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</si>
  <si>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</si>
  <si>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</si>
  <si>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</si>
  <si>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</si>
  <si>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</si>
  <si>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</si>
  <si>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</si>
  <si>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</si>
  <si>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</si>
  <si>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</si>
  <si>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</si>
  <si>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</si>
  <si>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</si>
  <si>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</si>
  <si>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</si>
  <si>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</si>
  <si>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</si>
  <si>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</si>
  <si>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</si>
  <si>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</si>
  <si>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</si>
  <si>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</si>
  <si>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</si>
  <si>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</si>
  <si>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</si>
  <si>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</si>
  <si>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</si>
  <si>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</si>
  <si>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</si>
  <si>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</si>
  <si>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</si>
  <si>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</si>
  <si>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</si>
  <si>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</si>
  <si>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</si>
  <si>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</si>
  <si>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</si>
  <si>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</si>
  <si>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</si>
  <si>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</si>
  <si>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</si>
  <si>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</si>
  <si>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</si>
  <si>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</si>
  <si>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</si>
  <si>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</si>
  <si>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</si>
  <si>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</si>
  <si>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</si>
  <si>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</si>
  <si>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</si>
  <si>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</si>
  <si>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</si>
  <si>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</si>
  <si>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</si>
  <si>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</si>
  <si>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</si>
  <si>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</si>
  <si>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</si>
  <si>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</si>
  <si>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</si>
  <si>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</si>
  <si>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</si>
  <si>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</si>
  <si>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</si>
  <si>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</si>
  <si>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</si>
  <si>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</si>
  <si>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</si>
  <si>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</si>
  <si>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</si>
  <si>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</si>
  <si>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</si>
  <si>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</si>
  <si>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</si>
  <si>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</si>
  <si>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</si>
  <si>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</si>
  <si>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</si>
  <si>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</si>
  <si>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</si>
  <si>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</si>
  <si>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</si>
  <si>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</si>
  <si>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</si>
  <si>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</si>
  <si>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</si>
  <si>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</si>
  <si>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</si>
  <si>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</si>
  <si>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</si>
  <si>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</si>
  <si>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</si>
  <si>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</si>
  <si>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</si>
  <si>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</si>
  <si>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</si>
  <si>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</si>
  <si>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</si>
  <si>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</si>
  <si>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</si>
  <si>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</si>
  <si>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</si>
  <si>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</si>
  <si>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</si>
  <si>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</si>
  <si>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</si>
  <si>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</si>
  <si>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</si>
  <si>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</si>
  <si>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</si>
  <si>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</si>
  <si>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</si>
  <si>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</si>
  <si>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</si>
  <si>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</si>
  <si>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</si>
  <si>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</si>
  <si>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</si>
  <si>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</si>
  <si>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</si>
  <si>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</si>
  <si>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</si>
  <si>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</si>
  <si>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</si>
  <si>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</si>
  <si>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</si>
  <si>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</si>
  <si>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</si>
  <si>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</si>
  <si>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</si>
  <si>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</si>
  <si>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</si>
  <si>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</si>
  <si>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</si>
  <si>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</si>
  <si>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</si>
  <si>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</si>
  <si>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</si>
  <si>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</si>
  <si>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</si>
  <si>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</si>
  <si>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</si>
  <si>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</si>
  <si>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</si>
  <si>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</si>
  <si>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</si>
  <si>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</si>
  <si>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</si>
  <si>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</si>
  <si>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</si>
  <si>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</si>
  <si>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</si>
  <si>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</si>
  <si>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</si>
  <si>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</si>
  <si>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</si>
  <si>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</si>
  <si>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</si>
  <si>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</si>
  <si>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</si>
  <si>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</si>
  <si>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</si>
  <si>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</si>
  <si>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</si>
  <si>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</si>
  <si>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</si>
  <si>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</si>
  <si>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</si>
  <si>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</si>
  <si>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</si>
  <si>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</si>
  <si>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</si>
  <si>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</si>
  <si>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</si>
  <si>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</si>
  <si>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</si>
  <si>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</si>
  <si>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</si>
  <si>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</si>
  <si>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</si>
  <si>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</si>
  <si>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</si>
  <si>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One Wagle</t>
  </si>
  <si>
    <t>P51700050158</t>
  </si>
  <si>
    <t>Plot No</t>
  </si>
  <si>
    <t>B69</t>
  </si>
  <si>
    <t>Road No. 16</t>
  </si>
  <si>
    <t>Thane West</t>
  </si>
  <si>
    <t>3.2 KM from Thane Railway Station</t>
  </si>
  <si>
    <t>Sunrise Buiseness Park</t>
  </si>
  <si>
    <t>12.20 M W Road</t>
  </si>
  <si>
    <t>Plot No. B 76</t>
  </si>
  <si>
    <t>Other Plot</t>
  </si>
  <si>
    <t>Road No.16</t>
  </si>
  <si>
    <t>Road R</t>
  </si>
  <si>
    <t>19.1922091,72.9520881</t>
  </si>
  <si>
    <t>https://maps.app.goo.gl/xCk8qC7vrfgatxwJ6</t>
  </si>
  <si>
    <t>DE &amp; PA-III/THN/SPA/BPAMS/I-32533</t>
  </si>
  <si>
    <t>As per RERA - 31/10/2026</t>
  </si>
  <si>
    <t>Ground Floor For Commercial, Meter Room, Entrance Lobby &amp; Parking</t>
  </si>
  <si>
    <t>ITSS Unit</t>
  </si>
  <si>
    <t>1st to 4th Podium Floor For Parking</t>
  </si>
  <si>
    <t>IT Office</t>
  </si>
  <si>
    <t>3rd Floor For Commercial (Part Refuge Area)</t>
  </si>
  <si>
    <t>Refuge Area</t>
  </si>
  <si>
    <t>1st Floor For Commercial &amp; Terrace Area</t>
  </si>
  <si>
    <t xml:space="preserve">Air Conditioned Designer Lobby With Advance Security, Solar Panels, Power Backup, etc.
</t>
  </si>
  <si>
    <t>G + 4P + 1st to 15th Floor</t>
  </si>
  <si>
    <r>
      <t xml:space="preserve">Proposed Amenities :                                                                                                                                                                                                                         </t>
    </r>
    <r>
      <rPr>
        <b/>
        <sz val="12"/>
        <rFont val="Times New Roman"/>
        <family val="1"/>
      </rPr>
      <t xml:space="preserve">                                               </t>
    </r>
  </si>
  <si>
    <r>
      <t xml:space="preserve">Shop No.
</t>
    </r>
    <r>
      <rPr>
        <b/>
        <sz val="11"/>
        <rFont val="Times New Roman"/>
        <family val="1"/>
      </rPr>
      <t>(Approved Plan)</t>
    </r>
  </si>
  <si>
    <t xml:space="preserve">Combined Approval  Letter No
Valid Up to: </t>
  </si>
  <si>
    <t>Shape and Dimension query</t>
  </si>
  <si>
    <t>We are releasing report on MIDC Approved plans &amp; Combined Approval Letter.</t>
  </si>
  <si>
    <t>M/s. Sagar Nirman Spaces</t>
  </si>
  <si>
    <t>Mr. Yogesh 7208312889</t>
  </si>
  <si>
    <t>2nd &amp; 4th Floor For Commercial</t>
  </si>
  <si>
    <t>5th Floor</t>
  </si>
  <si>
    <t>6th Floor</t>
  </si>
  <si>
    <t>7th Floor (Part Refuge Area)</t>
  </si>
  <si>
    <t>8th Floor</t>
  </si>
  <si>
    <t>9th Floor</t>
  </si>
  <si>
    <t>10th Floor</t>
  </si>
  <si>
    <t>11th Floor (Part Refuge Area)</t>
  </si>
  <si>
    <t>12th &amp; 14th Floor</t>
  </si>
  <si>
    <t>13th Floor</t>
  </si>
  <si>
    <t xml:space="preserve">Incubation Center </t>
  </si>
  <si>
    <t>15th Floor</t>
  </si>
  <si>
    <t>SWC/2/521/20240221/966209</t>
  </si>
  <si>
    <t>IT Unit</t>
  </si>
  <si>
    <t xml:space="preserve">ITSS Unit </t>
  </si>
  <si>
    <t>Incubation Center</t>
  </si>
  <si>
    <t xml:space="preserve">Construction work is in process at the time of Visit (Internal visit is not allowed.)
</t>
  </si>
  <si>
    <t>Approved Plans, Combined Approval  Letter, Fire Noc</t>
  </si>
  <si>
    <t>DE &amp; PA-III/THN/SPA/BPAMS/I-86351/2024</t>
  </si>
  <si>
    <t>Gr + 4P + 1st to 15th Floor (Total Builtup Area = 12036.60 Sq.mtrs)</t>
  </si>
  <si>
    <t>Gr + 4P + 1st to 15th Floor (Height = 70Mtrs)</t>
  </si>
  <si>
    <t>We considered Gross carpet area = Net carpet + Enclose balcony Area</t>
  </si>
  <si>
    <t>Ajay Songare</t>
  </si>
  <si>
    <t xml:space="preserve">Details of Commercials in Building   </t>
  </si>
  <si>
    <t>ITSS Unit - 32
IT Offices - 113
Incubation Center - 6
IT Unit - 3</t>
  </si>
  <si>
    <t>We have not drafted IT Office No. 207, 307, 407, 507, 607, 707, 906, 1106, 1206 &amp; 1406, ITSS Unit No.4, 107, 806, 1006 &amp; 1506 &amp; Incubation center 1306 due to improper dimentions n shape of that unit.</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</si>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</sst>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65">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5" fillId="2" borderId="26" xfId="0" applyFont="1" applyFill="1" applyBorder="1"/>
    <xf numFmtId="0" fontId="26" fillId="0" borderId="27"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9" fontId="17" fillId="0" borderId="14"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1"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1" xfId="0" applyFill="1" applyBorder="1" applyAlignment="1">
      <alignment horizontal="center" vertical="top"/>
    </xf>
    <xf numFmtId="0" fontId="0" fillId="0" borderId="8" xfId="0" applyFill="1" applyBorder="1" applyAlignment="1">
      <alignment horizontal="left" vertical="top"/>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7" fillId="0" borderId="1" xfId="1" applyNumberFormat="1" applyFont="1" applyBorder="1" applyAlignment="1">
      <alignment horizontal="center" vertical="center"/>
    </xf>
    <xf numFmtId="9" fontId="12" fillId="0" borderId="1" xfId="8" applyFont="1" applyFill="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9" fontId="13" fillId="0" borderId="14" xfId="8" applyFont="1" applyFill="1" applyBorder="1" applyAlignment="1" applyProtection="1">
      <alignment horizontal="center" vertical="top" wrapText="1"/>
      <protection locked="0"/>
    </xf>
    <xf numFmtId="1" fontId="7" fillId="0" borderId="1" xfId="1" applyNumberFormat="1" applyFont="1" applyFill="1" applyBorder="1" applyAlignment="1">
      <alignment horizontal="center" vertical="center"/>
    </xf>
    <xf numFmtId="1" fontId="12" fillId="0" borderId="1" xfId="0" applyNumberFormat="1" applyFont="1" applyBorder="1" applyAlignment="1" applyProtection="1">
      <alignment horizontal="center" vertical="center" wrapText="1"/>
      <protection locked="0"/>
    </xf>
    <xf numFmtId="0" fontId="12" fillId="0" borderId="0" xfId="0" applyFont="1" applyAlignment="1">
      <alignment horizontal="center" vertical="center"/>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15" fillId="0" borderId="1" xfId="0" applyNumberFormat="1" applyFont="1" applyBorder="1" applyAlignment="1" applyProtection="1">
      <alignment horizontal="center" vertical="center" wrapText="1"/>
      <protection locked="0"/>
    </xf>
    <xf numFmtId="0" fontId="15" fillId="0" borderId="0" xfId="0" applyFont="1" applyAlignment="1">
      <alignment horizontal="center" vertical="center"/>
    </xf>
    <xf numFmtId="0" fontId="15"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vertical="top" wrapText="1"/>
      <protection locked="0"/>
    </xf>
    <xf numFmtId="1" fontId="12" fillId="0" borderId="1" xfId="1" applyNumberFormat="1" applyFont="1" applyBorder="1" applyAlignment="1">
      <alignment horizontal="center" vertical="center"/>
    </xf>
    <xf numFmtId="1" fontId="13" fillId="0" borderId="8" xfId="0" applyNumberFormat="1" applyFont="1" applyBorder="1" applyAlignment="1" applyProtection="1">
      <alignment vertical="top" wrapText="1"/>
      <protection locked="0"/>
    </xf>
    <xf numFmtId="1" fontId="13" fillId="0" borderId="19"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12" fillId="0" borderId="1" xfId="0"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1" fontId="6" fillId="0" borderId="19"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19"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9" fontId="7" fillId="0" borderId="15" xfId="8" applyFont="1" applyFill="1" applyBorder="1" applyAlignment="1" applyProtection="1">
      <alignment horizontal="center" vertical="center" wrapText="1"/>
      <protection locked="0"/>
    </xf>
    <xf numFmtId="9" fontId="7" fillId="0" borderId="16" xfId="8" applyFont="1" applyFill="1" applyBorder="1" applyAlignment="1" applyProtection="1">
      <alignment horizontal="center" vertical="center" wrapText="1"/>
      <protection locked="0"/>
    </xf>
    <xf numFmtId="9" fontId="7" fillId="0" borderId="21" xfId="8" applyFont="1" applyFill="1" applyBorder="1" applyAlignment="1" applyProtection="1">
      <alignment horizontal="center" vertical="center" wrapText="1"/>
      <protection locked="0"/>
    </xf>
    <xf numFmtId="9" fontId="7" fillId="0" borderId="22"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167" fontId="12" fillId="0" borderId="1" xfId="9" applyNumberFormat="1" applyFont="1" applyFill="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1" fontId="17" fillId="0" borderId="8" xfId="0" applyNumberFormat="1" applyFont="1" applyBorder="1" applyAlignment="1" applyProtection="1">
      <alignment vertical="top" wrapText="1"/>
      <protection locked="0"/>
    </xf>
    <xf numFmtId="1" fontId="17" fillId="0" borderId="19"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19"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3" fillId="0" borderId="14"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0" fontId="7" fillId="0" borderId="4" xfId="1" applyFont="1" applyBorder="1" applyAlignment="1" applyProtection="1">
      <alignment horizontal="center" vertical="top" wrapText="1"/>
      <protection locked="0"/>
    </xf>
    <xf numFmtId="0" fontId="13" fillId="0" borderId="14" xfId="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0" fontId="8" fillId="0" borderId="14" xfId="1" applyFont="1" applyBorder="1" applyAlignment="1" applyProtection="1">
      <alignment horizontal="center" vertical="top"/>
      <protection locked="0"/>
    </xf>
    <xf numFmtId="1" fontId="13" fillId="0" borderId="1" xfId="0"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12" fillId="0" borderId="1" xfId="1" applyFont="1" applyFill="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1" fontId="8" fillId="0" borderId="28" xfId="0" applyNumberFormat="1" applyFont="1" applyBorder="1" applyAlignment="1" applyProtection="1">
      <alignment horizontal="center" vertical="center" wrapText="1"/>
      <protection locked="0"/>
    </xf>
    <xf numFmtId="1" fontId="8" fillId="0" borderId="29" xfId="0" applyNumberFormat="1" applyFont="1" applyBorder="1" applyAlignment="1" applyProtection="1">
      <alignment horizontal="center" vertical="center" wrapText="1"/>
      <protection locked="0"/>
    </xf>
    <xf numFmtId="1" fontId="10" fillId="0" borderId="29" xfId="0" applyNumberFormat="1" applyFont="1" applyBorder="1" applyAlignment="1" applyProtection="1">
      <alignment horizontal="center" vertical="center"/>
      <protection locked="0"/>
    </xf>
    <xf numFmtId="1" fontId="13" fillId="0" borderId="3" xfId="1" applyNumberFormat="1" applyFont="1" applyBorder="1" applyAlignment="1" applyProtection="1">
      <alignment horizontal="center" vertical="top" wrapText="1"/>
      <protection locked="0"/>
    </xf>
    <xf numFmtId="1" fontId="13" fillId="0" borderId="14" xfId="1" applyNumberFormat="1" applyFont="1" applyBorder="1" applyAlignment="1" applyProtection="1">
      <alignment horizontal="center" vertical="top" wrapText="1"/>
      <protection locked="0"/>
    </xf>
    <xf numFmtId="1" fontId="8" fillId="0" borderId="29" xfId="0" applyNumberFormat="1" applyFont="1" applyBorder="1" applyAlignment="1" applyProtection="1">
      <alignment horizontal="center" vertical="top" wrapText="1"/>
      <protection locked="0"/>
    </xf>
    <xf numFmtId="1" fontId="8" fillId="0" borderId="30" xfId="0"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31" fillId="0" borderId="3" xfId="1" applyNumberFormat="1" applyFont="1" applyBorder="1" applyAlignment="1" applyProtection="1">
      <alignment horizontal="center" vertical="top" wrapText="1"/>
      <protection locked="0"/>
    </xf>
    <xf numFmtId="1" fontId="31" fillId="0" borderId="14" xfId="1" applyNumberFormat="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9" fontId="7" fillId="0" borderId="23"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19"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6" fillId="0" borderId="1" xfId="1" applyFont="1" applyBorder="1" applyAlignment="1" applyProtection="1">
      <alignment horizontal="left" vertical="top"/>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12" fillId="0" borderId="14"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15" fillId="0" borderId="15" xfId="1" applyFont="1" applyBorder="1" applyAlignment="1" applyProtection="1">
      <alignment horizontal="left" vertical="top" wrapText="1"/>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6" fillId="0" borderId="15" xfId="1" applyFont="1" applyFill="1" applyBorder="1" applyAlignment="1" applyProtection="1">
      <alignment horizontal="left" vertical="top" wrapText="1"/>
      <protection locked="0"/>
    </xf>
    <xf numFmtId="0" fontId="6" fillId="0" borderId="16" xfId="1" applyFont="1" applyFill="1" applyBorder="1" applyAlignment="1" applyProtection="1">
      <alignment horizontal="left" vertical="top" wrapText="1"/>
      <protection locked="0"/>
    </xf>
    <xf numFmtId="0" fontId="6" fillId="0" borderId="17" xfId="1" applyFont="1" applyFill="1" applyBorder="1" applyAlignment="1" applyProtection="1">
      <alignment horizontal="left" vertical="top" wrapText="1"/>
      <protection locked="0"/>
    </xf>
    <xf numFmtId="0" fontId="6" fillId="0" borderId="18" xfId="1" applyFont="1" applyFill="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2" fillId="0" borderId="15"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19"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3" fillId="0" borderId="8" xfId="1" applyFont="1" applyBorder="1" applyAlignment="1" applyProtection="1">
      <alignment horizontal="center" vertical="top"/>
      <protection locked="0"/>
    </xf>
    <xf numFmtId="0" fontId="13" fillId="0" borderId="19"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6" fillId="0" borderId="1" xfId="1" applyFont="1" applyFill="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1" fontId="8" fillId="0" borderId="14"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4"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center"/>
      <protection locked="0"/>
    </xf>
    <xf numFmtId="0" fontId="13" fillId="0" borderId="4"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14" fontId="12" fillId="0" borderId="8" xfId="1" applyNumberFormat="1" applyFont="1" applyBorder="1" applyAlignment="1" applyProtection="1">
      <alignment horizontal="left" vertical="top" wrapText="1"/>
      <protection locked="0"/>
    </xf>
    <xf numFmtId="0" fontId="12" fillId="0" borderId="8" xfId="1" applyFont="1" applyBorder="1" applyAlignment="1" applyProtection="1">
      <alignment vertical="top" wrapText="1"/>
      <protection locked="0"/>
    </xf>
    <xf numFmtId="0" fontId="12" fillId="0" borderId="19" xfId="1" applyFont="1" applyBorder="1" applyAlignment="1" applyProtection="1">
      <alignment vertical="top" wrapText="1"/>
      <protection locked="0"/>
    </xf>
    <xf numFmtId="0" fontId="12" fillId="0" borderId="9" xfId="1" applyFont="1" applyBorder="1" applyAlignment="1" applyProtection="1">
      <alignment vertical="top" wrapText="1"/>
      <protection locked="0"/>
    </xf>
    <xf numFmtId="1" fontId="17" fillId="0" borderId="3" xfId="1" applyNumberFormat="1" applyFont="1" applyBorder="1" applyAlignment="1" applyProtection="1">
      <alignment horizontal="center" vertical="top" wrapText="1"/>
      <protection locked="0"/>
    </xf>
    <xf numFmtId="1" fontId="17" fillId="0" borderId="14"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1" fontId="10" fillId="0" borderId="29" xfId="0"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0" fontId="7" fillId="0" borderId="21"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1" fontId="13"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13"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25" fillId="2" borderId="13" xfId="0" applyFont="1" applyFill="1" applyBorder="1"/>
    <xf numFmtId="0" fontId="26" fillId="0" borderId="9" xfId="0" applyFont="1" applyBorder="1"/>
    <xf numFmtId="0" fontId="8" fillId="0" borderId="31"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32" xfId="1" applyFont="1" applyBorder="1" applyAlignment="1" applyProtection="1">
      <alignment horizontal="left" vertical="top" wrapText="1"/>
      <protection locked="0"/>
    </xf>
    <xf numFmtId="9" fontId="12" fillId="0" borderId="1" xfId="8" applyFont="1" applyFill="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11</xdr:col>
      <xdr:colOff>680012</xdr:colOff>
      <xdr:row>371</xdr:row>
      <xdr:rowOff>80109</xdr:rowOff>
    </xdr:from>
    <xdr:to>
      <xdr:col>14</xdr:col>
      <xdr:colOff>10861</xdr:colOff>
      <xdr:row>383</xdr:row>
      <xdr:rowOff>177957</xdr:rowOff>
    </xdr:to>
    <xdr:pic>
      <xdr:nvPicPr>
        <xdr:cNvPr id="2" name="Picture 1" descr="https://vsjcllp.vsjadon.com/upload/insp-193336-1525.jpg"/>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9623987" y="64488159"/>
          <a:ext cx="1883549" cy="24981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104694</xdr:colOff>
      <xdr:row>371</xdr:row>
      <xdr:rowOff>80109</xdr:rowOff>
    </xdr:from>
    <xdr:to>
      <xdr:col>11</xdr:col>
      <xdr:colOff>526435</xdr:colOff>
      <xdr:row>383</xdr:row>
      <xdr:rowOff>177957</xdr:rowOff>
    </xdr:to>
    <xdr:pic>
      <xdr:nvPicPr>
        <xdr:cNvPr id="3" name="Picture 2" descr="https://vsjcllp.vsjadon.com/upload/insp-193336-843.jpg"/>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7581819" y="64488159"/>
          <a:ext cx="1888591" cy="24981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634647</xdr:colOff>
      <xdr:row>38</xdr:row>
      <xdr:rowOff>109259</xdr:rowOff>
    </xdr:from>
    <xdr:to>
      <xdr:col>12</xdr:col>
      <xdr:colOff>240927</xdr:colOff>
      <xdr:row>49</xdr:row>
      <xdr:rowOff>268986</xdr:rowOff>
    </xdr:to>
    <xdr:pic>
      <xdr:nvPicPr>
        <xdr:cNvPr id="10" name="Picture 9"/>
        <xdr:cNvPicPr>
          <a:picLocks noChangeAspect="1"/>
        </xdr:cNvPicPr>
      </xdr:nvPicPr>
      <xdr:blipFill>
        <a:blip xmlns:r="http://schemas.openxmlformats.org/officeDocument/2006/relationships" r:embed="rId3"/>
        <a:stretch>
          <a:fillRect/>
        </a:stretch>
      </xdr:blipFill>
      <xdr:spPr>
        <a:xfrm>
          <a:off x="6943559" y="8782612"/>
          <a:ext cx="3158544" cy="2606489"/>
        </a:xfrm>
        <a:prstGeom prst="rect">
          <a:avLst/>
        </a:prstGeom>
      </xdr:spPr>
    </xdr:pic>
    <xdr:clientData/>
  </xdr:twoCellAnchor>
  <xdr:twoCellAnchor editAs="oneCell">
    <xdr:from>
      <xdr:col>8</xdr:col>
      <xdr:colOff>638175</xdr:colOff>
      <xdr:row>52</xdr:row>
      <xdr:rowOff>57150</xdr:rowOff>
    </xdr:from>
    <xdr:to>
      <xdr:col>13</xdr:col>
      <xdr:colOff>409061</xdr:colOff>
      <xdr:row>60</xdr:row>
      <xdr:rowOff>76098</xdr:rowOff>
    </xdr:to>
    <xdr:pic>
      <xdr:nvPicPr>
        <xdr:cNvPr id="13" name="Picture 12"/>
        <xdr:cNvPicPr>
          <a:picLocks noChangeAspect="1"/>
        </xdr:cNvPicPr>
      </xdr:nvPicPr>
      <xdr:blipFill>
        <a:blip xmlns:r="http://schemas.openxmlformats.org/officeDocument/2006/relationships" r:embed="rId4"/>
        <a:stretch>
          <a:fillRect/>
        </a:stretch>
      </xdr:blipFill>
      <xdr:spPr>
        <a:xfrm>
          <a:off x="6953250" y="11658600"/>
          <a:ext cx="4114286" cy="828571"/>
        </a:xfrm>
        <a:prstGeom prst="rect">
          <a:avLst/>
        </a:prstGeom>
      </xdr:spPr>
    </xdr:pic>
    <xdr:clientData/>
  </xdr:twoCellAnchor>
  <xdr:twoCellAnchor editAs="oneCell">
    <xdr:from>
      <xdr:col>11</xdr:col>
      <xdr:colOff>36353</xdr:colOff>
      <xdr:row>358</xdr:row>
      <xdr:rowOff>15128</xdr:rowOff>
    </xdr:from>
    <xdr:to>
      <xdr:col>15</xdr:col>
      <xdr:colOff>31477</xdr:colOff>
      <xdr:row>370</xdr:row>
      <xdr:rowOff>124183</xdr:rowOff>
    </xdr:to>
    <xdr:pic>
      <xdr:nvPicPr>
        <xdr:cNvPr id="21" name="Picture 20" descr="https://vsjcllp.vsjadon.com/upload/insp-193336-849.jpg"/>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8980328" y="61832378"/>
          <a:ext cx="3357449" cy="249982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645458</xdr:colOff>
      <xdr:row>358</xdr:row>
      <xdr:rowOff>15128</xdr:rowOff>
    </xdr:from>
    <xdr:to>
      <xdr:col>10</xdr:col>
      <xdr:colOff>613921</xdr:colOff>
      <xdr:row>370</xdr:row>
      <xdr:rowOff>124183</xdr:rowOff>
    </xdr:to>
    <xdr:pic>
      <xdr:nvPicPr>
        <xdr:cNvPr id="22" name="Picture 21" descr="https://vsjcllp.vsjadon.com/upload/insp-193336-851.jpg"/>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6954370" y="62678422"/>
          <a:ext cx="1895875" cy="251832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361632</xdr:colOff>
      <xdr:row>439</xdr:row>
      <xdr:rowOff>96048</xdr:rowOff>
    </xdr:from>
    <xdr:to>
      <xdr:col>7</xdr:col>
      <xdr:colOff>315162</xdr:colOff>
      <xdr:row>478</xdr:row>
      <xdr:rowOff>184150</xdr:rowOff>
    </xdr:to>
    <xdr:grpSp>
      <xdr:nvGrpSpPr>
        <xdr:cNvPr id="15" name="Group 14"/>
        <xdr:cNvGrpSpPr/>
      </xdr:nvGrpSpPr>
      <xdr:grpSpPr>
        <a:xfrm>
          <a:off x="361632" y="78524898"/>
          <a:ext cx="5808230" cy="7765252"/>
          <a:chOff x="388847" y="79888334"/>
          <a:chExt cx="5532459" cy="8424106"/>
        </a:xfrm>
      </xdr:grpSpPr>
      <xdr:pic>
        <xdr:nvPicPr>
          <xdr:cNvPr id="5" name="Picture 4"/>
          <xdr:cNvPicPr>
            <a:picLocks noChangeAspect="1"/>
          </xdr:cNvPicPr>
        </xdr:nvPicPr>
        <xdr:blipFill>
          <a:blip xmlns:r="http://schemas.openxmlformats.org/officeDocument/2006/relationships" r:embed="rId7"/>
          <a:stretch>
            <a:fillRect/>
          </a:stretch>
        </xdr:blipFill>
        <xdr:spPr>
          <a:xfrm>
            <a:off x="598714" y="83956072"/>
            <a:ext cx="4950053" cy="4356368"/>
          </a:xfrm>
          <a:prstGeom prst="rect">
            <a:avLst/>
          </a:prstGeom>
          <a:ln>
            <a:solidFill>
              <a:sysClr val="windowText" lastClr="000000"/>
            </a:solidFill>
          </a:ln>
        </xdr:spPr>
      </xdr:pic>
      <xdr:grpSp>
        <xdr:nvGrpSpPr>
          <xdr:cNvPr id="31" name="Group 30"/>
          <xdr:cNvGrpSpPr/>
        </xdr:nvGrpSpPr>
        <xdr:grpSpPr>
          <a:xfrm>
            <a:off x="388847" y="79888334"/>
            <a:ext cx="5532459" cy="6435382"/>
            <a:chOff x="388847" y="78133015"/>
            <a:chExt cx="5535180" cy="6307868"/>
          </a:xfrm>
        </xdr:grpSpPr>
        <xdr:pic>
          <xdr:nvPicPr>
            <xdr:cNvPr id="8" name="Picture 7"/>
            <xdr:cNvPicPr>
              <a:picLocks noChangeAspect="1"/>
            </xdr:cNvPicPr>
          </xdr:nvPicPr>
          <xdr:blipFill>
            <a:blip xmlns:r="http://schemas.openxmlformats.org/officeDocument/2006/relationships" r:embed="rId8"/>
            <a:stretch>
              <a:fillRect/>
            </a:stretch>
          </xdr:blipFill>
          <xdr:spPr>
            <a:xfrm>
              <a:off x="388847" y="78133015"/>
              <a:ext cx="5535180" cy="3926383"/>
            </a:xfrm>
            <a:prstGeom prst="rect">
              <a:avLst/>
            </a:prstGeom>
            <a:ln>
              <a:solidFill>
                <a:schemeClr val="tx1"/>
              </a:solidFill>
            </a:ln>
          </xdr:spPr>
        </xdr:pic>
        <xdr:sp macro="" textlink="">
          <xdr:nvSpPr>
            <xdr:cNvPr id="29" name="Rectangle 28"/>
            <xdr:cNvSpPr/>
          </xdr:nvSpPr>
          <xdr:spPr>
            <a:xfrm rot="1916905">
              <a:off x="2609850" y="83613954"/>
              <a:ext cx="820645" cy="826929"/>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grpSp>
    <xdr:clientData/>
  </xdr:twoCellAnchor>
  <xdr:twoCellAnchor>
    <xdr:from>
      <xdr:col>6</xdr:col>
      <xdr:colOff>0</xdr:colOff>
      <xdr:row>414</xdr:row>
      <xdr:rowOff>0</xdr:rowOff>
    </xdr:from>
    <xdr:to>
      <xdr:col>6</xdr:col>
      <xdr:colOff>403071</xdr:colOff>
      <xdr:row>417</xdr:row>
      <xdr:rowOff>154058</xdr:rowOff>
    </xdr:to>
    <xdr:sp macro="" textlink="">
      <xdr:nvSpPr>
        <xdr:cNvPr id="33" name="TextBox 32"/>
        <xdr:cNvSpPr txBox="1"/>
      </xdr:nvSpPr>
      <xdr:spPr>
        <a:xfrm>
          <a:off x="4848225" y="73009125"/>
          <a:ext cx="403071" cy="754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IN" sz="2400" b="1">
            <a:solidFill>
              <a:srgbClr val="FF0000"/>
            </a:solidFill>
          </a:endParaRPr>
        </a:p>
      </xdr:txBody>
    </xdr:sp>
    <xdr:clientData/>
  </xdr:twoCellAnchor>
  <xdr:twoCellAnchor>
    <xdr:from>
      <xdr:col>1</xdr:col>
      <xdr:colOff>123825</xdr:colOff>
      <xdr:row>394</xdr:row>
      <xdr:rowOff>168087</xdr:rowOff>
    </xdr:from>
    <xdr:to>
      <xdr:col>6</xdr:col>
      <xdr:colOff>197264</xdr:colOff>
      <xdr:row>433</xdr:row>
      <xdr:rowOff>64275</xdr:rowOff>
    </xdr:to>
    <xdr:grpSp>
      <xdr:nvGrpSpPr>
        <xdr:cNvPr id="37" name="Group 36"/>
        <xdr:cNvGrpSpPr/>
      </xdr:nvGrpSpPr>
      <xdr:grpSpPr>
        <a:xfrm>
          <a:off x="923925" y="69738687"/>
          <a:ext cx="4359689" cy="7573338"/>
          <a:chOff x="885825" y="69176712"/>
          <a:chExt cx="4159664" cy="7697163"/>
        </a:xfrm>
      </xdr:grpSpPr>
      <xdr:grpSp>
        <xdr:nvGrpSpPr>
          <xdr:cNvPr id="20" name="Group 19"/>
          <xdr:cNvGrpSpPr/>
        </xdr:nvGrpSpPr>
        <xdr:grpSpPr>
          <a:xfrm>
            <a:off x="1316128" y="69176712"/>
            <a:ext cx="3596078" cy="3585323"/>
            <a:chOff x="1316128" y="51233293"/>
            <a:chExt cx="3600000" cy="3615579"/>
          </a:xfrm>
        </xdr:grpSpPr>
        <xdr:pic>
          <xdr:nvPicPr>
            <xdr:cNvPr id="6" name="Picture 5"/>
            <xdr:cNvPicPr>
              <a:picLocks noChangeAspect="1"/>
            </xdr:cNvPicPr>
          </xdr:nvPicPr>
          <xdr:blipFill>
            <a:blip xmlns:r="http://schemas.openxmlformats.org/officeDocument/2006/relationships" r:embed="rId9"/>
            <a:stretch>
              <a:fillRect/>
            </a:stretch>
          </xdr:blipFill>
          <xdr:spPr>
            <a:xfrm rot="16200000">
              <a:off x="1316128" y="51248872"/>
              <a:ext cx="3600000" cy="3600000"/>
            </a:xfrm>
            <a:prstGeom prst="rect">
              <a:avLst/>
            </a:prstGeom>
            <a:ln>
              <a:solidFill>
                <a:schemeClr val="tx1"/>
              </a:solidFill>
            </a:ln>
          </xdr:spPr>
        </xdr:pic>
        <xdr:cxnSp macro="">
          <xdr:nvCxnSpPr>
            <xdr:cNvPr id="14" name="Straight Arrow Connector 13"/>
            <xdr:cNvCxnSpPr/>
          </xdr:nvCxnSpPr>
          <xdr:spPr>
            <a:xfrm flipV="1">
              <a:off x="1591235" y="51625500"/>
              <a:ext cx="11206" cy="39220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 name="TextBox 15"/>
            <xdr:cNvSpPr txBox="1"/>
          </xdr:nvSpPr>
          <xdr:spPr>
            <a:xfrm>
              <a:off x="1411941" y="51233293"/>
              <a:ext cx="403412" cy="4706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400" b="1">
                  <a:solidFill>
                    <a:srgbClr val="FF0000"/>
                  </a:solidFill>
                </a:rPr>
                <a:t>N</a:t>
              </a:r>
            </a:p>
          </xdr:txBody>
        </xdr:sp>
      </xdr:grpSp>
      <xdr:grpSp>
        <xdr:nvGrpSpPr>
          <xdr:cNvPr id="36" name="Group 35"/>
          <xdr:cNvGrpSpPr/>
        </xdr:nvGrpSpPr>
        <xdr:grpSpPr>
          <a:xfrm>
            <a:off x="885825" y="72913875"/>
            <a:ext cx="4159664" cy="3960000"/>
            <a:chOff x="885825" y="72913875"/>
            <a:chExt cx="4159664" cy="3960000"/>
          </a:xfrm>
        </xdr:grpSpPr>
        <xdr:pic>
          <xdr:nvPicPr>
            <xdr:cNvPr id="32" name="Picture 31"/>
            <xdr:cNvPicPr>
              <a:picLocks noChangeAspect="1"/>
            </xdr:cNvPicPr>
          </xdr:nvPicPr>
          <xdr:blipFill>
            <a:blip xmlns:r="http://schemas.openxmlformats.org/officeDocument/2006/relationships" r:embed="rId10"/>
            <a:stretch>
              <a:fillRect/>
            </a:stretch>
          </xdr:blipFill>
          <xdr:spPr>
            <a:xfrm>
              <a:off x="885825" y="72913875"/>
              <a:ext cx="4159664" cy="3960000"/>
            </a:xfrm>
            <a:prstGeom prst="rect">
              <a:avLst/>
            </a:prstGeom>
            <a:ln>
              <a:solidFill>
                <a:schemeClr val="tx1"/>
              </a:solidFill>
            </a:ln>
          </xdr:spPr>
        </xdr:pic>
        <xdr:sp macro="" textlink="">
          <xdr:nvSpPr>
            <xdr:cNvPr id="34" name="Right Arrow 33"/>
            <xdr:cNvSpPr/>
          </xdr:nvSpPr>
          <xdr:spPr>
            <a:xfrm rot="5400000">
              <a:off x="1076325" y="73528422"/>
              <a:ext cx="364632" cy="275910"/>
            </a:xfrm>
            <a:prstGeom prst="rightArrow">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sz="1400"/>
            </a:p>
          </xdr:txBody>
        </xdr:sp>
        <xdr:sp macro="" textlink="">
          <xdr:nvSpPr>
            <xdr:cNvPr id="35" name="TextBox 44"/>
            <xdr:cNvSpPr txBox="1"/>
          </xdr:nvSpPr>
          <xdr:spPr>
            <a:xfrm>
              <a:off x="1021190" y="72914541"/>
              <a:ext cx="438206" cy="551174"/>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3200" b="1">
                  <a:latin typeface="Times New Roman" panose="02020603050405020304" pitchFamily="18" charset="0"/>
                  <a:cs typeface="Times New Roman" panose="02020603050405020304" pitchFamily="18" charset="0"/>
                </a:rPr>
                <a:t>N</a:t>
              </a:r>
              <a:endParaRPr lang="en-IN" sz="3200" b="1">
                <a:latin typeface="Times New Roman" panose="02020603050405020304" pitchFamily="18" charset="0"/>
                <a:cs typeface="Times New Roman" panose="02020603050405020304" pitchFamily="18" charset="0"/>
              </a:endParaRPr>
            </a:p>
          </xdr:txBody>
        </xdr:sp>
      </xdr:grpSp>
    </xdr:grpSp>
    <xdr:clientData/>
  </xdr:twoCellAnchor>
  <xdr:twoCellAnchor editAs="oneCell">
    <xdr:from>
      <xdr:col>8</xdr:col>
      <xdr:colOff>523875</xdr:colOff>
      <xdr:row>8</xdr:row>
      <xdr:rowOff>47625</xdr:rowOff>
    </xdr:from>
    <xdr:to>
      <xdr:col>11</xdr:col>
      <xdr:colOff>819558</xdr:colOff>
      <xdr:row>17</xdr:row>
      <xdr:rowOff>168415</xdr:rowOff>
    </xdr:to>
    <xdr:pic>
      <xdr:nvPicPr>
        <xdr:cNvPr id="4" name="Picture 3"/>
        <xdr:cNvPicPr>
          <a:picLocks noChangeAspect="1"/>
        </xdr:cNvPicPr>
      </xdr:nvPicPr>
      <xdr:blipFill>
        <a:blip xmlns:r="http://schemas.openxmlformats.org/officeDocument/2006/relationships" r:embed="rId11"/>
        <a:stretch>
          <a:fillRect/>
        </a:stretch>
      </xdr:blipFill>
      <xdr:spPr>
        <a:xfrm>
          <a:off x="6838950" y="2028825"/>
          <a:ext cx="2924583" cy="2343477"/>
        </a:xfrm>
        <a:prstGeom prst="rect">
          <a:avLst/>
        </a:prstGeom>
      </xdr:spPr>
    </xdr:pic>
    <xdr:clientData/>
  </xdr:twoCellAnchor>
  <xdr:twoCellAnchor editAs="oneCell">
    <xdr:from>
      <xdr:col>11</xdr:col>
      <xdr:colOff>717178</xdr:colOff>
      <xdr:row>138</xdr:row>
      <xdr:rowOff>67235</xdr:rowOff>
    </xdr:from>
    <xdr:to>
      <xdr:col>22</xdr:col>
      <xdr:colOff>68825</xdr:colOff>
      <xdr:row>162</xdr:row>
      <xdr:rowOff>103775</xdr:rowOff>
    </xdr:to>
    <xdr:pic>
      <xdr:nvPicPr>
        <xdr:cNvPr id="19" name="Picture 18"/>
        <xdr:cNvPicPr>
          <a:picLocks noChangeAspect="1"/>
        </xdr:cNvPicPr>
      </xdr:nvPicPr>
      <xdr:blipFill>
        <a:blip xmlns:r="http://schemas.openxmlformats.org/officeDocument/2006/relationships" r:embed="rId12"/>
        <a:stretch>
          <a:fillRect/>
        </a:stretch>
      </xdr:blipFill>
      <xdr:spPr>
        <a:xfrm>
          <a:off x="9659472" y="24944294"/>
          <a:ext cx="7363853" cy="4877481"/>
        </a:xfrm>
        <a:prstGeom prst="rect">
          <a:avLst/>
        </a:prstGeom>
      </xdr:spPr>
    </xdr:pic>
    <xdr:clientData/>
  </xdr:twoCellAnchor>
  <xdr:twoCellAnchor editAs="oneCell">
    <xdr:from>
      <xdr:col>11</xdr:col>
      <xdr:colOff>694766</xdr:colOff>
      <xdr:row>136</xdr:row>
      <xdr:rowOff>190500</xdr:rowOff>
    </xdr:from>
    <xdr:to>
      <xdr:col>18</xdr:col>
      <xdr:colOff>324971</xdr:colOff>
      <xdr:row>160</xdr:row>
      <xdr:rowOff>175317</xdr:rowOff>
    </xdr:to>
    <xdr:pic>
      <xdr:nvPicPr>
        <xdr:cNvPr id="38" name="Picture 37"/>
        <xdr:cNvPicPr>
          <a:picLocks noChangeAspect="1"/>
        </xdr:cNvPicPr>
      </xdr:nvPicPr>
      <xdr:blipFill>
        <a:blip xmlns:r="http://schemas.openxmlformats.org/officeDocument/2006/relationships" r:embed="rId13"/>
        <a:stretch>
          <a:fillRect/>
        </a:stretch>
      </xdr:blipFill>
      <xdr:spPr>
        <a:xfrm>
          <a:off x="9637060" y="24664147"/>
          <a:ext cx="4986617" cy="4825758"/>
        </a:xfrm>
        <a:prstGeom prst="rect">
          <a:avLst/>
        </a:prstGeom>
      </xdr:spPr>
    </xdr:pic>
    <xdr:clientData/>
  </xdr:twoCellAnchor>
  <xdr:twoCellAnchor editAs="oneCell">
    <xdr:from>
      <xdr:col>9</xdr:col>
      <xdr:colOff>168086</xdr:colOff>
      <xdr:row>333</xdr:row>
      <xdr:rowOff>78440</xdr:rowOff>
    </xdr:from>
    <xdr:to>
      <xdr:col>15</xdr:col>
      <xdr:colOff>408894</xdr:colOff>
      <xdr:row>346</xdr:row>
      <xdr:rowOff>162484</xdr:rowOff>
    </xdr:to>
    <xdr:pic>
      <xdr:nvPicPr>
        <xdr:cNvPr id="39" name="Picture 38"/>
        <xdr:cNvPicPr>
          <a:picLocks noChangeAspect="1"/>
        </xdr:cNvPicPr>
      </xdr:nvPicPr>
      <xdr:blipFill>
        <a:blip xmlns:r="http://schemas.openxmlformats.org/officeDocument/2006/relationships" r:embed="rId14"/>
        <a:stretch>
          <a:fillRect/>
        </a:stretch>
      </xdr:blipFill>
      <xdr:spPr>
        <a:xfrm>
          <a:off x="7642410" y="57743911"/>
          <a:ext cx="5070543" cy="3137647"/>
        </a:xfrm>
        <a:prstGeom prst="rect">
          <a:avLst/>
        </a:prstGeom>
      </xdr:spPr>
    </xdr:pic>
    <xdr:clientData/>
  </xdr:twoCellAnchor>
  <xdr:twoCellAnchor editAs="oneCell">
    <xdr:from>
      <xdr:col>9</xdr:col>
      <xdr:colOff>437028</xdr:colOff>
      <xdr:row>218</xdr:row>
      <xdr:rowOff>33617</xdr:rowOff>
    </xdr:from>
    <xdr:to>
      <xdr:col>20</xdr:col>
      <xdr:colOff>45361</xdr:colOff>
      <xdr:row>230</xdr:row>
      <xdr:rowOff>80465</xdr:rowOff>
    </xdr:to>
    <xdr:pic>
      <xdr:nvPicPr>
        <xdr:cNvPr id="41" name="Picture 40"/>
        <xdr:cNvPicPr>
          <a:picLocks noChangeAspect="1"/>
        </xdr:cNvPicPr>
      </xdr:nvPicPr>
      <xdr:blipFill>
        <a:blip xmlns:r="http://schemas.openxmlformats.org/officeDocument/2006/relationships" r:embed="rId15"/>
        <a:stretch>
          <a:fillRect/>
        </a:stretch>
      </xdr:blipFill>
      <xdr:spPr>
        <a:xfrm>
          <a:off x="7911352" y="41047146"/>
          <a:ext cx="7878274" cy="2467319"/>
        </a:xfrm>
        <a:prstGeom prst="rect">
          <a:avLst/>
        </a:prstGeom>
      </xdr:spPr>
    </xdr:pic>
    <xdr:clientData/>
  </xdr:twoCellAnchor>
  <xdr:twoCellAnchor editAs="oneCell">
    <xdr:from>
      <xdr:col>12</xdr:col>
      <xdr:colOff>686615</xdr:colOff>
      <xdr:row>163</xdr:row>
      <xdr:rowOff>38712</xdr:rowOff>
    </xdr:from>
    <xdr:to>
      <xdr:col>18</xdr:col>
      <xdr:colOff>361046</xdr:colOff>
      <xdr:row>182</xdr:row>
      <xdr:rowOff>140674</xdr:rowOff>
    </xdr:to>
    <xdr:pic>
      <xdr:nvPicPr>
        <xdr:cNvPr id="42" name="Picture 41"/>
        <xdr:cNvPicPr>
          <a:picLocks noChangeAspect="1"/>
        </xdr:cNvPicPr>
      </xdr:nvPicPr>
      <xdr:blipFill>
        <a:blip xmlns:r="http://schemas.openxmlformats.org/officeDocument/2006/relationships" r:embed="rId16"/>
        <a:stretch>
          <a:fillRect/>
        </a:stretch>
      </xdr:blipFill>
      <xdr:spPr>
        <a:xfrm>
          <a:off x="10540660" y="30605303"/>
          <a:ext cx="4107886" cy="4050507"/>
        </a:xfrm>
        <a:prstGeom prst="rect">
          <a:avLst/>
        </a:prstGeom>
      </xdr:spPr>
    </xdr:pic>
    <xdr:clientData/>
  </xdr:twoCellAnchor>
  <xdr:twoCellAnchor>
    <xdr:from>
      <xdr:col>0</xdr:col>
      <xdr:colOff>241300</xdr:colOff>
      <xdr:row>357</xdr:row>
      <xdr:rowOff>107950</xdr:rowOff>
    </xdr:from>
    <xdr:to>
      <xdr:col>7</xdr:col>
      <xdr:colOff>479978</xdr:colOff>
      <xdr:row>389</xdr:row>
      <xdr:rowOff>66196</xdr:rowOff>
    </xdr:to>
    <xdr:grpSp>
      <xdr:nvGrpSpPr>
        <xdr:cNvPr id="7" name="Group 6"/>
        <xdr:cNvGrpSpPr/>
      </xdr:nvGrpSpPr>
      <xdr:grpSpPr>
        <a:xfrm>
          <a:off x="241300" y="62401450"/>
          <a:ext cx="6093378" cy="6251096"/>
          <a:chOff x="241300" y="62401450"/>
          <a:chExt cx="6093378" cy="6251096"/>
        </a:xfrm>
      </xdr:grpSpPr>
      <xdr:pic>
        <xdr:nvPicPr>
          <xdr:cNvPr id="40" name="Picture 39"/>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241300" y="62401450"/>
            <a:ext cx="2966907" cy="396000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3980228" y="66492546"/>
            <a:ext cx="1618313" cy="2160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942758" y="66492546"/>
            <a:ext cx="2877333" cy="2160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3367771" y="62401450"/>
            <a:ext cx="2966907" cy="39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15</xdr:row>
      <xdr:rowOff>0</xdr:rowOff>
    </xdr:from>
    <xdr:to>
      <xdr:col>6</xdr:col>
      <xdr:colOff>4565</xdr:colOff>
      <xdr:row>33</xdr:row>
      <xdr:rowOff>171000</xdr:rowOff>
    </xdr:to>
    <xdr:pic>
      <xdr:nvPicPr>
        <xdr:cNvPr id="3" name="Picture 2"/>
        <xdr:cNvPicPr>
          <a:picLocks noChangeAspect="1"/>
        </xdr:cNvPicPr>
      </xdr:nvPicPr>
      <xdr:blipFill>
        <a:blip xmlns:r="http://schemas.openxmlformats.org/officeDocument/2006/relationships" r:embed="rId2"/>
        <a:stretch>
          <a:fillRect/>
        </a:stretch>
      </xdr:blipFill>
      <xdr:spPr>
        <a:xfrm>
          <a:off x="582706" y="2868706"/>
          <a:ext cx="6403124" cy="3600000"/>
        </a:xfrm>
        <a:prstGeom prst="rect">
          <a:avLst/>
        </a:prstGeom>
      </xdr:spPr>
    </xdr:pic>
    <xdr:clientData/>
  </xdr:twoCellAnchor>
  <xdr:twoCellAnchor editAs="oneCell">
    <xdr:from>
      <xdr:col>3</xdr:col>
      <xdr:colOff>504265</xdr:colOff>
      <xdr:row>18</xdr:row>
      <xdr:rowOff>22412</xdr:rowOff>
    </xdr:from>
    <xdr:to>
      <xdr:col>15</xdr:col>
      <xdr:colOff>532414</xdr:colOff>
      <xdr:row>35</xdr:row>
      <xdr:rowOff>80022</xdr:rowOff>
    </xdr:to>
    <xdr:pic>
      <xdr:nvPicPr>
        <xdr:cNvPr id="4" name="Picture 3"/>
        <xdr:cNvPicPr>
          <a:picLocks noChangeAspect="1"/>
        </xdr:cNvPicPr>
      </xdr:nvPicPr>
      <xdr:blipFill>
        <a:blip xmlns:r="http://schemas.openxmlformats.org/officeDocument/2006/relationships" r:embed="rId3"/>
        <a:stretch>
          <a:fillRect/>
        </a:stretch>
      </xdr:blipFill>
      <xdr:spPr>
        <a:xfrm>
          <a:off x="5031441" y="3462618"/>
          <a:ext cx="8992855" cy="32961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xCk8qC7vrfgatxwJ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438"/>
  <sheetViews>
    <sheetView tabSelected="1" view="pageBreakPreview" topLeftCell="A66" zoomScaleNormal="100" zoomScaleSheetLayoutView="100" zoomScalePageLayoutView="85" workbookViewId="0">
      <selection activeCell="A69" sqref="A69:H86"/>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204" t="s">
        <v>165</v>
      </c>
      <c r="B1" s="204"/>
      <c r="C1" s="204"/>
      <c r="D1" s="204"/>
      <c r="E1" s="204"/>
      <c r="F1" s="204"/>
      <c r="G1" s="204"/>
      <c r="H1" s="204"/>
    </row>
    <row r="2" spans="1:26" ht="16.5" customHeight="1" x14ac:dyDescent="0.35">
      <c r="A2" s="205" t="s">
        <v>0</v>
      </c>
      <c r="B2" s="205"/>
      <c r="C2" s="205"/>
      <c r="D2" s="205"/>
      <c r="E2" s="205"/>
      <c r="F2" s="205"/>
      <c r="G2" s="205"/>
      <c r="H2" s="205"/>
    </row>
    <row r="3" spans="1:26" x14ac:dyDescent="0.35">
      <c r="A3" s="133" t="s">
        <v>1</v>
      </c>
      <c r="B3" s="133"/>
      <c r="C3" s="133"/>
      <c r="D3" s="133"/>
      <c r="E3" s="133" t="str">
        <f ca="1">TEXT(TODAY(),"DD/MM/YYYY")</f>
        <v>04/10/2025</v>
      </c>
      <c r="F3" s="133"/>
      <c r="G3" s="133"/>
      <c r="H3" s="133"/>
      <c r="K3" s="56" t="s">
        <v>236</v>
      </c>
      <c r="L3" s="52" t="s">
        <v>234</v>
      </c>
      <c r="M3" s="52" t="s">
        <v>239</v>
      </c>
      <c r="N3" s="52" t="s">
        <v>237</v>
      </c>
      <c r="O3" s="52" t="s">
        <v>238</v>
      </c>
      <c r="P3" s="52" t="s">
        <v>240</v>
      </c>
    </row>
    <row r="4" spans="1:26" ht="15" customHeight="1" x14ac:dyDescent="0.35">
      <c r="A4" s="133" t="s">
        <v>233</v>
      </c>
      <c r="B4" s="133"/>
      <c r="C4" s="133"/>
      <c r="D4" s="133"/>
      <c r="E4" s="133" t="s">
        <v>234</v>
      </c>
      <c r="F4" s="133"/>
      <c r="G4" s="133"/>
      <c r="H4" s="133"/>
      <c r="K4" s="51" t="s">
        <v>235</v>
      </c>
      <c r="L4" s="52" t="s">
        <v>171</v>
      </c>
      <c r="M4" s="52" t="s">
        <v>244</v>
      </c>
      <c r="N4" s="52" t="s">
        <v>246</v>
      </c>
      <c r="O4" s="52" t="s">
        <v>248</v>
      </c>
      <c r="P4" s="52"/>
    </row>
    <row r="5" spans="1:26" ht="15" customHeight="1" x14ac:dyDescent="0.35">
      <c r="A5" s="133" t="s">
        <v>2</v>
      </c>
      <c r="B5" s="133"/>
      <c r="C5" s="133"/>
      <c r="D5" s="133"/>
      <c r="E5" s="133" t="s">
        <v>241</v>
      </c>
      <c r="F5" s="133"/>
      <c r="G5" s="133"/>
      <c r="H5" s="133"/>
      <c r="K5" s="51"/>
      <c r="L5" s="52" t="s">
        <v>241</v>
      </c>
      <c r="M5" s="52" t="s">
        <v>245</v>
      </c>
      <c r="N5" s="52" t="s">
        <v>247</v>
      </c>
      <c r="O5" s="52" t="s">
        <v>249</v>
      </c>
      <c r="P5" s="52"/>
    </row>
    <row r="6" spans="1:26" x14ac:dyDescent="0.35">
      <c r="A6" s="133" t="s">
        <v>3</v>
      </c>
      <c r="B6" s="133"/>
      <c r="C6" s="133"/>
      <c r="D6" s="133"/>
      <c r="E6" s="207">
        <v>45934</v>
      </c>
      <c r="F6" s="133"/>
      <c r="G6" s="133"/>
      <c r="H6" s="133"/>
      <c r="K6" s="51"/>
      <c r="L6" s="52" t="s">
        <v>242</v>
      </c>
      <c r="M6" s="52"/>
      <c r="N6" s="52"/>
      <c r="O6" s="52" t="s">
        <v>250</v>
      </c>
      <c r="P6" s="52"/>
    </row>
    <row r="7" spans="1:26" ht="16.5" customHeight="1" x14ac:dyDescent="0.35">
      <c r="A7" s="133" t="s">
        <v>4</v>
      </c>
      <c r="B7" s="133"/>
      <c r="C7" s="133"/>
      <c r="D7" s="133"/>
      <c r="E7" s="133" t="s">
        <v>369</v>
      </c>
      <c r="F7" s="133"/>
      <c r="G7" s="133"/>
      <c r="H7" s="133"/>
      <c r="K7" s="51"/>
      <c r="L7" s="52" t="s">
        <v>243</v>
      </c>
      <c r="M7" s="52"/>
      <c r="N7" s="52"/>
      <c r="O7" s="52" t="s">
        <v>250</v>
      </c>
      <c r="P7" s="52"/>
    </row>
    <row r="8" spans="1:26" ht="15" customHeight="1" x14ac:dyDescent="0.35">
      <c r="A8" s="133" t="s">
        <v>5</v>
      </c>
      <c r="B8" s="133"/>
      <c r="C8" s="133"/>
      <c r="D8" s="133"/>
      <c r="E8" s="133" t="str">
        <f>E7</f>
        <v>M/s. Sagar Nirman Spaces</v>
      </c>
      <c r="F8" s="133"/>
      <c r="G8" s="133"/>
      <c r="H8" s="133"/>
      <c r="K8" s="51"/>
      <c r="L8" s="52"/>
      <c r="M8" s="52"/>
      <c r="N8" s="52"/>
      <c r="O8" s="52" t="s">
        <v>251</v>
      </c>
      <c r="P8" s="52"/>
    </row>
    <row r="9" spans="1:26" x14ac:dyDescent="0.35">
      <c r="A9" s="133" t="s">
        <v>6</v>
      </c>
      <c r="B9" s="133"/>
      <c r="C9" s="133"/>
      <c r="D9" s="133"/>
      <c r="E9" s="206" t="s">
        <v>338</v>
      </c>
      <c r="F9" s="206"/>
      <c r="G9" s="206"/>
      <c r="H9" s="206"/>
      <c r="K9" s="51"/>
      <c r="L9" s="52"/>
      <c r="M9" s="52"/>
      <c r="N9" s="52"/>
      <c r="O9" s="52" t="s">
        <v>252</v>
      </c>
      <c r="P9" s="52"/>
    </row>
    <row r="10" spans="1:26" x14ac:dyDescent="0.35">
      <c r="A10" s="133" t="s">
        <v>168</v>
      </c>
      <c r="B10" s="133"/>
      <c r="C10" s="133"/>
      <c r="D10" s="133"/>
      <c r="E10" s="147" t="s">
        <v>370</v>
      </c>
      <c r="F10" s="133"/>
      <c r="G10" s="133"/>
      <c r="H10" s="133"/>
      <c r="K10" s="51"/>
      <c r="L10" s="52"/>
      <c r="M10" s="52"/>
      <c r="N10" s="52"/>
      <c r="O10" s="52"/>
      <c r="P10" s="52"/>
    </row>
    <row r="11" spans="1:26" x14ac:dyDescent="0.35">
      <c r="A11" s="133" t="s">
        <v>169</v>
      </c>
      <c r="B11" s="133"/>
      <c r="C11" s="133"/>
      <c r="D11" s="133"/>
      <c r="E11" s="133" t="s">
        <v>28</v>
      </c>
      <c r="F11" s="133"/>
      <c r="G11" s="133"/>
      <c r="H11" s="133"/>
    </row>
    <row r="12" spans="1:26" x14ac:dyDescent="0.35">
      <c r="A12" s="133" t="s">
        <v>7</v>
      </c>
      <c r="B12" s="133"/>
      <c r="C12" s="133"/>
      <c r="D12" s="133"/>
      <c r="E12" s="133" t="s">
        <v>120</v>
      </c>
      <c r="F12" s="133"/>
      <c r="G12" s="133"/>
      <c r="H12" s="133"/>
    </row>
    <row r="13" spans="1:26" x14ac:dyDescent="0.35">
      <c r="A13" s="133" t="s">
        <v>172</v>
      </c>
      <c r="B13" s="133"/>
      <c r="C13" s="133"/>
      <c r="D13" s="133"/>
      <c r="E13" s="133" t="s">
        <v>28</v>
      </c>
      <c r="F13" s="133"/>
      <c r="G13" s="133"/>
      <c r="H13" s="133"/>
      <c r="S13" s="52" t="s">
        <v>179</v>
      </c>
      <c r="T13" s="52" t="s">
        <v>188</v>
      </c>
      <c r="U13" s="52" t="s">
        <v>173</v>
      </c>
      <c r="V13" s="52" t="s">
        <v>193</v>
      </c>
      <c r="W13" s="52" t="s">
        <v>211</v>
      </c>
      <c r="X13"/>
      <c r="Y13" t="s">
        <v>193</v>
      </c>
      <c r="Z13" t="e">
        <f ca="1">OFFSET($S$13,1,MATCH($G20,$S$13:$W$13,0)-1,15,1)</f>
        <v>#VALUE!</v>
      </c>
    </row>
    <row r="14" spans="1:26" ht="33.75" customHeight="1" x14ac:dyDescent="0.35">
      <c r="A14" s="203" t="s">
        <v>279</v>
      </c>
      <c r="B14" s="203"/>
      <c r="C14" s="203"/>
      <c r="D14" s="203"/>
      <c r="E14" s="147" t="s">
        <v>388</v>
      </c>
      <c r="F14" s="147"/>
      <c r="G14" s="147"/>
      <c r="H14" s="147"/>
      <c r="S14" s="52" t="s">
        <v>179</v>
      </c>
      <c r="T14" s="52" t="s">
        <v>186</v>
      </c>
      <c r="U14" s="52" t="s">
        <v>208</v>
      </c>
      <c r="V14" s="52" t="s">
        <v>194</v>
      </c>
      <c r="W14" s="52" t="s">
        <v>212</v>
      </c>
      <c r="X14"/>
      <c r="Y14"/>
      <c r="Z14"/>
    </row>
    <row r="15" spans="1:26" x14ac:dyDescent="0.35">
      <c r="A15" s="168" t="s">
        <v>8</v>
      </c>
      <c r="B15" s="168"/>
      <c r="C15" s="168"/>
      <c r="D15" s="168"/>
      <c r="E15" s="147" t="s">
        <v>339</v>
      </c>
      <c r="F15" s="133"/>
      <c r="G15" s="133"/>
      <c r="H15" s="133"/>
      <c r="I15" s="243" t="e">
        <f ca="1">OFFSET($D$5,1,MATCH($J13,$D$5:$H$5,0)-1,15,1)</f>
        <v>#N/A</v>
      </c>
      <c r="J15" s="244"/>
      <c r="K15" s="244"/>
      <c r="L15" s="244"/>
      <c r="M15" s="244"/>
      <c r="N15" s="244"/>
      <c r="O15" s="244"/>
      <c r="P15" s="244"/>
      <c r="S15" s="52" t="s">
        <v>180</v>
      </c>
      <c r="T15" s="52" t="s">
        <v>187</v>
      </c>
      <c r="U15" s="52" t="s">
        <v>209</v>
      </c>
      <c r="V15" s="52" t="s">
        <v>195</v>
      </c>
      <c r="W15" s="52" t="s">
        <v>225</v>
      </c>
      <c r="X15"/>
      <c r="Y15"/>
      <c r="Z15"/>
    </row>
    <row r="16" spans="1:26" ht="31.5" customHeight="1" x14ac:dyDescent="0.35">
      <c r="A16" s="147" t="s">
        <v>9</v>
      </c>
      <c r="B16" s="147"/>
      <c r="C16" s="147" t="str">
        <f>CONCATENATE((IF(OR(E9="",E9="NA"),"",E9)),", ",(IF(OR(A17="",A17="NA"),"",A17)),".",(IF(OR(C17="",C17="NA"),"",C17)),", near ",(IF(OR(C22="",C22="NA"),"",C22)),", ",(IF(OR(C19="",C19="NA"),"",C19)),", ",(IF(OR(C18="",C18="NA"),"",C18)),", ",(IF(OR(G19="",G19="NA"),"",G19)),", ",(IF(OR(C20="",C20="NA"),"",C20)),", ",(IF(OR(C21="",C21="NA"),"",C21)),", ",(IF(OR(G20="",G20="NA"),"",G20))," - ",(IF(OR(G21="",G21="NA"),"",G21)),".")</f>
        <v>One Wagle, Plot No.B69, near Sunrise Buiseness Park, Road No. 16, Thane, Thane, Thane West, Thane, Thane - 400604.</v>
      </c>
      <c r="D16" s="147"/>
      <c r="E16" s="147"/>
      <c r="F16" s="147"/>
      <c r="G16" s="147"/>
      <c r="H16" s="147"/>
      <c r="S16" s="52" t="s">
        <v>181</v>
      </c>
      <c r="T16" s="52" t="s">
        <v>189</v>
      </c>
      <c r="U16" s="52" t="s">
        <v>210</v>
      </c>
      <c r="V16" s="52" t="s">
        <v>196</v>
      </c>
      <c r="W16" s="52" t="s">
        <v>213</v>
      </c>
      <c r="X16"/>
      <c r="Y16"/>
      <c r="Z16"/>
    </row>
    <row r="17" spans="1:26" x14ac:dyDescent="0.35">
      <c r="A17" s="147" t="s">
        <v>340</v>
      </c>
      <c r="B17" s="147"/>
      <c r="C17" s="147" t="s">
        <v>341</v>
      </c>
      <c r="D17" s="147"/>
      <c r="E17" s="147"/>
      <c r="F17" s="147"/>
      <c r="G17" s="147"/>
      <c r="H17" s="147"/>
      <c r="S17" s="52" t="s">
        <v>182</v>
      </c>
      <c r="T17" s="52" t="s">
        <v>190</v>
      </c>
      <c r="U17" s="52" t="s">
        <v>173</v>
      </c>
      <c r="V17" s="52" t="s">
        <v>197</v>
      </c>
      <c r="W17" s="52" t="s">
        <v>214</v>
      </c>
      <c r="X17"/>
      <c r="Y17"/>
      <c r="Z17"/>
    </row>
    <row r="18" spans="1:26" ht="15.75" customHeight="1" x14ac:dyDescent="0.35">
      <c r="A18" s="147" t="s">
        <v>163</v>
      </c>
      <c r="B18" s="147"/>
      <c r="C18" s="147" t="s">
        <v>179</v>
      </c>
      <c r="D18" s="147"/>
      <c r="E18" s="147"/>
      <c r="F18" s="147"/>
      <c r="G18" s="147"/>
      <c r="H18" s="147"/>
      <c r="S18" s="52" t="s">
        <v>183</v>
      </c>
      <c r="T18" s="52" t="s">
        <v>188</v>
      </c>
      <c r="U18" s="52"/>
      <c r="V18" s="52" t="s">
        <v>198</v>
      </c>
      <c r="W18" s="52" t="s">
        <v>215</v>
      </c>
      <c r="X18"/>
      <c r="Y18"/>
      <c r="Z18"/>
    </row>
    <row r="19" spans="1:26" ht="15.75" customHeight="1" x14ac:dyDescent="0.35">
      <c r="A19" s="147" t="s">
        <v>10</v>
      </c>
      <c r="B19" s="147"/>
      <c r="C19" s="133" t="s">
        <v>342</v>
      </c>
      <c r="D19" s="133"/>
      <c r="E19" s="147" t="s">
        <v>70</v>
      </c>
      <c r="F19" s="147"/>
      <c r="G19" s="147" t="s">
        <v>179</v>
      </c>
      <c r="H19" s="147"/>
      <c r="S19" s="52" t="s">
        <v>184</v>
      </c>
      <c r="T19" s="52" t="s">
        <v>191</v>
      </c>
      <c r="U19" s="52"/>
      <c r="V19" s="52" t="s">
        <v>199</v>
      </c>
      <c r="W19" s="52" t="s">
        <v>216</v>
      </c>
      <c r="X19"/>
      <c r="Y19"/>
      <c r="Z19"/>
    </row>
    <row r="20" spans="1:26" x14ac:dyDescent="0.35">
      <c r="A20" s="133" t="s">
        <v>12</v>
      </c>
      <c r="B20" s="133"/>
      <c r="C20" s="147" t="s">
        <v>343</v>
      </c>
      <c r="D20" s="147"/>
      <c r="E20" s="147" t="s">
        <v>11</v>
      </c>
      <c r="F20" s="147"/>
      <c r="G20" s="202" t="s">
        <v>179</v>
      </c>
      <c r="H20" s="202"/>
      <c r="S20" s="52" t="s">
        <v>185</v>
      </c>
      <c r="T20" s="52" t="s">
        <v>192</v>
      </c>
      <c r="U20" s="52"/>
      <c r="V20" s="52" t="s">
        <v>200</v>
      </c>
      <c r="W20" s="52" t="s">
        <v>217</v>
      </c>
      <c r="X20"/>
      <c r="Y20"/>
      <c r="Z20"/>
    </row>
    <row r="21" spans="1:26" x14ac:dyDescent="0.35">
      <c r="A21" s="133" t="s">
        <v>71</v>
      </c>
      <c r="B21" s="133"/>
      <c r="C21" s="147" t="s">
        <v>179</v>
      </c>
      <c r="D21" s="147"/>
      <c r="E21" s="147" t="s">
        <v>13</v>
      </c>
      <c r="F21" s="147"/>
      <c r="G21" s="147">
        <v>400604</v>
      </c>
      <c r="H21" s="147"/>
      <c r="S21" s="52"/>
      <c r="T21" s="52"/>
      <c r="U21" s="52"/>
      <c r="V21" s="52" t="s">
        <v>201</v>
      </c>
      <c r="W21" s="52" t="s">
        <v>218</v>
      </c>
      <c r="X21"/>
      <c r="Y21"/>
      <c r="Z21"/>
    </row>
    <row r="22" spans="1:26" ht="32.25" customHeight="1" x14ac:dyDescent="0.35">
      <c r="A22" s="133" t="s">
        <v>121</v>
      </c>
      <c r="B22" s="133"/>
      <c r="C22" s="147" t="s">
        <v>345</v>
      </c>
      <c r="D22" s="147"/>
      <c r="E22" s="147" t="s">
        <v>14</v>
      </c>
      <c r="F22" s="147"/>
      <c r="G22" s="147" t="s">
        <v>344</v>
      </c>
      <c r="H22" s="147"/>
      <c r="S22" s="52"/>
      <c r="T22" s="52"/>
      <c r="U22" s="52"/>
      <c r="V22" s="52" t="s">
        <v>202</v>
      </c>
      <c r="W22" s="52" t="s">
        <v>219</v>
      </c>
      <c r="X22"/>
      <c r="Y22"/>
      <c r="Z22"/>
    </row>
    <row r="23" spans="1:26" ht="15" customHeight="1" x14ac:dyDescent="0.35">
      <c r="A23" s="148" t="s">
        <v>73</v>
      </c>
      <c r="B23" s="148"/>
      <c r="C23" s="148"/>
      <c r="D23" s="148"/>
      <c r="E23" s="133" t="s">
        <v>15</v>
      </c>
      <c r="F23" s="133"/>
      <c r="G23" s="133"/>
      <c r="H23" s="133"/>
      <c r="S23" s="52"/>
      <c r="T23" s="52"/>
      <c r="U23" s="52"/>
      <c r="V23" s="52" t="s">
        <v>203</v>
      </c>
      <c r="W23" s="52" t="s">
        <v>220</v>
      </c>
      <c r="X23"/>
      <c r="Y23"/>
      <c r="Z23"/>
    </row>
    <row r="24" spans="1:26" ht="18.75" customHeight="1" x14ac:dyDescent="0.35">
      <c r="A24" s="148"/>
      <c r="B24" s="148"/>
      <c r="C24" s="148"/>
      <c r="D24" s="148"/>
      <c r="E24" s="133"/>
      <c r="F24" s="133"/>
      <c r="G24" s="133"/>
      <c r="H24" s="133"/>
      <c r="S24" s="52"/>
      <c r="T24" s="52"/>
      <c r="U24" s="52"/>
      <c r="V24" s="52" t="s">
        <v>204</v>
      </c>
      <c r="W24" s="52" t="s">
        <v>221</v>
      </c>
      <c r="X24"/>
      <c r="Y24"/>
      <c r="Z24"/>
    </row>
    <row r="25" spans="1:26" ht="15" customHeight="1" x14ac:dyDescent="0.35">
      <c r="A25" s="148" t="s">
        <v>16</v>
      </c>
      <c r="B25" s="148"/>
      <c r="C25" s="148"/>
      <c r="D25" s="148"/>
      <c r="E25" s="147" t="s">
        <v>17</v>
      </c>
      <c r="F25" s="147"/>
      <c r="G25" s="147"/>
      <c r="H25" s="147"/>
      <c r="S25" s="52"/>
      <c r="T25" s="52"/>
      <c r="U25" s="52"/>
      <c r="V25" s="52" t="s">
        <v>205</v>
      </c>
      <c r="W25" s="52" t="s">
        <v>222</v>
      </c>
      <c r="X25"/>
      <c r="Y25"/>
      <c r="Z25"/>
    </row>
    <row r="26" spans="1:26" ht="15" customHeight="1" x14ac:dyDescent="0.35">
      <c r="A26" s="168" t="s">
        <v>18</v>
      </c>
      <c r="B26" s="168"/>
      <c r="C26" s="168"/>
      <c r="D26" s="168"/>
      <c r="E26" s="147" t="str">
        <f>IF(AND(G20="Mumbai"),"Upper Class","Middle Class")</f>
        <v>Middle Class</v>
      </c>
      <c r="F26" s="147"/>
      <c r="G26" s="147"/>
      <c r="H26" s="147"/>
      <c r="S26" s="52"/>
      <c r="T26" s="52"/>
      <c r="U26" s="52"/>
      <c r="V26" s="52" t="s">
        <v>206</v>
      </c>
      <c r="W26" s="52" t="s">
        <v>223</v>
      </c>
      <c r="X26"/>
      <c r="Y26"/>
      <c r="Z26"/>
    </row>
    <row r="27" spans="1:26" x14ac:dyDescent="0.35">
      <c r="A27" s="168" t="s">
        <v>19</v>
      </c>
      <c r="B27" s="168"/>
      <c r="C27" s="168"/>
      <c r="D27" s="168"/>
      <c r="E27" s="147" t="s">
        <v>20</v>
      </c>
      <c r="F27" s="147"/>
      <c r="G27" s="147"/>
      <c r="H27" s="147"/>
      <c r="S27" s="52"/>
      <c r="T27" s="52"/>
      <c r="U27" s="52"/>
      <c r="V27" s="52" t="s">
        <v>207</v>
      </c>
      <c r="W27" s="52" t="s">
        <v>224</v>
      </c>
      <c r="X27"/>
      <c r="Y27"/>
      <c r="Z27"/>
    </row>
    <row r="28" spans="1:26" ht="15.75" customHeight="1" x14ac:dyDescent="0.35">
      <c r="A28" s="168" t="s">
        <v>21</v>
      </c>
      <c r="B28" s="168"/>
      <c r="C28" s="168"/>
      <c r="D28" s="168"/>
      <c r="E28" s="147" t="str">
        <f>IF(AND(G20="Mumbai"),"Developed","Developing")</f>
        <v>Developing</v>
      </c>
      <c r="F28" s="147"/>
      <c r="G28" s="147"/>
      <c r="H28" s="147"/>
    </row>
    <row r="29" spans="1:26" x14ac:dyDescent="0.35">
      <c r="A29" s="168" t="s">
        <v>22</v>
      </c>
      <c r="B29" s="168"/>
      <c r="C29" s="168"/>
      <c r="D29" s="168"/>
      <c r="E29" s="147" t="s">
        <v>23</v>
      </c>
      <c r="F29" s="147"/>
      <c r="G29" s="147"/>
      <c r="H29" s="147"/>
    </row>
    <row r="30" spans="1:26" ht="15.75" customHeight="1" x14ac:dyDescent="0.35">
      <c r="A30" s="168" t="s">
        <v>78</v>
      </c>
      <c r="B30" s="168"/>
      <c r="C30" s="168"/>
      <c r="D30" s="168"/>
      <c r="E30" s="147" t="s">
        <v>79</v>
      </c>
      <c r="F30" s="147"/>
      <c r="G30" s="147"/>
      <c r="H30" s="147"/>
    </row>
    <row r="31" spans="1:26" ht="15" customHeight="1" x14ac:dyDescent="0.35">
      <c r="A31" s="168" t="s">
        <v>30</v>
      </c>
      <c r="B31" s="168"/>
      <c r="C31" s="168"/>
      <c r="D31" s="168"/>
      <c r="E31" s="147"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Commercial</v>
      </c>
      <c r="F31" s="147"/>
      <c r="G31" s="147"/>
      <c r="H31" s="147"/>
    </row>
    <row r="32" spans="1:26" ht="15.75" customHeight="1" x14ac:dyDescent="0.35">
      <c r="A32" s="168" t="s">
        <v>90</v>
      </c>
      <c r="B32" s="168"/>
      <c r="C32" s="168"/>
      <c r="D32" s="168"/>
      <c r="E32" s="147" t="s">
        <v>31</v>
      </c>
      <c r="F32" s="147"/>
      <c r="G32" s="147"/>
      <c r="H32" s="147"/>
    </row>
    <row r="33" spans="1:19" s="22" customFormat="1" x14ac:dyDescent="0.35">
      <c r="A33" s="201" t="s">
        <v>91</v>
      </c>
      <c r="B33" s="201"/>
      <c r="C33" s="198" t="s">
        <v>174</v>
      </c>
      <c r="D33" s="199"/>
      <c r="E33" s="200"/>
      <c r="F33" s="198" t="s">
        <v>29</v>
      </c>
      <c r="G33" s="199"/>
      <c r="H33" s="200"/>
      <c r="S33" s="22" t="e">
        <f ca="1">OFFSET($S$13,1,MATCH($G20,$S$13:$W$13,0)-1,15,1)</f>
        <v>#VALUE!</v>
      </c>
    </row>
    <row r="34" spans="1:19" s="22" customFormat="1" x14ac:dyDescent="0.35">
      <c r="A34" s="164" t="s">
        <v>24</v>
      </c>
      <c r="B34" s="164" t="s">
        <v>28</v>
      </c>
      <c r="C34" s="165" t="s">
        <v>346</v>
      </c>
      <c r="D34" s="166"/>
      <c r="E34" s="167"/>
      <c r="F34" s="165" t="s">
        <v>349</v>
      </c>
      <c r="G34" s="166"/>
      <c r="H34" s="167"/>
    </row>
    <row r="35" spans="1:19" x14ac:dyDescent="0.35">
      <c r="A35" s="164" t="s">
        <v>25</v>
      </c>
      <c r="B35" s="164" t="s">
        <v>28</v>
      </c>
      <c r="C35" s="165" t="s">
        <v>347</v>
      </c>
      <c r="D35" s="166"/>
      <c r="E35" s="167"/>
      <c r="F35" s="165" t="s">
        <v>348</v>
      </c>
      <c r="G35" s="166"/>
      <c r="H35" s="167"/>
    </row>
    <row r="36" spans="1:19" s="22" customFormat="1" x14ac:dyDescent="0.35">
      <c r="A36" s="164" t="s">
        <v>27</v>
      </c>
      <c r="B36" s="164" t="s">
        <v>28</v>
      </c>
      <c r="C36" s="165" t="s">
        <v>346</v>
      </c>
      <c r="D36" s="166"/>
      <c r="E36" s="167"/>
      <c r="F36" s="165" t="s">
        <v>350</v>
      </c>
      <c r="G36" s="166"/>
      <c r="H36" s="167"/>
    </row>
    <row r="37" spans="1:19" x14ac:dyDescent="0.35">
      <c r="A37" s="164" t="s">
        <v>26</v>
      </c>
      <c r="B37" s="164" t="s">
        <v>28</v>
      </c>
      <c r="C37" s="165" t="s">
        <v>348</v>
      </c>
      <c r="D37" s="166"/>
      <c r="E37" s="167"/>
      <c r="F37" s="165" t="s">
        <v>348</v>
      </c>
      <c r="G37" s="166"/>
      <c r="H37" s="167"/>
    </row>
    <row r="38" spans="1:19" x14ac:dyDescent="0.35">
      <c r="A38" s="168" t="s">
        <v>280</v>
      </c>
      <c r="B38" s="168"/>
      <c r="C38" s="168"/>
      <c r="D38" s="168"/>
      <c r="E38" s="168"/>
      <c r="F38" s="168"/>
      <c r="G38" s="168"/>
      <c r="H38" s="168"/>
    </row>
    <row r="39" spans="1:19" ht="15.75" customHeight="1" x14ac:dyDescent="0.35">
      <c r="A39" s="168" t="s">
        <v>166</v>
      </c>
      <c r="B39" s="168"/>
      <c r="C39" s="170" t="s">
        <v>351</v>
      </c>
      <c r="D39" s="170"/>
      <c r="E39" s="170"/>
      <c r="F39" s="170"/>
      <c r="G39" s="170"/>
      <c r="H39" s="170"/>
    </row>
    <row r="40" spans="1:19" x14ac:dyDescent="0.35">
      <c r="A40" s="168" t="s">
        <v>162</v>
      </c>
      <c r="B40" s="168"/>
      <c r="C40" s="195" t="s">
        <v>352</v>
      </c>
      <c r="D40" s="147"/>
      <c r="E40" s="147"/>
      <c r="F40" s="147"/>
      <c r="G40" s="147"/>
      <c r="H40" s="147"/>
    </row>
    <row r="41" spans="1:19" x14ac:dyDescent="0.35">
      <c r="A41" s="170" t="s">
        <v>32</v>
      </c>
      <c r="B41" s="170"/>
      <c r="C41" s="170"/>
      <c r="D41" s="170"/>
      <c r="E41" s="170"/>
      <c r="F41" s="170"/>
      <c r="G41" s="170"/>
      <c r="H41" s="170"/>
    </row>
    <row r="42" spans="1:19" x14ac:dyDescent="0.35">
      <c r="A42" s="168" t="s">
        <v>33</v>
      </c>
      <c r="B42" s="168"/>
      <c r="C42" s="168"/>
      <c r="D42" s="168"/>
      <c r="E42" s="169">
        <v>2589</v>
      </c>
      <c r="F42" s="169"/>
      <c r="G42" s="169"/>
      <c r="H42" s="169"/>
    </row>
    <row r="43" spans="1:19" x14ac:dyDescent="0.35">
      <c r="A43" s="168" t="s">
        <v>34</v>
      </c>
      <c r="B43" s="168"/>
      <c r="C43" s="168"/>
      <c r="D43" s="168"/>
      <c r="E43" s="196">
        <v>1</v>
      </c>
      <c r="F43" s="196"/>
      <c r="G43" s="196"/>
      <c r="H43" s="196"/>
    </row>
    <row r="44" spans="1:19" x14ac:dyDescent="0.35">
      <c r="A44" s="168" t="s">
        <v>35</v>
      </c>
      <c r="B44" s="168"/>
      <c r="C44" s="168"/>
      <c r="D44" s="168"/>
      <c r="E44" s="196">
        <f>E46/E42-E43</f>
        <v>3.6491309385863273</v>
      </c>
      <c r="F44" s="196"/>
      <c r="G44" s="196"/>
      <c r="H44" s="196"/>
    </row>
    <row r="45" spans="1:19" x14ac:dyDescent="0.35">
      <c r="A45" s="168" t="s">
        <v>36</v>
      </c>
      <c r="B45" s="168"/>
      <c r="C45" s="168"/>
      <c r="D45" s="168"/>
      <c r="E45" s="196">
        <f>E43+E44</f>
        <v>4.6491309385863273</v>
      </c>
      <c r="F45" s="196"/>
      <c r="G45" s="196"/>
      <c r="H45" s="196"/>
    </row>
    <row r="46" spans="1:19" x14ac:dyDescent="0.35">
      <c r="A46" s="168" t="s">
        <v>89</v>
      </c>
      <c r="B46" s="168"/>
      <c r="C46" s="168"/>
      <c r="D46" s="168"/>
      <c r="E46" s="197">
        <v>12036.6</v>
      </c>
      <c r="F46" s="197"/>
      <c r="G46" s="197"/>
      <c r="H46" s="197"/>
    </row>
    <row r="47" spans="1:19" x14ac:dyDescent="0.35">
      <c r="A47" s="133" t="s">
        <v>37</v>
      </c>
      <c r="B47" s="133"/>
      <c r="C47" s="133"/>
      <c r="D47" s="133"/>
      <c r="E47" s="133" t="s">
        <v>120</v>
      </c>
      <c r="F47" s="133"/>
      <c r="G47" s="133"/>
      <c r="H47" s="133"/>
    </row>
    <row r="48" spans="1:19" x14ac:dyDescent="0.35">
      <c r="A48" s="170" t="s">
        <v>38</v>
      </c>
      <c r="B48" s="170"/>
      <c r="C48" s="170"/>
      <c r="D48" s="170"/>
      <c r="E48" s="170"/>
      <c r="F48" s="170"/>
      <c r="G48" s="170"/>
      <c r="H48" s="170"/>
    </row>
    <row r="49" spans="1:24" ht="33.75" customHeight="1" x14ac:dyDescent="0.35">
      <c r="A49" s="172" t="s">
        <v>153</v>
      </c>
      <c r="B49" s="174"/>
      <c r="C49" s="191" t="s">
        <v>269</v>
      </c>
      <c r="D49" s="192"/>
      <c r="E49" s="192"/>
      <c r="F49" s="192"/>
      <c r="G49" s="192"/>
      <c r="H49" s="193"/>
      <c r="R49" t="s">
        <v>253</v>
      </c>
      <c r="S49" s="57" t="s">
        <v>173</v>
      </c>
      <c r="T49" s="57" t="s">
        <v>179</v>
      </c>
      <c r="U49" s="57" t="s">
        <v>193</v>
      </c>
      <c r="V49" s="57" t="s">
        <v>188</v>
      </c>
    </row>
    <row r="50" spans="1:24" ht="30" customHeight="1" x14ac:dyDescent="0.35">
      <c r="A50" s="172" t="s">
        <v>39</v>
      </c>
      <c r="B50" s="174"/>
      <c r="C50" s="172" t="s">
        <v>389</v>
      </c>
      <c r="D50" s="173"/>
      <c r="E50" s="174"/>
      <c r="F50" s="18" t="s">
        <v>40</v>
      </c>
      <c r="G50" s="175">
        <v>45624</v>
      </c>
      <c r="H50" s="174"/>
      <c r="I50" s="172" t="s">
        <v>353</v>
      </c>
      <c r="J50" s="173"/>
      <c r="K50" s="174"/>
      <c r="R50"/>
      <c r="S50" s="57" t="s">
        <v>254</v>
      </c>
      <c r="T50" s="57" t="s">
        <v>259</v>
      </c>
      <c r="U50" s="57" t="s">
        <v>270</v>
      </c>
      <c r="V50" s="57" t="s">
        <v>275</v>
      </c>
    </row>
    <row r="51" spans="1:24" ht="29.25" customHeight="1" x14ac:dyDescent="0.35">
      <c r="A51" s="172" t="s">
        <v>41</v>
      </c>
      <c r="B51" s="174"/>
      <c r="C51" s="172" t="s">
        <v>389</v>
      </c>
      <c r="D51" s="173"/>
      <c r="E51" s="174"/>
      <c r="F51" s="18" t="s">
        <v>40</v>
      </c>
      <c r="G51" s="175">
        <f>G50</f>
        <v>45624</v>
      </c>
      <c r="H51" s="180"/>
      <c r="I51" s="172" t="str">
        <f>I50</f>
        <v>DE &amp; PA-III/THN/SPA/BPAMS/I-32533</v>
      </c>
      <c r="J51" s="173"/>
      <c r="K51" s="174"/>
      <c r="R51"/>
      <c r="S51" s="57" t="s">
        <v>255</v>
      </c>
      <c r="T51" s="57" t="s">
        <v>260</v>
      </c>
      <c r="U51" s="57" t="s">
        <v>268</v>
      </c>
      <c r="V51" s="57" t="s">
        <v>276</v>
      </c>
    </row>
    <row r="52" spans="1:24" s="23" customFormat="1" ht="30" customHeight="1" x14ac:dyDescent="0.35">
      <c r="A52" s="181" t="s">
        <v>366</v>
      </c>
      <c r="B52" s="182"/>
      <c r="C52" s="172" t="s">
        <v>389</v>
      </c>
      <c r="D52" s="173"/>
      <c r="E52" s="174"/>
      <c r="F52" s="18" t="s">
        <v>40</v>
      </c>
      <c r="G52" s="175">
        <f>G51</f>
        <v>45624</v>
      </c>
      <c r="H52" s="180"/>
      <c r="R52"/>
      <c r="S52" s="57" t="s">
        <v>256</v>
      </c>
      <c r="T52" s="57" t="s">
        <v>261</v>
      </c>
      <c r="U52" s="57" t="s">
        <v>258</v>
      </c>
      <c r="V52" s="57" t="s">
        <v>277</v>
      </c>
    </row>
    <row r="53" spans="1:24" s="23" customFormat="1" x14ac:dyDescent="0.35">
      <c r="A53" s="183"/>
      <c r="B53" s="184"/>
      <c r="C53" s="229" t="s">
        <v>390</v>
      </c>
      <c r="D53" s="230"/>
      <c r="E53" s="230"/>
      <c r="F53" s="230"/>
      <c r="G53" s="230"/>
      <c r="H53" s="231"/>
      <c r="R53"/>
      <c r="S53" s="57" t="s">
        <v>257</v>
      </c>
      <c r="T53" s="57" t="s">
        <v>264</v>
      </c>
      <c r="U53" s="57" t="s">
        <v>271</v>
      </c>
      <c r="V53" s="79"/>
    </row>
    <row r="54" spans="1:24" s="23" customFormat="1" x14ac:dyDescent="0.35">
      <c r="A54" s="188" t="s">
        <v>281</v>
      </c>
      <c r="B54" s="190"/>
      <c r="C54" s="229" t="s">
        <v>383</v>
      </c>
      <c r="D54" s="230"/>
      <c r="E54" s="231"/>
      <c r="F54" s="102" t="s">
        <v>40</v>
      </c>
      <c r="G54" s="232">
        <v>45609</v>
      </c>
      <c r="H54" s="231"/>
      <c r="R54"/>
      <c r="S54" s="57" t="s">
        <v>256</v>
      </c>
      <c r="T54" s="57" t="s">
        <v>261</v>
      </c>
      <c r="U54" s="57" t="s">
        <v>258</v>
      </c>
      <c r="V54" s="57" t="s">
        <v>277</v>
      </c>
    </row>
    <row r="55" spans="1:24" s="23" customFormat="1" ht="16.5" customHeight="1" x14ac:dyDescent="0.35">
      <c r="A55" s="227"/>
      <c r="B55" s="228"/>
      <c r="C55" s="233" t="s">
        <v>391</v>
      </c>
      <c r="D55" s="234"/>
      <c r="E55" s="234"/>
      <c r="F55" s="234"/>
      <c r="G55" s="234"/>
      <c r="H55" s="235"/>
      <c r="R55"/>
      <c r="S55" s="57" t="s">
        <v>258</v>
      </c>
      <c r="T55" s="57" t="s">
        <v>262</v>
      </c>
      <c r="U55" s="57" t="s">
        <v>272</v>
      </c>
      <c r="V55" s="80"/>
      <c r="W55" s="21"/>
      <c r="X55" s="21"/>
    </row>
    <row r="56" spans="1:24" s="23" customFormat="1" ht="34.5" hidden="1" customHeight="1" x14ac:dyDescent="0.35">
      <c r="A56" s="176" t="s">
        <v>282</v>
      </c>
      <c r="B56" s="177"/>
      <c r="C56" s="172"/>
      <c r="D56" s="173"/>
      <c r="E56" s="174"/>
      <c r="F56" s="18" t="s">
        <v>40</v>
      </c>
      <c r="G56" s="172">
        <f>G55</f>
        <v>0</v>
      </c>
      <c r="H56" s="174"/>
      <c r="R56"/>
      <c r="S56" s="80"/>
      <c r="T56" s="57" t="s">
        <v>263</v>
      </c>
      <c r="U56" s="57" t="s">
        <v>273</v>
      </c>
      <c r="V56" s="80"/>
      <c r="W56" s="21"/>
      <c r="X56" s="21"/>
    </row>
    <row r="57" spans="1:24" s="23" customFormat="1" ht="41.25" hidden="1" customHeight="1" x14ac:dyDescent="0.35">
      <c r="A57" s="178"/>
      <c r="B57" s="179"/>
      <c r="C57" s="172"/>
      <c r="D57" s="173"/>
      <c r="E57" s="173"/>
      <c r="F57" s="173"/>
      <c r="G57" s="173"/>
      <c r="H57" s="174"/>
      <c r="R57"/>
      <c r="S57" s="80"/>
      <c r="T57" s="57" t="s">
        <v>265</v>
      </c>
      <c r="U57" s="57" t="s">
        <v>274</v>
      </c>
      <c r="V57" s="80"/>
      <c r="W57" s="21"/>
      <c r="X57" s="21"/>
    </row>
    <row r="58" spans="1:24" s="23" customFormat="1" ht="15.75" hidden="1" customHeight="1" x14ac:dyDescent="0.35">
      <c r="A58" s="176" t="s">
        <v>283</v>
      </c>
      <c r="B58" s="177"/>
      <c r="C58" s="172">
        <f>C57</f>
        <v>0</v>
      </c>
      <c r="D58" s="173"/>
      <c r="E58" s="174"/>
      <c r="F58" s="18" t="s">
        <v>40</v>
      </c>
      <c r="G58" s="172">
        <f>G57</f>
        <v>0</v>
      </c>
      <c r="H58" s="174"/>
      <c r="R58"/>
      <c r="S58" s="80"/>
      <c r="T58" s="57" t="s">
        <v>266</v>
      </c>
      <c r="U58" s="80" t="s">
        <v>297</v>
      </c>
      <c r="V58" s="80"/>
      <c r="W58" s="21"/>
      <c r="X58" s="21"/>
    </row>
    <row r="59" spans="1:24" s="23" customFormat="1" ht="33.75" hidden="1" customHeight="1" x14ac:dyDescent="0.35">
      <c r="A59" s="178"/>
      <c r="B59" s="179"/>
      <c r="C59" s="172"/>
      <c r="D59" s="173"/>
      <c r="E59" s="173"/>
      <c r="F59" s="173"/>
      <c r="G59" s="173"/>
      <c r="H59" s="174"/>
      <c r="R59"/>
      <c r="S59" s="80"/>
      <c r="T59" s="57" t="s">
        <v>267</v>
      </c>
      <c r="U59" s="80"/>
      <c r="V59" s="80"/>
      <c r="W59" s="21"/>
      <c r="X59" s="21"/>
    </row>
    <row r="60" spans="1:24" x14ac:dyDescent="0.35">
      <c r="A60" s="247" t="s">
        <v>42</v>
      </c>
      <c r="B60" s="248"/>
      <c r="C60" s="247" t="s">
        <v>103</v>
      </c>
      <c r="D60" s="249"/>
      <c r="E60" s="248"/>
      <c r="F60" s="43" t="s">
        <v>40</v>
      </c>
      <c r="G60" s="225" t="s">
        <v>28</v>
      </c>
      <c r="H60" s="226"/>
      <c r="R60"/>
      <c r="S60" s="80"/>
      <c r="T60" s="57" t="s">
        <v>269</v>
      </c>
      <c r="U60" s="80"/>
      <c r="V60" s="80"/>
    </row>
    <row r="61" spans="1:24" x14ac:dyDescent="0.35">
      <c r="A61" s="224" t="s">
        <v>44</v>
      </c>
      <c r="B61" s="224"/>
      <c r="C61" s="224"/>
      <c r="D61" s="224"/>
      <c r="E61" s="224"/>
      <c r="F61" s="224"/>
      <c r="G61" s="224"/>
      <c r="H61" s="224"/>
      <c r="S61" s="80"/>
      <c r="T61" s="57" t="s">
        <v>278</v>
      </c>
      <c r="U61" s="80"/>
      <c r="V61" s="80"/>
    </row>
    <row r="62" spans="1:24" x14ac:dyDescent="0.35">
      <c r="A62" s="148" t="s">
        <v>88</v>
      </c>
      <c r="B62" s="148"/>
      <c r="C62" s="148"/>
      <c r="D62" s="133">
        <f>E46</f>
        <v>12036.6</v>
      </c>
      <c r="E62" s="133"/>
      <c r="F62" s="133"/>
      <c r="G62" s="133"/>
      <c r="H62" s="133"/>
      <c r="R62"/>
    </row>
    <row r="63" spans="1:24" ht="68.25" customHeight="1" x14ac:dyDescent="0.35">
      <c r="A63" s="147" t="s">
        <v>45</v>
      </c>
      <c r="B63" s="133"/>
      <c r="C63" s="133"/>
      <c r="D63" s="147" t="s">
        <v>395</v>
      </c>
      <c r="E63" s="133"/>
      <c r="F63" s="133"/>
      <c r="G63" s="133"/>
      <c r="H63" s="133"/>
      <c r="I63" s="24"/>
      <c r="R63"/>
    </row>
    <row r="64" spans="1:24" ht="15.75" customHeight="1" x14ac:dyDescent="0.35">
      <c r="A64" s="188" t="s">
        <v>46</v>
      </c>
      <c r="B64" s="189"/>
      <c r="C64" s="190"/>
      <c r="D64" s="185" t="s">
        <v>363</v>
      </c>
      <c r="E64" s="186"/>
      <c r="F64" s="186"/>
      <c r="G64" s="186"/>
      <c r="H64" s="187"/>
      <c r="R64"/>
    </row>
    <row r="65" spans="1:19" ht="15.75" customHeight="1" x14ac:dyDescent="0.35">
      <c r="A65" s="188" t="s">
        <v>86</v>
      </c>
      <c r="B65" s="189"/>
      <c r="C65" s="189"/>
      <c r="D65" s="185" t="s">
        <v>363</v>
      </c>
      <c r="E65" s="186"/>
      <c r="F65" s="186"/>
      <c r="G65" s="186"/>
      <c r="H65" s="187"/>
      <c r="R65"/>
    </row>
    <row r="66" spans="1:19" ht="15.75" customHeight="1" x14ac:dyDescent="0.35">
      <c r="A66" s="133" t="s">
        <v>43</v>
      </c>
      <c r="B66" s="133"/>
      <c r="C66" s="133"/>
      <c r="D66" s="171" t="s">
        <v>354</v>
      </c>
      <c r="E66" s="171"/>
      <c r="F66" s="171"/>
      <c r="G66" s="171"/>
      <c r="H66" s="171"/>
      <c r="J66" s="25"/>
      <c r="K66" s="24"/>
      <c r="N66" s="24"/>
      <c r="S66"/>
    </row>
    <row r="67" spans="1:19" ht="15.75" customHeight="1" x14ac:dyDescent="0.35">
      <c r="A67" s="133" t="s">
        <v>84</v>
      </c>
      <c r="B67" s="133"/>
      <c r="C67" s="133"/>
      <c r="D67" s="194" t="str">
        <f>(IF(G60="NA","60 Years After Completion",IF(G60&lt;&gt;"NA",""&amp;60-ROUNDDOWN((E3-G60)/360,0)&amp;" Years"," ")))</f>
        <v>60 Years After Completion</v>
      </c>
      <c r="E67" s="194"/>
      <c r="F67" s="194"/>
      <c r="G67" s="194"/>
      <c r="H67" s="194"/>
      <c r="N67" s="24"/>
      <c r="S67"/>
    </row>
    <row r="68" spans="1:19" ht="15.75" customHeight="1" x14ac:dyDescent="0.35">
      <c r="A68" s="133" t="s">
        <v>85</v>
      </c>
      <c r="B68" s="133"/>
      <c r="C68" s="133"/>
      <c r="D68" s="148" t="s">
        <v>23</v>
      </c>
      <c r="E68" s="148"/>
      <c r="F68" s="148"/>
      <c r="G68" s="148"/>
      <c r="H68" s="148"/>
      <c r="J68" s="26"/>
      <c r="K68" s="26"/>
      <c r="S68"/>
    </row>
    <row r="69" spans="1:19" ht="34.5" customHeight="1" x14ac:dyDescent="0.35">
      <c r="A69" s="146" t="s">
        <v>364</v>
      </c>
      <c r="B69" s="146"/>
      <c r="C69" s="146"/>
      <c r="D69" s="147" t="s">
        <v>362</v>
      </c>
      <c r="E69" s="148"/>
      <c r="F69" s="148"/>
      <c r="G69" s="148"/>
      <c r="H69" s="148"/>
      <c r="S69"/>
    </row>
    <row r="70" spans="1:19" x14ac:dyDescent="0.35">
      <c r="A70" s="147" t="s">
        <v>149</v>
      </c>
      <c r="B70" s="147"/>
      <c r="C70" s="147"/>
      <c r="D70" s="148" t="s">
        <v>28</v>
      </c>
      <c r="E70" s="148"/>
      <c r="F70" s="148"/>
      <c r="G70" s="148"/>
      <c r="H70" s="148"/>
      <c r="I70" s="27"/>
      <c r="J70" s="27"/>
      <c r="K70" s="27"/>
      <c r="L70" s="27"/>
      <c r="M70" s="27"/>
      <c r="N70" s="27"/>
    </row>
    <row r="71" spans="1:19" ht="15.75" customHeight="1" x14ac:dyDescent="0.35">
      <c r="A71" s="133" t="s">
        <v>83</v>
      </c>
      <c r="B71" s="133"/>
      <c r="C71" s="133"/>
      <c r="D71" s="147" t="str">
        <f ca="1">(IF(G77&gt;95%,"Nothing",IF(G77&gt;0%,"Cement, Aggregate, Steel, etc",IF(G77=0%,"Work not yet Started"))))</f>
        <v>Cement, Aggregate, Steel, etc</v>
      </c>
      <c r="E71" s="147"/>
      <c r="F71" s="147"/>
      <c r="G71" s="147"/>
      <c r="H71" s="147"/>
      <c r="J71" s="26"/>
      <c r="S71"/>
    </row>
    <row r="72" spans="1:19" ht="33.75" customHeight="1" thickBot="1" x14ac:dyDescent="0.4">
      <c r="A72" s="148" t="s">
        <v>116</v>
      </c>
      <c r="B72" s="148"/>
      <c r="C72" s="148"/>
      <c r="D72" s="147" t="str">
        <f ca="1">(IF(D71="Nothing","Yes",IF(D71="Cement, Aggregate, Steel, etc","Under Construction",IF(D71="Work not yet Started","Work not yet Started"))))</f>
        <v>Under Construction</v>
      </c>
      <c r="E72" s="147"/>
      <c r="F72" s="147" t="str">
        <f ca="1">(IF(D71="Nothing","Yes",IF(D71="Cement, Aggregate, Steel, etc","Under Construction",IF(D71="Work not yet Started","Work not yet Started"))))</f>
        <v>Under Construction</v>
      </c>
      <c r="G72" s="147"/>
      <c r="H72" s="147"/>
      <c r="S72"/>
    </row>
    <row r="73" spans="1:19" ht="15.75" customHeight="1" x14ac:dyDescent="0.35">
      <c r="A73" s="159" t="s">
        <v>139</v>
      </c>
      <c r="B73" s="159"/>
      <c r="C73" s="159" t="str">
        <f>D65</f>
        <v>G + 4P + 1st to 15th Floor</v>
      </c>
      <c r="D73" s="159"/>
      <c r="E73" s="159"/>
      <c r="F73" s="159"/>
      <c r="G73" s="159"/>
      <c r="H73" s="159"/>
      <c r="I73" s="257" t="str">
        <f ca="1">IF(D86=100%,"All work Completed. Possession granted to the Building.",IF(D85=100%,"All work Completed, Waiting for OC",I74&amp;""&amp;I75&amp;""&amp;J74&amp;""&amp;J73&amp;" "&amp;J75))</f>
        <v xml:space="preserve">Excavation, Plinth, RCC Slab, Brickwork Completed </v>
      </c>
      <c r="J73" s="47"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c>
      <c r="S73"/>
    </row>
    <row r="74" spans="1:19" x14ac:dyDescent="0.35">
      <c r="A74" s="50" t="s">
        <v>141</v>
      </c>
      <c r="B74" s="50">
        <f>IF(AND(ISNUMBER(SEARCH("1B",C73))),1,IF(AND(ISNUMBER(SEARCH("2B",C73))),2,IF(AND(ISNUMBER(SEARCH("3B",C73))),3,IF(AND(ISNUMBER(SEARCH("4B",C73))),4,IF(ISNUMBER(SEARCH("5B",C73)),5,0)))))</f>
        <v>0</v>
      </c>
      <c r="C74" s="50" t="s">
        <v>69</v>
      </c>
      <c r="D74" s="50">
        <v>1</v>
      </c>
      <c r="E74" s="50" t="s">
        <v>68</v>
      </c>
      <c r="F74" s="50">
        <v>4</v>
      </c>
      <c r="G74" s="50" t="s">
        <v>77</v>
      </c>
      <c r="H74" s="50">
        <f ca="1">--TRIM(RIGHT(SUBSTITUTE(LEFT(C73,_xlfn.AGGREGATE(16,6,FIND({0,1,2,3,4,5,6,7,8,9},C73,ROW(INDIRECT("1:"&amp;LEN(C73)))),1))," ",REPT(" ",LEN(C73))),LEN(C73)))</f>
        <v>15</v>
      </c>
      <c r="I74" s="258" t="str">
        <f ca="1">IF(D77=100%,"Excavation","")&amp;IF(D78=100%,", Plinth","")&amp;IF(D79=100%,", RCC Slab","")&amp;IF(D80=100%,", Brickwork","")&amp;IF(D81=100%,", Internal Plaster","")&amp;IF(D82=100%,", External Plaster","")&amp;IF(D83=100%,", Flooring","")&amp;IF(D84=100%,", Painting","")&amp;IF(D85=100%,", Building common Amenities","")</f>
        <v>Excavation, Plinth, RCC Slab, Brickwork</v>
      </c>
      <c r="J74" s="49"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x14ac:dyDescent="0.35">
      <c r="A75" s="206" t="s">
        <v>87</v>
      </c>
      <c r="B75" s="206"/>
      <c r="C75" s="159" t="str">
        <f ca="1">I73</f>
        <v xml:space="preserve">Excavation, Plinth, RCC Slab, Brickwork Completed </v>
      </c>
      <c r="D75" s="159"/>
      <c r="E75" s="159"/>
      <c r="F75" s="159"/>
      <c r="G75" s="159"/>
      <c r="H75" s="159"/>
      <c r="I75" s="258" t="str">
        <f ca="1">IF(I74&lt;&gt;""," Completed","")</f>
        <v xml:space="preserve"> Completed</v>
      </c>
      <c r="J75" s="49" t="str">
        <f ca="1">IF(J73&lt;&gt;"","Completed","")</f>
        <v/>
      </c>
      <c r="S75"/>
    </row>
    <row r="76" spans="1:19" ht="15.75" customHeight="1" x14ac:dyDescent="0.35">
      <c r="A76" s="156" t="s">
        <v>47</v>
      </c>
      <c r="B76" s="156"/>
      <c r="C76" s="101" t="s">
        <v>138</v>
      </c>
      <c r="D76" s="101" t="s">
        <v>80</v>
      </c>
      <c r="E76" s="156" t="s">
        <v>82</v>
      </c>
      <c r="F76" s="156"/>
      <c r="G76" s="156" t="s">
        <v>81</v>
      </c>
      <c r="H76" s="156"/>
      <c r="I76" s="13" t="s">
        <v>140</v>
      </c>
      <c r="J76" s="28">
        <f ca="1">H74*25%</f>
        <v>3.75</v>
      </c>
      <c r="S76"/>
    </row>
    <row r="77" spans="1:19" x14ac:dyDescent="0.35">
      <c r="A77" s="156" t="s">
        <v>127</v>
      </c>
      <c r="B77" s="156"/>
      <c r="C77" s="101">
        <f ca="1">J78</f>
        <v>15</v>
      </c>
      <c r="D77" s="89">
        <f ca="1">((100/H74)*C77)/100</f>
        <v>1</v>
      </c>
      <c r="E77" s="264">
        <f ca="1">(((C78/H74*10)+(40/(D74+F74+H74)*C79)+(7.5/(H74)*C80)+(7.5/(H74)*C81)+(10/H74*C82)+(10/H74*C83)+(5/H74*C84)+(5/H74*C85)+(5/H74*C86))/100)</f>
        <v>0.57499999999999996</v>
      </c>
      <c r="F77" s="264"/>
      <c r="G77" s="264">
        <f ca="1">((((C77/H74)*20)+((C78/H74)*25)+(30/(H74+F74+D74)*C79)+(5/H74*C80)+(5/H74*C81)+(5/H74*C82)+(5/H74*C83)+(0/H74*C84)+(0/H74*C85)+(5/H74*C86))/100)</f>
        <v>0.8</v>
      </c>
      <c r="H77" s="264"/>
      <c r="I77" s="13" t="s">
        <v>98</v>
      </c>
      <c r="J77" s="29">
        <f ca="1">H74*50%</f>
        <v>7.5</v>
      </c>
    </row>
    <row r="78" spans="1:19" x14ac:dyDescent="0.35">
      <c r="A78" s="156" t="s">
        <v>48</v>
      </c>
      <c r="B78" s="156"/>
      <c r="C78" s="101">
        <f ca="1">J86</f>
        <v>15</v>
      </c>
      <c r="D78" s="89">
        <f ca="1">((100/H74)*C78)/100</f>
        <v>1</v>
      </c>
      <c r="E78" s="264"/>
      <c r="F78" s="264"/>
      <c r="G78" s="264"/>
      <c r="H78" s="264"/>
      <c r="I78" s="13" t="s">
        <v>99</v>
      </c>
      <c r="J78" s="29">
        <f ca="1">H74</f>
        <v>15</v>
      </c>
      <c r="S78"/>
    </row>
    <row r="79" spans="1:19" ht="15.75" customHeight="1" x14ac:dyDescent="0.35">
      <c r="A79" s="156" t="s">
        <v>128</v>
      </c>
      <c r="B79" s="156"/>
      <c r="C79" s="101">
        <f>F74+16</f>
        <v>20</v>
      </c>
      <c r="D79" s="89">
        <f ca="1">((100/(D74+F74+H74))*C79)/100</f>
        <v>1</v>
      </c>
      <c r="E79" s="264"/>
      <c r="F79" s="264"/>
      <c r="G79" s="264"/>
      <c r="H79" s="264"/>
      <c r="I79" s="13" t="s">
        <v>100</v>
      </c>
      <c r="J79" s="30">
        <f ca="1">(IF(B74&gt;1,(H74/(B74+2)),H74/4))</f>
        <v>3.75</v>
      </c>
      <c r="S79"/>
    </row>
    <row r="80" spans="1:19" ht="15.75" customHeight="1" x14ac:dyDescent="0.35">
      <c r="A80" s="156" t="s">
        <v>135</v>
      </c>
      <c r="B80" s="156" t="s">
        <v>129</v>
      </c>
      <c r="C80" s="101">
        <v>15</v>
      </c>
      <c r="D80" s="89">
        <f ca="1">((100/H74)*C80)/100</f>
        <v>1</v>
      </c>
      <c r="E80" s="264"/>
      <c r="F80" s="264"/>
      <c r="G80" s="264"/>
      <c r="H80" s="264"/>
      <c r="I80" s="13" t="s">
        <v>101</v>
      </c>
      <c r="J80" s="30">
        <f ca="1">(IF(B74&gt;1,(H74/(B74+2)+J79),H74/4+J79))</f>
        <v>7.5</v>
      </c>
    </row>
    <row r="81" spans="1:19" ht="15.75" customHeight="1" x14ac:dyDescent="0.35">
      <c r="A81" s="156" t="s">
        <v>136</v>
      </c>
      <c r="B81" s="156" t="s">
        <v>129</v>
      </c>
      <c r="C81" s="101">
        <v>0</v>
      </c>
      <c r="D81" s="89">
        <f ca="1">((100/H74)*C81)/100</f>
        <v>0</v>
      </c>
      <c r="E81" s="264"/>
      <c r="F81" s="264"/>
      <c r="G81" s="264"/>
      <c r="H81" s="264"/>
      <c r="I81" s="13" t="s">
        <v>147</v>
      </c>
      <c r="J81" s="30">
        <f>(IF(B74&gt;1,(H74/(B74+2)+J80),0))</f>
        <v>0</v>
      </c>
    </row>
    <row r="82" spans="1:19" ht="15" customHeight="1" x14ac:dyDescent="0.35">
      <c r="A82" s="156" t="s">
        <v>134</v>
      </c>
      <c r="B82" s="156" t="s">
        <v>131</v>
      </c>
      <c r="C82" s="101">
        <v>0</v>
      </c>
      <c r="D82" s="89">
        <f ca="1">((100/(H74))*C82)/100</f>
        <v>0</v>
      </c>
      <c r="E82" s="264"/>
      <c r="F82" s="264"/>
      <c r="G82" s="264"/>
      <c r="H82" s="264"/>
      <c r="I82" s="13" t="s">
        <v>142</v>
      </c>
      <c r="J82" s="30">
        <f>(IF(B74&gt;2,(H74/(B74+2)+J81),0))</f>
        <v>0</v>
      </c>
    </row>
    <row r="83" spans="1:19" ht="15.75" customHeight="1" x14ac:dyDescent="0.35">
      <c r="A83" s="156" t="s">
        <v>130</v>
      </c>
      <c r="B83" s="156" t="s">
        <v>130</v>
      </c>
      <c r="C83" s="101">
        <v>0</v>
      </c>
      <c r="D83" s="89">
        <f ca="1">((100/H74)*C83)/100</f>
        <v>0</v>
      </c>
      <c r="E83" s="264"/>
      <c r="F83" s="264"/>
      <c r="G83" s="264"/>
      <c r="H83" s="264"/>
      <c r="I83" s="13" t="s">
        <v>143</v>
      </c>
      <c r="J83" s="31">
        <f>(IF(B74&gt;3,(H74/(B74+2)+J82),0))</f>
        <v>0</v>
      </c>
    </row>
    <row r="84" spans="1:19" ht="15.75" customHeight="1" x14ac:dyDescent="0.35">
      <c r="A84" s="156" t="s">
        <v>137</v>
      </c>
      <c r="B84" s="156"/>
      <c r="C84" s="101">
        <v>0</v>
      </c>
      <c r="D84" s="89">
        <f ca="1">((100/H74)*C84)/100</f>
        <v>0</v>
      </c>
      <c r="E84" s="264"/>
      <c r="F84" s="264"/>
      <c r="G84" s="264"/>
      <c r="H84" s="264"/>
      <c r="I84" s="13" t="s">
        <v>144</v>
      </c>
      <c r="J84" s="30">
        <f>(IF(B74&gt;4,(H74/(B74+2)+J83),0))</f>
        <v>0</v>
      </c>
    </row>
    <row r="85" spans="1:19" ht="15.75" customHeight="1" x14ac:dyDescent="0.35">
      <c r="A85" s="156" t="s">
        <v>132</v>
      </c>
      <c r="B85" s="156" t="s">
        <v>132</v>
      </c>
      <c r="C85" s="101">
        <v>0</v>
      </c>
      <c r="D85" s="89">
        <f ca="1">((100/(H74))*C85)/100</f>
        <v>0</v>
      </c>
      <c r="E85" s="264"/>
      <c r="F85" s="264"/>
      <c r="G85" s="264"/>
      <c r="H85" s="264"/>
      <c r="I85" s="13" t="s">
        <v>148</v>
      </c>
      <c r="J85" s="30">
        <f ca="1">(IF(B74=1,(H74/(B74+3)+J80),IF(B74=0,(H74/4+J80),IF(B74&gt;1,0))))</f>
        <v>11.25</v>
      </c>
    </row>
    <row r="86" spans="1:19" ht="16" thickBot="1" x14ac:dyDescent="0.4">
      <c r="A86" s="156" t="s">
        <v>133</v>
      </c>
      <c r="B86" s="156"/>
      <c r="C86" s="101">
        <v>0</v>
      </c>
      <c r="D86" s="89">
        <f ca="1">((100/(H74))*C86)/100</f>
        <v>0</v>
      </c>
      <c r="E86" s="264"/>
      <c r="F86" s="264"/>
      <c r="G86" s="264"/>
      <c r="H86" s="264"/>
      <c r="I86" s="15" t="s">
        <v>102</v>
      </c>
      <c r="J86" s="32">
        <f ca="1">(IF(B74&gt;1.5,(H74/(B74+2)+J80+MAX(0,J81-J80)+MAX(0,J82-J81)+MAX(0,J83-J82)+MAX(0,J84-J83)+MAX(0,J85-J84)),IF(B74=1,(H74/(B74+3)+J85),IF(B74=0,H74/4+J85))))</f>
        <v>15</v>
      </c>
    </row>
    <row r="87" spans="1:19" ht="15.75" hidden="1" customHeight="1" x14ac:dyDescent="0.35">
      <c r="A87" s="259" t="s">
        <v>139</v>
      </c>
      <c r="B87" s="260"/>
      <c r="C87" s="261" t="e">
        <f>#REF!</f>
        <v>#REF!</v>
      </c>
      <c r="D87" s="262"/>
      <c r="E87" s="262"/>
      <c r="F87" s="262"/>
      <c r="G87" s="262"/>
      <c r="H87" s="263"/>
      <c r="I87" s="46" t="e">
        <f ca="1">IF(D100=100%,"All work Completed. Possession granted to the Building.",IF(D99=100%,"All work Completed, Waiting for OC",I88&amp;""&amp;I89&amp;""&amp;J88&amp;""&amp;J87&amp;" "&amp;J89))</f>
        <v>#REF!</v>
      </c>
      <c r="J87" s="47" t="e">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#REF!</v>
      </c>
      <c r="S87"/>
    </row>
    <row r="88" spans="1:19" hidden="1" x14ac:dyDescent="0.35">
      <c r="A88" s="16" t="s">
        <v>141</v>
      </c>
      <c r="B88" s="50">
        <f>IF(AND(ISNUMBER(SEARCH("1B",C87))),1,IF(AND(ISNUMBER(SEARCH("2B",C87))),2,IF(AND(ISNUMBER(SEARCH("3B",C87))),3,IF(AND(ISNUMBER(SEARCH("4B",C87))),4,IF(ISNUMBER(SEARCH("5B",C87)),5,0)))))</f>
        <v>0</v>
      </c>
      <c r="C88" s="50" t="s">
        <v>69</v>
      </c>
      <c r="D88" s="50">
        <v>1</v>
      </c>
      <c r="E88" s="50" t="s">
        <v>68</v>
      </c>
      <c r="F88" s="14">
        <v>0</v>
      </c>
      <c r="G88" s="45" t="s">
        <v>77</v>
      </c>
      <c r="H88" s="17" t="e">
        <f ca="1">--TRIM(RIGHT(SUBSTITUTE(LEFT(C87,_xlfn.AGGREGATE(16,6,FIND({0,1,2,3,4,5,6,7,8,9},C87,ROW(INDIRECT("1:"&amp;LEN(C87)))),1))," ",REPT(" ",LEN(C87))),LEN(C87)))</f>
        <v>#REF!</v>
      </c>
      <c r="I88" s="48" t="e">
        <f ca="1">IF(D91=100%,"Excavation","")&amp;IF(D92=100%,", Plinth","")&amp;IF(D93=100%,", RCC Slab","")&amp;IF(D94=100%,", Brickwork","")&amp;IF(D95=100%,", Internal Plaster","")&amp;IF(D96=100%,", External Plaster","")&amp;IF(D97=100%,", Flooring","")&amp;IF(D98=100%,", Painting","")&amp;IF(D99=100%,", Building common Amenities","")</f>
        <v>#REF!</v>
      </c>
      <c r="J88" s="49" t="e">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#REF!</v>
      </c>
      <c r="S88"/>
    </row>
    <row r="89" spans="1:19" ht="36.75" hidden="1" customHeight="1" x14ac:dyDescent="0.35">
      <c r="A89" s="223" t="s">
        <v>87</v>
      </c>
      <c r="B89" s="206"/>
      <c r="C89" s="159" t="e">
        <f ca="1">I87</f>
        <v>#REF!</v>
      </c>
      <c r="D89" s="159"/>
      <c r="E89" s="159"/>
      <c r="F89" s="159"/>
      <c r="G89" s="159"/>
      <c r="H89" s="160"/>
      <c r="I89" s="48" t="e">
        <f ca="1">IF(I88&lt;&gt;""," Completed","")</f>
        <v>#REF!</v>
      </c>
      <c r="J89" s="49" t="e">
        <f ca="1">IF(J87&lt;&gt;"","Completed","")</f>
        <v>#REF!</v>
      </c>
      <c r="S89"/>
    </row>
    <row r="90" spans="1:19" ht="15.75" hidden="1" customHeight="1" x14ac:dyDescent="0.35">
      <c r="A90" s="134" t="s">
        <v>47</v>
      </c>
      <c r="B90" s="117"/>
      <c r="C90" s="82" t="s">
        <v>138</v>
      </c>
      <c r="D90" s="82" t="s">
        <v>80</v>
      </c>
      <c r="E90" s="117" t="s">
        <v>82</v>
      </c>
      <c r="F90" s="117"/>
      <c r="G90" s="117" t="s">
        <v>81</v>
      </c>
      <c r="H90" s="125"/>
      <c r="I90" s="13" t="s">
        <v>140</v>
      </c>
      <c r="J90" s="28" t="e">
        <f ca="1">H88*25%</f>
        <v>#REF!</v>
      </c>
      <c r="S90"/>
    </row>
    <row r="91" spans="1:19" hidden="1" x14ac:dyDescent="0.35">
      <c r="A91" s="134" t="s">
        <v>127</v>
      </c>
      <c r="B91" s="117"/>
      <c r="C91" s="61" t="e">
        <f ca="1">J92</f>
        <v>#REF!</v>
      </c>
      <c r="D91" s="19" t="e">
        <f ca="1">((100/H88)*C91)/100</f>
        <v>#REF!</v>
      </c>
      <c r="E91" s="118" t="e">
        <f ca="1">(((C92/H88*10)+(40/(D88+F88+H88)*C93)+(7.5/(H88)*C94)+(7.5/(H88)*C95)+(10/H88*C96)+(10/H88*C97)+(5/H88*C98)+(5/H88*C99)+(5/H88*C100))/100)</f>
        <v>#REF!</v>
      </c>
      <c r="F91" s="119"/>
      <c r="G91" s="118" t="e">
        <f ca="1">((((C91/H88)*20)+((C92/H88)*25)+(30/(H88+F88+D88)*C93)+(5/H88*C94)+(5/H88*C95)+(5/H88*C96)+(5/H88*C97)+(0/H88*C98)+(0/H88*C99)+(5/H88*C100))/100)</f>
        <v>#REF!</v>
      </c>
      <c r="H91" s="161"/>
      <c r="I91" s="13" t="s">
        <v>98</v>
      </c>
      <c r="J91" s="29" t="e">
        <f ca="1">H88*50%</f>
        <v>#REF!</v>
      </c>
    </row>
    <row r="92" spans="1:19" hidden="1" x14ac:dyDescent="0.35">
      <c r="A92" s="134" t="s">
        <v>48</v>
      </c>
      <c r="B92" s="117"/>
      <c r="C92" s="82" t="e">
        <f ca="1">J100</f>
        <v>#REF!</v>
      </c>
      <c r="D92" s="19" t="e">
        <f ca="1">((100/H88)*C92)/100</f>
        <v>#REF!</v>
      </c>
      <c r="E92" s="120"/>
      <c r="F92" s="121"/>
      <c r="G92" s="120"/>
      <c r="H92" s="162"/>
      <c r="I92" s="13" t="s">
        <v>99</v>
      </c>
      <c r="J92" s="29" t="e">
        <f ca="1">H88</f>
        <v>#REF!</v>
      </c>
      <c r="S92"/>
    </row>
    <row r="93" spans="1:19" ht="15.75" hidden="1" customHeight="1" x14ac:dyDescent="0.35">
      <c r="A93" s="134" t="s">
        <v>128</v>
      </c>
      <c r="B93" s="117"/>
      <c r="C93" s="82">
        <v>0</v>
      </c>
      <c r="D93" s="19" t="e">
        <f ca="1">((100/(D88+F88+H88))*C93)/100</f>
        <v>#REF!</v>
      </c>
      <c r="E93" s="120"/>
      <c r="F93" s="121"/>
      <c r="G93" s="120"/>
      <c r="H93" s="162"/>
      <c r="I93" s="13" t="s">
        <v>100</v>
      </c>
      <c r="J93" s="30" t="e">
        <f ca="1">(IF(B88&gt;1,(H88/(B88+2)),H88/4))</f>
        <v>#REF!</v>
      </c>
      <c r="S93"/>
    </row>
    <row r="94" spans="1:19" ht="15.75" hidden="1" customHeight="1" x14ac:dyDescent="0.35">
      <c r="A94" s="134" t="s">
        <v>135</v>
      </c>
      <c r="B94" s="117" t="s">
        <v>129</v>
      </c>
      <c r="C94" s="82">
        <v>0</v>
      </c>
      <c r="D94" s="19" t="e">
        <f ca="1">((100/H88)*C94)/100</f>
        <v>#REF!</v>
      </c>
      <c r="E94" s="120"/>
      <c r="F94" s="121"/>
      <c r="G94" s="120"/>
      <c r="H94" s="162"/>
      <c r="I94" s="13" t="s">
        <v>101</v>
      </c>
      <c r="J94" s="30" t="e">
        <f ca="1">(IF(B88&gt;1,(H88/(B88+2)+J93),H88/4+J93))</f>
        <v>#REF!</v>
      </c>
    </row>
    <row r="95" spans="1:19" ht="15.75" hidden="1" customHeight="1" x14ac:dyDescent="0.35">
      <c r="A95" s="134" t="s">
        <v>136</v>
      </c>
      <c r="B95" s="117" t="s">
        <v>129</v>
      </c>
      <c r="C95" s="82">
        <v>0</v>
      </c>
      <c r="D95" s="19" t="e">
        <f ca="1">((100/H88)*C95)/100</f>
        <v>#REF!</v>
      </c>
      <c r="E95" s="120"/>
      <c r="F95" s="121"/>
      <c r="G95" s="120"/>
      <c r="H95" s="162"/>
      <c r="I95" s="13" t="s">
        <v>147</v>
      </c>
      <c r="J95" s="30">
        <f>(IF(B88&gt;1,(H88/(B88+2)+J94),0))</f>
        <v>0</v>
      </c>
    </row>
    <row r="96" spans="1:19" ht="15" hidden="1" customHeight="1" x14ac:dyDescent="0.35">
      <c r="A96" s="134" t="s">
        <v>134</v>
      </c>
      <c r="B96" s="117" t="s">
        <v>131</v>
      </c>
      <c r="C96" s="82">
        <v>0</v>
      </c>
      <c r="D96" s="19" t="e">
        <f ca="1">((100/(H88))*C96)/100</f>
        <v>#REF!</v>
      </c>
      <c r="E96" s="120"/>
      <c r="F96" s="121"/>
      <c r="G96" s="120"/>
      <c r="H96" s="162"/>
      <c r="I96" s="13" t="s">
        <v>142</v>
      </c>
      <c r="J96" s="30">
        <f>(IF(B88&gt;2,(H88/(B88+2)+J95),0))</f>
        <v>0</v>
      </c>
    </row>
    <row r="97" spans="1:22" ht="15.75" hidden="1" customHeight="1" x14ac:dyDescent="0.35">
      <c r="A97" s="134" t="s">
        <v>130</v>
      </c>
      <c r="B97" s="117" t="s">
        <v>130</v>
      </c>
      <c r="C97" s="82">
        <v>0</v>
      </c>
      <c r="D97" s="19" t="e">
        <f ca="1">((100/H88)*C97)/100</f>
        <v>#REF!</v>
      </c>
      <c r="E97" s="120"/>
      <c r="F97" s="121"/>
      <c r="G97" s="120"/>
      <c r="H97" s="162"/>
      <c r="I97" s="13" t="s">
        <v>143</v>
      </c>
      <c r="J97" s="31">
        <f>(IF(B88&gt;3,(H88/(B88+2)+J96),0))</f>
        <v>0</v>
      </c>
    </row>
    <row r="98" spans="1:22" ht="15.75" hidden="1" customHeight="1" x14ac:dyDescent="0.35">
      <c r="A98" s="134" t="s">
        <v>137</v>
      </c>
      <c r="B98" s="117"/>
      <c r="C98" s="82">
        <v>0</v>
      </c>
      <c r="D98" s="19" t="e">
        <f ca="1">((100/H88)*C98)/100</f>
        <v>#REF!</v>
      </c>
      <c r="E98" s="120"/>
      <c r="F98" s="121"/>
      <c r="G98" s="120"/>
      <c r="H98" s="162"/>
      <c r="I98" s="13" t="s">
        <v>144</v>
      </c>
      <c r="J98" s="30">
        <f>(IF(B88&gt;4,(H88/(B88+2)+J97),0))</f>
        <v>0</v>
      </c>
    </row>
    <row r="99" spans="1:22" ht="15.75" hidden="1" customHeight="1" x14ac:dyDescent="0.35">
      <c r="A99" s="134" t="s">
        <v>132</v>
      </c>
      <c r="B99" s="117" t="s">
        <v>132</v>
      </c>
      <c r="C99" s="82">
        <v>0</v>
      </c>
      <c r="D99" s="19" t="e">
        <f ca="1">((100/(H88))*C99)/100</f>
        <v>#REF!</v>
      </c>
      <c r="E99" s="120"/>
      <c r="F99" s="121"/>
      <c r="G99" s="120"/>
      <c r="H99" s="162"/>
      <c r="I99" s="13" t="s">
        <v>148</v>
      </c>
      <c r="J99" s="30" t="e">
        <f ca="1">(IF(B88=1,(H88/(B88+3)+J94),IF(B88=0,(H88/4+J94),IF(B88&gt;1,0))))</f>
        <v>#REF!</v>
      </c>
    </row>
    <row r="100" spans="1:22" ht="16" hidden="1" thickBot="1" x14ac:dyDescent="0.4">
      <c r="A100" s="208" t="s">
        <v>133</v>
      </c>
      <c r="B100" s="209"/>
      <c r="C100" s="81">
        <v>0</v>
      </c>
      <c r="D100" s="20" t="e">
        <f ca="1">((100/(H88))*C100)/100</f>
        <v>#REF!</v>
      </c>
      <c r="E100" s="122"/>
      <c r="F100" s="123"/>
      <c r="G100" s="122"/>
      <c r="H100" s="163"/>
      <c r="I100" s="15" t="s">
        <v>102</v>
      </c>
      <c r="J100" s="32" t="e">
        <f ca="1">(IF(B88&gt;1.5,(H88/(B88+2)+J94+MAX(0,J95-J94)+MAX(0,J96-J95)+MAX(0,J97-J96)+MAX(0,J98-J97)+MAX(0,J99-J98)),IF(B88=1,(H88/(B88+3)+J99),IF(B88=0,H88/4+J99))))</f>
        <v>#REF!</v>
      </c>
    </row>
    <row r="101" spans="1:22" x14ac:dyDescent="0.35">
      <c r="A101" s="135" t="s">
        <v>158</v>
      </c>
      <c r="B101" s="135"/>
      <c r="C101" s="135"/>
      <c r="D101" s="135"/>
      <c r="E101" s="135"/>
      <c r="F101" s="132" t="s">
        <v>161</v>
      </c>
      <c r="G101" s="132"/>
      <c r="H101" s="132"/>
      <c r="R101" t="s">
        <v>253</v>
      </c>
      <c r="S101" t="s">
        <v>173</v>
      </c>
      <c r="T101" t="s">
        <v>179</v>
      </c>
      <c r="U101" t="s">
        <v>193</v>
      </c>
      <c r="V101" t="s">
        <v>188</v>
      </c>
    </row>
    <row r="102" spans="1:22" x14ac:dyDescent="0.35">
      <c r="A102" s="133" t="s">
        <v>159</v>
      </c>
      <c r="B102" s="133"/>
      <c r="C102" s="133"/>
      <c r="D102" s="133"/>
      <c r="E102" s="133"/>
      <c r="F102" s="124">
        <v>16000</v>
      </c>
      <c r="G102" s="124"/>
      <c r="H102" s="124"/>
      <c r="R102"/>
      <c r="S102">
        <v>900000</v>
      </c>
      <c r="T102">
        <v>200000</v>
      </c>
      <c r="U102">
        <v>150000</v>
      </c>
      <c r="V102">
        <v>150000</v>
      </c>
    </row>
    <row r="103" spans="1:22" x14ac:dyDescent="0.35">
      <c r="A103" s="133" t="s">
        <v>160</v>
      </c>
      <c r="B103" s="133"/>
      <c r="C103" s="133"/>
      <c r="D103" s="133"/>
      <c r="E103" s="133"/>
      <c r="F103" s="124">
        <v>10000</v>
      </c>
      <c r="G103" s="124"/>
      <c r="H103" s="124"/>
      <c r="R103"/>
      <c r="S103">
        <v>1000000</v>
      </c>
      <c r="T103">
        <v>250000</v>
      </c>
      <c r="U103">
        <v>200000</v>
      </c>
      <c r="V103">
        <v>200000</v>
      </c>
    </row>
    <row r="104" spans="1:22" s="33" customFormat="1" hidden="1" x14ac:dyDescent="0.35">
      <c r="A104" s="133" t="s">
        <v>175</v>
      </c>
      <c r="B104" s="133"/>
      <c r="C104" s="133"/>
      <c r="D104" s="133"/>
      <c r="E104" s="133"/>
      <c r="F104" s="124"/>
      <c r="G104" s="124"/>
      <c r="H104" s="124"/>
      <c r="R104"/>
      <c r="S104">
        <v>1100000</v>
      </c>
      <c r="T104">
        <v>300000</v>
      </c>
      <c r="U104">
        <v>250000</v>
      </c>
      <c r="V104" s="23">
        <v>250000</v>
      </c>
    </row>
    <row r="105" spans="1:22" s="33" customFormat="1" hidden="1" x14ac:dyDescent="0.35">
      <c r="A105" s="133" t="s">
        <v>92</v>
      </c>
      <c r="B105" s="133"/>
      <c r="C105" s="133"/>
      <c r="D105" s="133"/>
      <c r="E105" s="133"/>
      <c r="F105" s="124"/>
      <c r="G105" s="124"/>
      <c r="H105" s="124"/>
      <c r="R105"/>
      <c r="S105">
        <v>1200000</v>
      </c>
      <c r="T105">
        <v>350000</v>
      </c>
      <c r="U105">
        <v>300000</v>
      </c>
      <c r="V105">
        <v>300000</v>
      </c>
    </row>
    <row r="106" spans="1:22" s="33" customFormat="1" hidden="1" x14ac:dyDescent="0.35">
      <c r="A106" s="133" t="s">
        <v>93</v>
      </c>
      <c r="B106" s="133"/>
      <c r="C106" s="133"/>
      <c r="D106" s="133"/>
      <c r="E106" s="133"/>
      <c r="F106" s="124"/>
      <c r="G106" s="124"/>
      <c r="H106" s="124"/>
      <c r="R106"/>
      <c r="S106">
        <v>1300000</v>
      </c>
      <c r="T106">
        <v>400000</v>
      </c>
      <c r="U106">
        <v>350000</v>
      </c>
      <c r="V106" s="23">
        <v>400000</v>
      </c>
    </row>
    <row r="107" spans="1:22" s="33" customFormat="1" hidden="1" x14ac:dyDescent="0.35">
      <c r="A107" s="133" t="s">
        <v>94</v>
      </c>
      <c r="B107" s="133"/>
      <c r="C107" s="133"/>
      <c r="D107" s="133"/>
      <c r="E107" s="133"/>
      <c r="F107" s="124"/>
      <c r="G107" s="124"/>
      <c r="H107" s="124"/>
      <c r="R107"/>
      <c r="S107">
        <v>1400000</v>
      </c>
      <c r="T107">
        <v>500000</v>
      </c>
      <c r="U107">
        <v>400000</v>
      </c>
      <c r="V107"/>
    </row>
    <row r="108" spans="1:22" s="33" customFormat="1" hidden="1" x14ac:dyDescent="0.35">
      <c r="A108" s="133" t="s">
        <v>95</v>
      </c>
      <c r="B108" s="133"/>
      <c r="C108" s="133"/>
      <c r="D108" s="133"/>
      <c r="E108" s="133"/>
      <c r="F108" s="124"/>
      <c r="G108" s="124"/>
      <c r="H108" s="124"/>
      <c r="R108"/>
      <c r="S108">
        <v>1500000</v>
      </c>
      <c r="T108">
        <v>600000</v>
      </c>
      <c r="U108">
        <v>500000</v>
      </c>
      <c r="V108" s="23"/>
    </row>
    <row r="109" spans="1:22" s="33" customFormat="1" hidden="1" x14ac:dyDescent="0.35">
      <c r="A109" s="133" t="s">
        <v>96</v>
      </c>
      <c r="B109" s="133"/>
      <c r="C109" s="133"/>
      <c r="D109" s="133"/>
      <c r="E109" s="133"/>
      <c r="F109" s="124"/>
      <c r="G109" s="124"/>
      <c r="H109" s="124"/>
      <c r="R109"/>
      <c r="S109">
        <v>1600000</v>
      </c>
      <c r="T109">
        <v>700000</v>
      </c>
      <c r="U109">
        <v>600000</v>
      </c>
      <c r="V109"/>
    </row>
    <row r="110" spans="1:22" s="33" customFormat="1" hidden="1" x14ac:dyDescent="0.35">
      <c r="A110" s="133" t="s">
        <v>97</v>
      </c>
      <c r="B110" s="133"/>
      <c r="C110" s="133"/>
      <c r="D110" s="133"/>
      <c r="E110" s="133"/>
      <c r="F110" s="124"/>
      <c r="G110" s="124"/>
      <c r="H110" s="124"/>
      <c r="R110"/>
      <c r="S110">
        <v>1700000</v>
      </c>
      <c r="T110">
        <v>800000</v>
      </c>
      <c r="U110"/>
      <c r="V110" s="23"/>
    </row>
    <row r="111" spans="1:22" x14ac:dyDescent="0.35">
      <c r="A111" s="133" t="s">
        <v>49</v>
      </c>
      <c r="B111" s="133"/>
      <c r="C111" s="133"/>
      <c r="D111" s="133"/>
      <c r="E111" s="133"/>
      <c r="F111" s="124">
        <v>500000</v>
      </c>
      <c r="G111" s="124"/>
      <c r="H111" s="124"/>
      <c r="R111"/>
      <c r="S111">
        <v>1800000</v>
      </c>
      <c r="T111">
        <v>900000</v>
      </c>
      <c r="U111"/>
    </row>
    <row r="112" spans="1:22" s="34" customFormat="1" x14ac:dyDescent="0.35">
      <c r="A112" s="206" t="s">
        <v>50</v>
      </c>
      <c r="B112" s="206"/>
      <c r="C112" s="206"/>
      <c r="D112" s="206"/>
      <c r="E112" s="206"/>
      <c r="F112" s="124">
        <f>F103*0.8</f>
        <v>8000</v>
      </c>
      <c r="G112" s="124"/>
      <c r="H112" s="124"/>
      <c r="R112" s="21"/>
      <c r="S112" s="21"/>
      <c r="T112">
        <v>1000000</v>
      </c>
      <c r="U112"/>
      <c r="V112" s="21"/>
    </row>
    <row r="113" spans="1:22" s="35" customFormat="1" ht="15.75" customHeight="1" x14ac:dyDescent="0.35">
      <c r="A113" s="212" t="s">
        <v>72</v>
      </c>
      <c r="B113" s="212"/>
      <c r="C113" s="212"/>
      <c r="D113" s="212"/>
      <c r="E113" s="212"/>
      <c r="F113" s="212"/>
      <c r="G113" s="212"/>
      <c r="H113" s="212"/>
      <c r="R113"/>
      <c r="S113" s="21"/>
      <c r="T113"/>
      <c r="U113"/>
      <c r="V113" s="21"/>
    </row>
    <row r="114" spans="1:22" s="35" customFormat="1" ht="15.75" customHeight="1" x14ac:dyDescent="0.35">
      <c r="A114" s="246" t="s">
        <v>51</v>
      </c>
      <c r="B114" s="246"/>
      <c r="C114" s="140" t="s">
        <v>75</v>
      </c>
      <c r="D114" s="140"/>
      <c r="E114" s="250" t="s">
        <v>52</v>
      </c>
      <c r="F114" s="250"/>
      <c r="G114" s="246" t="s">
        <v>53</v>
      </c>
      <c r="H114" s="246"/>
      <c r="R114"/>
      <c r="S114" s="21"/>
      <c r="T114"/>
      <c r="U114" s="21"/>
      <c r="V114" s="21"/>
    </row>
    <row r="115" spans="1:22" s="35" customFormat="1" x14ac:dyDescent="0.35">
      <c r="A115" s="110" t="s">
        <v>356</v>
      </c>
      <c r="B115" s="110"/>
      <c r="C115" s="111">
        <f>COUNT(D131:D133,D135:D139)+COUNT(D220:D224,D226:D229)+COUNT(D242:D246,D248:D251)+COUNT(D287:D290,D292:D293)</f>
        <v>32</v>
      </c>
      <c r="D115" s="112"/>
      <c r="E115" s="111">
        <f t="shared" ref="E115" si="0">SUM(F131:F133,F135:F139)+SUM(F220:F224,F226:F229)+SUM(F242:F246,F248:F251)+SUM(F287:F290,F292:F293)</f>
        <v>14844.949938</v>
      </c>
      <c r="F115" s="112"/>
      <c r="G115" s="111">
        <f t="shared" ref="G115" si="1">SUM(H131:H133,H135:H139)+SUM(H220:H224,H226:H229)+SUM(H242:H246,H248:H251)+SUM(H287:H290,H292:H293)</f>
        <v>24526.694321999996</v>
      </c>
      <c r="H115" s="112"/>
      <c r="I115" s="35">
        <f>8*10+7*12+8</f>
        <v>172</v>
      </c>
      <c r="J115" s="35">
        <v>18</v>
      </c>
      <c r="K115" s="35">
        <f>I115-J115</f>
        <v>154</v>
      </c>
      <c r="R115"/>
      <c r="S115" s="21"/>
      <c r="T115"/>
      <c r="U115" s="21"/>
      <c r="V115" s="21"/>
    </row>
    <row r="116" spans="1:22" s="35" customFormat="1" x14ac:dyDescent="0.35">
      <c r="A116" s="110" t="s">
        <v>358</v>
      </c>
      <c r="B116" s="110"/>
      <c r="C116" s="111">
        <f>COUNT(D142:D147,D149:D153)+COUNT(D155:D160,D162:D166)*2+COUNT(D168:D173,D175,D177:D179)+COUNT(D181:D186,D188:D192)+COUNT(D194:D199,D201:D205)+COUNT(D207:D212,D214,D216:D218)+COUNT(D231:D235,D237:D240)+COUNT(D253:D257,D259,D261:D262)+COUNT(D264:D268,D270:D273)*2+COUNT(D275,D283:D284)</f>
        <v>113</v>
      </c>
      <c r="D116" s="112"/>
      <c r="E116" s="111">
        <f t="shared" ref="E116" si="2">SUM(F142:F147,F149:F153)+SUM(F155:F160,F162:F166)*2+SUM(F168:F173,F175,F177:F179)+SUM(F181:F186,F188:F192)+SUM(F194:F199,F201:F205)+SUM(F207:F212,F214,F216:F218)+SUM(F231:F235,F237:F240)+SUM(F253:F257,F259,F261:F262)+SUM(F264:F268,F270:F273)*2+SUM(F275,F283:F284)</f>
        <v>54273.46041</v>
      </c>
      <c r="F116" s="112"/>
      <c r="G116" s="111">
        <f t="shared" ref="G116" si="3">SUM(H142:H147,H149:H153)+SUM(H155:H160,H162:H166)*2+SUM(H168:H173,H175,H177:H179)+SUM(H181:H186,H188:H192)+SUM(H194:H199,H201:H205)+SUM(H207:H212,H214,H216:H218)+SUM(H231:H235,H237:H240)+SUM(H253:H257,H259,H261:H262)+SUM(H264:H268,H270:H273)*2+SUM(H275,H283:H284)</f>
        <v>82580.93707499998</v>
      </c>
      <c r="H116" s="112"/>
      <c r="R116"/>
      <c r="S116" s="21"/>
      <c r="T116"/>
      <c r="U116" s="21"/>
      <c r="V116" s="21"/>
    </row>
    <row r="117" spans="1:22" s="35" customFormat="1" x14ac:dyDescent="0.35">
      <c r="A117" s="110" t="s">
        <v>386</v>
      </c>
      <c r="B117" s="110"/>
      <c r="C117" s="111">
        <f>COUNT(D276:D279,D281:D282)</f>
        <v>6</v>
      </c>
      <c r="D117" s="112"/>
      <c r="E117" s="111">
        <f t="shared" ref="E117" si="4">SUM(F276:F279,F281:F282)</f>
        <v>2135.3031179999998</v>
      </c>
      <c r="F117" s="112"/>
      <c r="G117" s="111">
        <f t="shared" ref="G117" si="5">SUM(H276:H279,H281:H282)</f>
        <v>3202.9546769999997</v>
      </c>
      <c r="H117" s="112"/>
      <c r="R117"/>
      <c r="S117" s="21"/>
      <c r="T117"/>
      <c r="U117" s="21"/>
      <c r="V117" s="21"/>
    </row>
    <row r="118" spans="1:22" s="35" customFormat="1" x14ac:dyDescent="0.35">
      <c r="A118" s="110" t="s">
        <v>384</v>
      </c>
      <c r="B118" s="110"/>
      <c r="C118" s="111">
        <f>COUNT(D286,D294:D295)</f>
        <v>3</v>
      </c>
      <c r="D118" s="112"/>
      <c r="E118" s="111">
        <f t="shared" ref="E118" si="6">SUM(F286,F294:F295)</f>
        <v>1450.9064699999999</v>
      </c>
      <c r="F118" s="112"/>
      <c r="G118" s="111">
        <f t="shared" ref="G118" si="7">SUM(H286,H294:H295)</f>
        <v>2176.3597049999998</v>
      </c>
      <c r="H118" s="112"/>
      <c r="R118"/>
      <c r="S118" s="21"/>
      <c r="T118"/>
      <c r="U118" s="21"/>
      <c r="V118" s="21"/>
    </row>
    <row r="119" spans="1:22" s="35" customFormat="1" x14ac:dyDescent="0.35">
      <c r="A119" s="138" t="s">
        <v>152</v>
      </c>
      <c r="B119" s="138"/>
      <c r="C119" s="139">
        <f>SUM(C115:D118)</f>
        <v>154</v>
      </c>
      <c r="D119" s="140"/>
      <c r="E119" s="139">
        <f t="shared" ref="E119" si="8">SUM(E115:F118)</f>
        <v>72704.619936000003</v>
      </c>
      <c r="F119" s="140"/>
      <c r="G119" s="139">
        <f t="shared" ref="G119" si="9">SUM(G115:H118)</f>
        <v>112486.94577899997</v>
      </c>
      <c r="H119" s="140"/>
      <c r="R119"/>
      <c r="S119" s="21"/>
      <c r="T119"/>
      <c r="U119" s="21"/>
      <c r="V119" s="21"/>
    </row>
    <row r="120" spans="1:22" s="35" customFormat="1" hidden="1" x14ac:dyDescent="0.35">
      <c r="A120" s="212" t="s">
        <v>67</v>
      </c>
      <c r="B120" s="212"/>
      <c r="C120" s="212"/>
      <c r="D120" s="212"/>
      <c r="E120" s="212"/>
      <c r="F120" s="212"/>
      <c r="G120" s="212"/>
      <c r="H120" s="212"/>
      <c r="T120"/>
    </row>
    <row r="121" spans="1:22" s="35" customFormat="1" ht="15.75" hidden="1" customHeight="1" x14ac:dyDescent="0.35">
      <c r="A121" s="218" t="s">
        <v>51</v>
      </c>
      <c r="B121" s="218"/>
      <c r="C121" s="251" t="s">
        <v>75</v>
      </c>
      <c r="D121" s="251"/>
      <c r="E121" s="136" t="s">
        <v>52</v>
      </c>
      <c r="F121" s="136"/>
      <c r="G121" s="218" t="s">
        <v>53</v>
      </c>
      <c r="H121" s="218"/>
      <c r="T121"/>
    </row>
    <row r="122" spans="1:22" s="35" customFormat="1" hidden="1" x14ac:dyDescent="0.35">
      <c r="A122" s="141"/>
      <c r="B122" s="141"/>
      <c r="C122" s="142"/>
      <c r="D122" s="142"/>
      <c r="E122" s="143"/>
      <c r="F122" s="143"/>
      <c r="G122" s="144"/>
      <c r="H122" s="144"/>
      <c r="T122"/>
    </row>
    <row r="123" spans="1:22" s="35" customFormat="1" hidden="1" x14ac:dyDescent="0.35">
      <c r="A123" s="141"/>
      <c r="B123" s="141"/>
      <c r="C123" s="142"/>
      <c r="D123" s="142"/>
      <c r="E123" s="143"/>
      <c r="F123" s="143"/>
      <c r="G123" s="144"/>
      <c r="H123" s="144"/>
      <c r="T123"/>
    </row>
    <row r="124" spans="1:22" s="35" customFormat="1" ht="16" hidden="1" thickBot="1" x14ac:dyDescent="0.4">
      <c r="A124" s="219" t="s">
        <v>152</v>
      </c>
      <c r="B124" s="219"/>
      <c r="C124" s="222"/>
      <c r="D124" s="222"/>
      <c r="E124" s="220"/>
      <c r="F124" s="220"/>
      <c r="G124" s="221"/>
      <c r="H124" s="221"/>
      <c r="T124"/>
    </row>
    <row r="125" spans="1:22" s="35" customFormat="1" ht="16" hidden="1" thickBot="1" x14ac:dyDescent="0.4">
      <c r="A125" s="149" t="s">
        <v>167</v>
      </c>
      <c r="B125" s="150"/>
      <c r="C125" s="151">
        <f>C119+C124</f>
        <v>154</v>
      </c>
      <c r="D125" s="151"/>
      <c r="E125" s="239">
        <f>E119+E124</f>
        <v>72704.619936000003</v>
      </c>
      <c r="F125" s="239"/>
      <c r="G125" s="154">
        <f>G119+G124</f>
        <v>112486.94577899997</v>
      </c>
      <c r="H125" s="155"/>
      <c r="T125"/>
    </row>
    <row r="126" spans="1:22" s="34" customFormat="1" x14ac:dyDescent="0.35">
      <c r="A126" s="137" t="s">
        <v>54</v>
      </c>
      <c r="B126" s="137"/>
      <c r="C126" s="137"/>
      <c r="D126" s="137"/>
      <c r="E126" s="137"/>
      <c r="F126" s="137"/>
      <c r="G126" s="137"/>
      <c r="H126" s="137"/>
      <c r="T126" s="35"/>
    </row>
    <row r="127" spans="1:22" x14ac:dyDescent="0.35">
      <c r="A127" s="245" t="s">
        <v>394</v>
      </c>
      <c r="B127" s="245"/>
      <c r="C127" s="245"/>
      <c r="D127" s="245"/>
      <c r="E127" s="245"/>
      <c r="F127" s="245"/>
      <c r="G127" s="245"/>
      <c r="H127" s="245"/>
      <c r="T127" s="35"/>
    </row>
    <row r="128" spans="1:22" ht="47.25" customHeight="1" x14ac:dyDescent="0.35">
      <c r="A128" s="152" t="s">
        <v>365</v>
      </c>
      <c r="B128" s="152" t="s">
        <v>176</v>
      </c>
      <c r="C128" s="152" t="s">
        <v>55</v>
      </c>
      <c r="D128" s="152" t="s">
        <v>232</v>
      </c>
      <c r="E128" s="157" t="s">
        <v>157</v>
      </c>
      <c r="F128" s="152" t="s">
        <v>56</v>
      </c>
      <c r="G128" s="157" t="s">
        <v>57</v>
      </c>
      <c r="H128" s="90" t="s">
        <v>150</v>
      </c>
      <c r="T128" s="35"/>
    </row>
    <row r="129" spans="1:20" s="37" customFormat="1" x14ac:dyDescent="0.35">
      <c r="A129" s="153"/>
      <c r="B129" s="153"/>
      <c r="C129" s="153"/>
      <c r="D129" s="153"/>
      <c r="E129" s="158"/>
      <c r="F129" s="153"/>
      <c r="G129" s="158"/>
      <c r="H129" s="91">
        <v>0.5</v>
      </c>
      <c r="J129" s="88">
        <v>664.48863000000006</v>
      </c>
      <c r="K129" s="88">
        <f>10.764</f>
        <v>10.763999999999999</v>
      </c>
      <c r="T129" s="35"/>
    </row>
    <row r="130" spans="1:20" s="87" customFormat="1" x14ac:dyDescent="0.35">
      <c r="A130" s="114" t="s">
        <v>355</v>
      </c>
      <c r="B130" s="115"/>
      <c r="C130" s="115"/>
      <c r="D130" s="115"/>
      <c r="E130" s="115"/>
      <c r="F130" s="115"/>
      <c r="G130" s="115"/>
      <c r="H130" s="116"/>
      <c r="I130" s="87">
        <v>1</v>
      </c>
      <c r="J130" s="88">
        <v>664.48863000000006</v>
      </c>
      <c r="T130" s="35"/>
    </row>
    <row r="131" spans="1:20" s="87" customFormat="1" ht="15.75" customHeight="1" x14ac:dyDescent="0.35">
      <c r="A131" s="107">
        <v>1</v>
      </c>
      <c r="B131" s="108"/>
      <c r="C131" s="86" t="s">
        <v>356</v>
      </c>
      <c r="D131" s="103">
        <f>(3.52*8.61+1.7*1.95+1.37*1.6+0.5*1*8.4)*(10.764)</f>
        <v>430.71284880000002</v>
      </c>
      <c r="E131" s="86">
        <v>0</v>
      </c>
      <c r="F131" s="86">
        <f>D131+(IF(E131&lt;201,E131,IF(E131&lt;301,E131/2,E131/3)))</f>
        <v>430.71284880000002</v>
      </c>
      <c r="G131" s="63">
        <v>0</v>
      </c>
      <c r="H131" s="86">
        <f>(F131+(IF(G131&lt;101,G131,IF(G131&lt;201,G131/2,IF(G131&lt;=301,G131/3,G131/4)))))*(($H$129)+1)</f>
        <v>646.0692732</v>
      </c>
      <c r="I131" s="36"/>
      <c r="J131" s="88">
        <v>582.61226399999998</v>
      </c>
      <c r="L131" s="109"/>
      <c r="M131" s="109"/>
      <c r="N131" s="36"/>
      <c r="T131" s="35"/>
    </row>
    <row r="132" spans="1:20" s="87" customFormat="1" ht="15.75" customHeight="1" x14ac:dyDescent="0.35">
      <c r="A132" s="107">
        <f t="shared" ref="A132:A139" si="10">A131+1</f>
        <v>2</v>
      </c>
      <c r="B132" s="108"/>
      <c r="C132" s="86" t="s">
        <v>356</v>
      </c>
      <c r="D132" s="88">
        <f>(5.5*8.31)*(10.764)</f>
        <v>491.96862000000004</v>
      </c>
      <c r="E132" s="86">
        <v>0</v>
      </c>
      <c r="F132" s="86">
        <f t="shared" ref="F132:F133" si="11">D132+(IF(E132&lt;201,E132,IF(E132&lt;301,E132/2,E132/3)))</f>
        <v>491.96862000000004</v>
      </c>
      <c r="G132" s="86">
        <v>0</v>
      </c>
      <c r="H132" s="86">
        <f t="shared" ref="H132:H133" si="12">(F132+(IF(G132&lt;101,G132,IF(G132&lt;201,G132/2,IF(G132&lt;=301,G132/3,G132/4)))))*(($H$129)+1)</f>
        <v>737.95293000000004</v>
      </c>
      <c r="I132" s="36"/>
      <c r="J132" s="88">
        <v>749.79333000000008</v>
      </c>
      <c r="L132" s="109"/>
      <c r="M132" s="109"/>
      <c r="N132" s="36"/>
      <c r="T132" s="34"/>
    </row>
    <row r="133" spans="1:20" s="87" customFormat="1" ht="15.75" customHeight="1" x14ac:dyDescent="0.35">
      <c r="A133" s="107">
        <f t="shared" si="10"/>
        <v>3</v>
      </c>
      <c r="B133" s="108"/>
      <c r="C133" s="86" t="s">
        <v>356</v>
      </c>
      <c r="D133" s="88">
        <f>(5.35*8.31)*(10.764)</f>
        <v>478.55129399999998</v>
      </c>
      <c r="E133" s="86">
        <v>0</v>
      </c>
      <c r="F133" s="86">
        <f t="shared" si="11"/>
        <v>478.55129399999998</v>
      </c>
      <c r="G133" s="86">
        <v>0</v>
      </c>
      <c r="H133" s="86">
        <f t="shared" si="12"/>
        <v>717.82694100000003</v>
      </c>
      <c r="I133" s="36"/>
      <c r="J133" s="88">
        <v>752.69961000000001</v>
      </c>
      <c r="L133" s="109"/>
      <c r="M133" s="109"/>
      <c r="N133" s="36"/>
      <c r="T133" s="21"/>
    </row>
    <row r="134" spans="1:20" s="87" customFormat="1" ht="15.75" customHeight="1" x14ac:dyDescent="0.35">
      <c r="A134" s="107">
        <f t="shared" si="10"/>
        <v>4</v>
      </c>
      <c r="B134" s="108"/>
      <c r="C134" s="63" t="s">
        <v>356</v>
      </c>
      <c r="D134" s="107" t="s">
        <v>367</v>
      </c>
      <c r="E134" s="113"/>
      <c r="F134" s="113"/>
      <c r="G134" s="113"/>
      <c r="H134" s="108"/>
      <c r="I134" s="36"/>
      <c r="J134" s="88">
        <v>752.69961000000001</v>
      </c>
      <c r="L134" s="109"/>
      <c r="M134" s="109"/>
      <c r="N134" s="36"/>
      <c r="T134" s="21"/>
    </row>
    <row r="135" spans="1:20" s="87" customFormat="1" ht="15.75" customHeight="1" x14ac:dyDescent="0.35">
      <c r="A135" s="107">
        <f t="shared" si="10"/>
        <v>5</v>
      </c>
      <c r="B135" s="108"/>
      <c r="C135" s="86" t="s">
        <v>356</v>
      </c>
      <c r="D135" s="88">
        <f>(5.5*9.42+3.7*1.44+1.87*1.94+1.65*1.73+0.5*1.5*0.7)*(10.764)</f>
        <v>690.46000920000006</v>
      </c>
      <c r="E135" s="86">
        <v>0</v>
      </c>
      <c r="F135" s="86">
        <f t="shared" ref="F135:F137" si="13">D135+(IF(E135&lt;201,E135,IF(E135&lt;301,E135/2,E135/3)))</f>
        <v>690.46000920000006</v>
      </c>
      <c r="G135" s="86">
        <v>0</v>
      </c>
      <c r="H135" s="86">
        <f t="shared" ref="H135:H137" si="14">(F135+(IF(G135&lt;101,G135,IF(G135&lt;201,G135/2,IF(G135&lt;=301,G135/3,G135/4)))))*(($H$129)+1)</f>
        <v>1035.6900138000001</v>
      </c>
      <c r="I135" s="36"/>
      <c r="J135" s="88">
        <v>752.69961000000001</v>
      </c>
      <c r="L135" s="109"/>
      <c r="M135" s="109"/>
      <c r="N135" s="36"/>
      <c r="T135" s="34"/>
    </row>
    <row r="136" spans="1:20" s="87" customFormat="1" ht="15.75" customHeight="1" x14ac:dyDescent="0.35">
      <c r="A136" s="107">
        <f t="shared" si="10"/>
        <v>6</v>
      </c>
      <c r="B136" s="108"/>
      <c r="C136" s="86" t="s">
        <v>356</v>
      </c>
      <c r="D136" s="88">
        <f>(5.5*11.3+3.7*1.5+1.65*1.35)*(10.764)</f>
        <v>752.69961000000001</v>
      </c>
      <c r="E136" s="86">
        <v>0</v>
      </c>
      <c r="F136" s="86">
        <f t="shared" si="13"/>
        <v>752.69961000000001</v>
      </c>
      <c r="G136" s="86">
        <v>0</v>
      </c>
      <c r="H136" s="86">
        <f t="shared" si="14"/>
        <v>1129.049415</v>
      </c>
      <c r="I136" s="36"/>
      <c r="J136" s="88">
        <v>725.14377000000002</v>
      </c>
      <c r="L136" s="109"/>
      <c r="M136" s="109"/>
      <c r="N136" s="36"/>
      <c r="T136" s="21"/>
    </row>
    <row r="137" spans="1:20" s="87" customFormat="1" ht="15.75" customHeight="1" x14ac:dyDescent="0.35">
      <c r="A137" s="107">
        <f t="shared" si="10"/>
        <v>7</v>
      </c>
      <c r="B137" s="108"/>
      <c r="C137" s="86" t="s">
        <v>356</v>
      </c>
      <c r="D137" s="88">
        <f>(5.5*11.3+3.7*1.5+1.65*1.35)*(10.764)</f>
        <v>752.69961000000001</v>
      </c>
      <c r="E137" s="86">
        <v>0</v>
      </c>
      <c r="F137" s="86">
        <f t="shared" si="13"/>
        <v>752.69961000000001</v>
      </c>
      <c r="G137" s="86">
        <v>0</v>
      </c>
      <c r="H137" s="86">
        <f t="shared" si="14"/>
        <v>1129.049415</v>
      </c>
      <c r="I137" s="36"/>
      <c r="L137" s="109"/>
      <c r="M137" s="109"/>
      <c r="N137" s="36"/>
      <c r="T137" s="21"/>
    </row>
    <row r="138" spans="1:20" s="87" customFormat="1" ht="15.75" customHeight="1" x14ac:dyDescent="0.35">
      <c r="A138" s="107">
        <f t="shared" si="10"/>
        <v>8</v>
      </c>
      <c r="B138" s="108"/>
      <c r="C138" s="86" t="s">
        <v>356</v>
      </c>
      <c r="D138" s="88">
        <f>(5.5*11.3+3.7*1.5+1.65*1.35)*(10.764)</f>
        <v>752.69961000000001</v>
      </c>
      <c r="E138" s="86">
        <v>0</v>
      </c>
      <c r="F138" s="86">
        <f t="shared" ref="F138:F139" si="15">D138+(IF(E138&lt;201,E138,IF(E138&lt;301,E138/2,E138/3)))</f>
        <v>752.69961000000001</v>
      </c>
      <c r="G138" s="86">
        <v>0</v>
      </c>
      <c r="H138" s="86">
        <f t="shared" ref="H138:H139" si="16">(F138+(IF(G138&lt;101,G138,IF(G138&lt;201,G138/2,IF(G138&lt;=301,G138/3,G138/4)))))*(($H$129)+1)</f>
        <v>1129.049415</v>
      </c>
      <c r="I138" s="36"/>
      <c r="L138" s="109"/>
      <c r="M138" s="109"/>
      <c r="N138" s="36"/>
      <c r="T138" s="21"/>
    </row>
    <row r="139" spans="1:20" s="87" customFormat="1" ht="15.75" customHeight="1" x14ac:dyDescent="0.35">
      <c r="A139" s="107">
        <f t="shared" si="10"/>
        <v>9</v>
      </c>
      <c r="B139" s="108"/>
      <c r="C139" s="86" t="s">
        <v>356</v>
      </c>
      <c r="D139" s="88">
        <f>(5.3*11.3+3.5*1.5+1.65*1.35)*(10.764)</f>
        <v>725.14377000000002</v>
      </c>
      <c r="E139" s="86">
        <v>0</v>
      </c>
      <c r="F139" s="86">
        <f t="shared" si="15"/>
        <v>725.14377000000002</v>
      </c>
      <c r="G139" s="86">
        <v>0</v>
      </c>
      <c r="H139" s="86">
        <f t="shared" si="16"/>
        <v>1087.715655</v>
      </c>
      <c r="I139" s="36"/>
      <c r="L139" s="109"/>
      <c r="M139" s="109"/>
      <c r="N139" s="36"/>
      <c r="T139" s="21"/>
    </row>
    <row r="140" spans="1:20" s="87" customFormat="1" x14ac:dyDescent="0.35">
      <c r="A140" s="114" t="s">
        <v>357</v>
      </c>
      <c r="B140" s="115"/>
      <c r="C140" s="115"/>
      <c r="D140" s="115"/>
      <c r="E140" s="115"/>
      <c r="F140" s="115"/>
      <c r="G140" s="115"/>
      <c r="H140" s="116"/>
      <c r="T140" s="35"/>
    </row>
    <row r="141" spans="1:20" s="87" customFormat="1" x14ac:dyDescent="0.35">
      <c r="A141" s="114" t="s">
        <v>361</v>
      </c>
      <c r="B141" s="115"/>
      <c r="C141" s="115"/>
      <c r="D141" s="115"/>
      <c r="E141" s="115"/>
      <c r="F141" s="115"/>
      <c r="G141" s="115"/>
      <c r="H141" s="116"/>
      <c r="I141" s="87">
        <v>1</v>
      </c>
      <c r="T141" s="35"/>
    </row>
    <row r="142" spans="1:20" s="87" customFormat="1" ht="15.75" customHeight="1" x14ac:dyDescent="0.35">
      <c r="A142" s="107">
        <v>1</v>
      </c>
      <c r="B142" s="108"/>
      <c r="C142" s="86" t="s">
        <v>358</v>
      </c>
      <c r="D142" s="92">
        <f>(5.55*6.85+1.65*1.35+1.8*3.45)*(10.764)</f>
        <v>500.04161999999997</v>
      </c>
      <c r="E142" s="86">
        <v>0</v>
      </c>
      <c r="F142" s="86">
        <f>D142+(IF(E142&lt;201,E142,IF(E142&lt;301,E142/2,E142/3)))</f>
        <v>500.04161999999997</v>
      </c>
      <c r="G142" s="88">
        <f>(((2.9+1.7)/2*7.2))*(10.764)</f>
        <v>178.25183999999999</v>
      </c>
      <c r="H142" s="86">
        <f>(F142+(IF(G142&lt;101,G142,IF(G142&lt;201,G142/2,IF(G142&lt;=301,G142/3,G142/4)))))*(($H$129)+1)</f>
        <v>883.75130999999988</v>
      </c>
      <c r="I142" s="36"/>
      <c r="L142" s="109"/>
      <c r="M142" s="109"/>
      <c r="N142" s="36"/>
      <c r="T142" s="35"/>
    </row>
    <row r="143" spans="1:20" s="87" customFormat="1" ht="15.75" customHeight="1" x14ac:dyDescent="0.35">
      <c r="A143" s="107">
        <f t="shared" ref="A143:A153" si="17">A142+1</f>
        <v>2</v>
      </c>
      <c r="B143" s="108"/>
      <c r="C143" s="86" t="s">
        <v>358</v>
      </c>
      <c r="D143" s="88">
        <f>(4.74*6.15+2.69*3.3+1.65*1.35)*(10.764)</f>
        <v>433.310202</v>
      </c>
      <c r="E143" s="86">
        <v>0</v>
      </c>
      <c r="F143" s="86">
        <f t="shared" ref="F143:F145" si="18">D143+(IF(E143&lt;201,E143,IF(E143&lt;301,E143/2,E143/3)))</f>
        <v>433.310202</v>
      </c>
      <c r="G143" s="88">
        <f>(5*1.4)*(10.764)</f>
        <v>75.347999999999999</v>
      </c>
      <c r="H143" s="86">
        <f t="shared" ref="H143:H145" si="19">(F143+(IF(G143&lt;101,G143,IF(G143&lt;201,G143/2,IF(G143&lt;=301,G143/3,G143/4)))))*(($H$129)+1)</f>
        <v>762.987303</v>
      </c>
      <c r="I143" s="36"/>
      <c r="L143" s="109"/>
      <c r="M143" s="109"/>
      <c r="N143" s="36"/>
      <c r="T143" s="34"/>
    </row>
    <row r="144" spans="1:20" s="87" customFormat="1" ht="15.75" customHeight="1" x14ac:dyDescent="0.35">
      <c r="A144" s="107">
        <f t="shared" si="17"/>
        <v>3</v>
      </c>
      <c r="B144" s="108"/>
      <c r="C144" s="86" t="s">
        <v>358</v>
      </c>
      <c r="D144" s="88">
        <f>(5.23*6.05+3.43*3.4+1.65*1.35)*(10.764)</f>
        <v>490.09568399999995</v>
      </c>
      <c r="E144" s="86">
        <v>0</v>
      </c>
      <c r="F144" s="86">
        <f t="shared" si="18"/>
        <v>490.09568399999995</v>
      </c>
      <c r="G144" s="88">
        <f>(5*1.4)*(10.764)</f>
        <v>75.347999999999999</v>
      </c>
      <c r="H144" s="86">
        <f t="shared" si="19"/>
        <v>848.165526</v>
      </c>
      <c r="I144" s="36"/>
      <c r="L144" s="109"/>
      <c r="M144" s="109"/>
      <c r="N144" s="36"/>
      <c r="T144" s="21"/>
    </row>
    <row r="145" spans="1:20" s="87" customFormat="1" ht="15.75" customHeight="1" x14ac:dyDescent="0.35">
      <c r="A145" s="107">
        <f t="shared" si="17"/>
        <v>4</v>
      </c>
      <c r="B145" s="108"/>
      <c r="C145" s="86" t="s">
        <v>358</v>
      </c>
      <c r="D145" s="88">
        <f>(5.5*6.05+3.7*3.4+1.65*1.35)*(10.764)</f>
        <v>517.56002999999987</v>
      </c>
      <c r="E145" s="86">
        <v>0</v>
      </c>
      <c r="F145" s="86">
        <f t="shared" si="18"/>
        <v>517.56002999999987</v>
      </c>
      <c r="G145" s="88">
        <f>(5*1.4)*(10.764)</f>
        <v>75.347999999999999</v>
      </c>
      <c r="H145" s="86">
        <f t="shared" si="19"/>
        <v>889.36204499999974</v>
      </c>
      <c r="I145" s="36"/>
      <c r="L145" s="109"/>
      <c r="M145" s="109"/>
      <c r="N145" s="36"/>
      <c r="T145" s="21"/>
    </row>
    <row r="146" spans="1:20" s="87" customFormat="1" ht="15.75" customHeight="1" x14ac:dyDescent="0.35">
      <c r="A146" s="107">
        <f t="shared" si="17"/>
        <v>5</v>
      </c>
      <c r="B146" s="108"/>
      <c r="C146" s="86" t="s">
        <v>358</v>
      </c>
      <c r="D146" s="88">
        <f>(5.5*6.05+3.7*3.4+1.65*1.35)*(10.764)</f>
        <v>517.56002999999987</v>
      </c>
      <c r="E146" s="86">
        <v>0</v>
      </c>
      <c r="F146" s="86">
        <f t="shared" ref="F146:F151" si="20">D146+(IF(E146&lt;201,E146,IF(E146&lt;301,E146/2,E146/3)))</f>
        <v>517.56002999999987</v>
      </c>
      <c r="G146" s="88">
        <f>(5*1.4)*(10.764)</f>
        <v>75.347999999999999</v>
      </c>
      <c r="H146" s="86">
        <f t="shared" ref="H146:H151" si="21">(F146+(IF(G146&lt;101,G146,IF(G146&lt;201,G146/2,IF(G146&lt;=301,G146/3,G146/4)))))*(($H$129)+1)</f>
        <v>889.36204499999974</v>
      </c>
      <c r="I146" s="36"/>
      <c r="L146" s="109"/>
      <c r="M146" s="109"/>
      <c r="N146" s="36"/>
      <c r="T146" s="34"/>
    </row>
    <row r="147" spans="1:20" s="87" customFormat="1" ht="15.75" customHeight="1" x14ac:dyDescent="0.35">
      <c r="A147" s="107">
        <f t="shared" si="17"/>
        <v>6</v>
      </c>
      <c r="B147" s="108"/>
      <c r="C147" s="86" t="s">
        <v>358</v>
      </c>
      <c r="D147" s="88">
        <f>(5.35*6.05+3.55*3.4+1.65*1.35)*(10.764)</f>
        <v>502.30205999999998</v>
      </c>
      <c r="E147" s="86">
        <v>0</v>
      </c>
      <c r="F147" s="86">
        <f t="shared" si="20"/>
        <v>502.30205999999998</v>
      </c>
      <c r="G147" s="88">
        <f>(5*1.4)*(10.764)</f>
        <v>75.347999999999999</v>
      </c>
      <c r="H147" s="86">
        <f t="shared" si="21"/>
        <v>866.47508999999991</v>
      </c>
      <c r="I147" s="36"/>
      <c r="L147" s="109"/>
      <c r="M147" s="109"/>
      <c r="N147" s="36"/>
      <c r="T147" s="21"/>
    </row>
    <row r="148" spans="1:20" s="87" customFormat="1" ht="15.75" customHeight="1" x14ac:dyDescent="0.35">
      <c r="A148" s="107">
        <f t="shared" si="17"/>
        <v>7</v>
      </c>
      <c r="B148" s="108"/>
      <c r="C148" s="86" t="s">
        <v>358</v>
      </c>
      <c r="D148" s="107" t="s">
        <v>367</v>
      </c>
      <c r="E148" s="113"/>
      <c r="F148" s="113"/>
      <c r="G148" s="113"/>
      <c r="H148" s="108"/>
      <c r="I148" s="36"/>
      <c r="L148" s="109"/>
      <c r="M148" s="109"/>
      <c r="N148" s="36"/>
      <c r="T148" s="21"/>
    </row>
    <row r="149" spans="1:20" s="87" customFormat="1" ht="15.75" customHeight="1" x14ac:dyDescent="0.35">
      <c r="A149" s="107">
        <f t="shared" si="17"/>
        <v>8</v>
      </c>
      <c r="B149" s="108"/>
      <c r="C149" s="86" t="s">
        <v>358</v>
      </c>
      <c r="D149" s="88">
        <f>(5.5*5.35+3.85*1.5+3.7*1.9+1.5*1.35)*(10.764)</f>
        <v>476.36081999999993</v>
      </c>
      <c r="E149" s="86">
        <v>0</v>
      </c>
      <c r="F149" s="86">
        <f t="shared" si="20"/>
        <v>476.36081999999993</v>
      </c>
      <c r="G149" s="88">
        <f>(2*5.8)*(10.764)</f>
        <v>124.86239999999999</v>
      </c>
      <c r="H149" s="86">
        <f t="shared" si="21"/>
        <v>808.18803000000003</v>
      </c>
      <c r="I149" s="36"/>
      <c r="L149" s="109"/>
      <c r="M149" s="109"/>
      <c r="N149" s="36"/>
      <c r="T149" s="34"/>
    </row>
    <row r="150" spans="1:20" s="87" customFormat="1" ht="15.75" customHeight="1" x14ac:dyDescent="0.35">
      <c r="A150" s="107">
        <f t="shared" si="17"/>
        <v>9</v>
      </c>
      <c r="B150" s="108"/>
      <c r="C150" s="86" t="s">
        <v>358</v>
      </c>
      <c r="D150" s="88">
        <f>(5.5*5.35+3.85*1.5+3.7*2.05+1.5*1.35)*(10.764)</f>
        <v>482.33483999999993</v>
      </c>
      <c r="E150" s="86">
        <v>0</v>
      </c>
      <c r="F150" s="86">
        <f t="shared" si="20"/>
        <v>482.33483999999993</v>
      </c>
      <c r="G150" s="88">
        <f>(2*5.8)*(10.764)</f>
        <v>124.86239999999999</v>
      </c>
      <c r="H150" s="86">
        <f t="shared" si="21"/>
        <v>817.14905999999996</v>
      </c>
      <c r="I150" s="36"/>
      <c r="L150" s="109"/>
      <c r="M150" s="109"/>
      <c r="N150" s="36"/>
      <c r="T150" s="21"/>
    </row>
    <row r="151" spans="1:20" s="87" customFormat="1" ht="15.75" customHeight="1" x14ac:dyDescent="0.35">
      <c r="A151" s="107">
        <f t="shared" si="17"/>
        <v>10</v>
      </c>
      <c r="B151" s="108"/>
      <c r="C151" s="86" t="s">
        <v>358</v>
      </c>
      <c r="D151" s="88">
        <f>(5.5*5.35+3.85*1.5+3.7*1.9+1.5*1.35)*(10.764)</f>
        <v>476.36081999999993</v>
      </c>
      <c r="E151" s="86">
        <v>0</v>
      </c>
      <c r="F151" s="86">
        <f t="shared" si="20"/>
        <v>476.36081999999993</v>
      </c>
      <c r="G151" s="88">
        <f>(2*5.8)*(10.764)</f>
        <v>124.86239999999999</v>
      </c>
      <c r="H151" s="86">
        <f t="shared" si="21"/>
        <v>808.18803000000003</v>
      </c>
      <c r="I151" s="36"/>
      <c r="L151" s="109"/>
      <c r="M151" s="109"/>
      <c r="N151" s="36"/>
      <c r="T151" s="21"/>
    </row>
    <row r="152" spans="1:20" s="87" customFormat="1" ht="15.75" customHeight="1" x14ac:dyDescent="0.35">
      <c r="A152" s="107">
        <f t="shared" si="17"/>
        <v>11</v>
      </c>
      <c r="B152" s="108"/>
      <c r="C152" s="86" t="s">
        <v>358</v>
      </c>
      <c r="D152" s="88">
        <f>(5.3*7.25+3.4*3.4+2.45*1.75+1.75*1.35)*(10.764)</f>
        <v>609.6191399999999</v>
      </c>
      <c r="E152" s="86">
        <v>0</v>
      </c>
      <c r="F152" s="86">
        <f t="shared" ref="F152:F153" si="22">D152+(IF(E152&lt;201,E152,IF(E152&lt;301,E152/2,E152/3)))</f>
        <v>609.6191399999999</v>
      </c>
      <c r="G152" s="88">
        <f>(2*5.3+(5.4+1.4)/2*10.8)*(10.764)</f>
        <v>509.35248000000007</v>
      </c>
      <c r="H152" s="86">
        <f t="shared" ref="H152:H153" si="23">(F152+(IF(G152&lt;101,G152,IF(G152&lt;201,G152/2,IF(G152&lt;=301,G152/3,G152/4)))))*(($H$129)+1)</f>
        <v>1105.4358899999997</v>
      </c>
      <c r="I152" s="36"/>
      <c r="L152" s="109"/>
      <c r="M152" s="109"/>
      <c r="N152" s="36"/>
      <c r="T152" s="34"/>
    </row>
    <row r="153" spans="1:20" s="87" customFormat="1" ht="15.75" customHeight="1" x14ac:dyDescent="0.35">
      <c r="A153" s="107">
        <f t="shared" si="17"/>
        <v>12</v>
      </c>
      <c r="B153" s="108"/>
      <c r="C153" s="86" t="s">
        <v>358</v>
      </c>
      <c r="D153" s="88">
        <f>(7.8*6.5+1.43*3.35+1.5*1.35)*(10.764)</f>
        <v>619.09684199999992</v>
      </c>
      <c r="E153" s="86">
        <v>0</v>
      </c>
      <c r="F153" s="86">
        <f t="shared" si="22"/>
        <v>619.09684199999992</v>
      </c>
      <c r="G153" s="86">
        <v>0</v>
      </c>
      <c r="H153" s="86">
        <f t="shared" si="23"/>
        <v>928.64526299999989</v>
      </c>
      <c r="I153" s="36"/>
      <c r="L153" s="109"/>
      <c r="M153" s="109"/>
      <c r="N153" s="36"/>
      <c r="T153" s="21"/>
    </row>
    <row r="154" spans="1:20" s="87" customFormat="1" x14ac:dyDescent="0.35">
      <c r="A154" s="114" t="s">
        <v>371</v>
      </c>
      <c r="B154" s="115"/>
      <c r="C154" s="115"/>
      <c r="D154" s="115"/>
      <c r="E154" s="115"/>
      <c r="F154" s="115"/>
      <c r="G154" s="115"/>
      <c r="H154" s="116"/>
      <c r="I154" s="87">
        <v>2</v>
      </c>
      <c r="J154" s="36"/>
      <c r="T154" s="35"/>
    </row>
    <row r="155" spans="1:20" s="87" customFormat="1" ht="15.75" customHeight="1" x14ac:dyDescent="0.35">
      <c r="A155" s="107">
        <v>1</v>
      </c>
      <c r="B155" s="108"/>
      <c r="C155" s="100" t="s">
        <v>358</v>
      </c>
      <c r="D155" s="92">
        <f>(5.55*6.85+1.65*1.35+1.8*3.45)*(10.764)</f>
        <v>500.04161999999997</v>
      </c>
      <c r="E155" s="86">
        <v>0</v>
      </c>
      <c r="F155" s="86">
        <f>D155+(IF(E155&lt;201,E155,IF(E155&lt;301,E155/2,E155/3)))</f>
        <v>500.04161999999997</v>
      </c>
      <c r="G155" s="63">
        <v>0</v>
      </c>
      <c r="H155" s="86">
        <f>(F155+(IF(G155&lt;101,G155,IF(G155&lt;201,G155/2,IF(G155&lt;=301,G155/3,G155/4)))))*(($H$129)+1)</f>
        <v>750.06242999999995</v>
      </c>
      <c r="I155" s="36"/>
      <c r="L155" s="109"/>
      <c r="M155" s="109"/>
      <c r="N155" s="36"/>
      <c r="T155" s="35"/>
    </row>
    <row r="156" spans="1:20" s="87" customFormat="1" ht="15.75" customHeight="1" x14ac:dyDescent="0.35">
      <c r="A156" s="107">
        <f t="shared" ref="A156:A166" si="24">A155+1</f>
        <v>2</v>
      </c>
      <c r="B156" s="108"/>
      <c r="C156" s="100" t="s">
        <v>358</v>
      </c>
      <c r="D156" s="88">
        <f>(4.74*6.15+2.69*3.3+1.65*1.35)*(10.764)</f>
        <v>433.310202</v>
      </c>
      <c r="E156" s="86">
        <v>0</v>
      </c>
      <c r="F156" s="86">
        <f t="shared" ref="F156:F166" si="25">D156+(IF(E156&lt;201,E156,IF(E156&lt;301,E156/2,E156/3)))</f>
        <v>433.310202</v>
      </c>
      <c r="G156" s="86">
        <v>0</v>
      </c>
      <c r="H156" s="86">
        <f t="shared" ref="H156:H166" si="26">(F156+(IF(G156&lt;101,G156,IF(G156&lt;201,G156/2,IF(G156&lt;=301,G156/3,G156/4)))))*(($H$129)+1)</f>
        <v>649.96530299999995</v>
      </c>
      <c r="I156" s="36"/>
      <c r="L156" s="109"/>
      <c r="M156" s="109"/>
      <c r="N156" s="36"/>
      <c r="T156" s="34"/>
    </row>
    <row r="157" spans="1:20" s="87" customFormat="1" ht="15.75" customHeight="1" x14ac:dyDescent="0.35">
      <c r="A157" s="107">
        <f t="shared" si="24"/>
        <v>3</v>
      </c>
      <c r="B157" s="108"/>
      <c r="C157" s="100" t="s">
        <v>358</v>
      </c>
      <c r="D157" s="88">
        <f>(5.23*6.05+3.43*3.4+1.65*1.35)*(10.764)</f>
        <v>490.09568399999995</v>
      </c>
      <c r="E157" s="86">
        <v>0</v>
      </c>
      <c r="F157" s="86">
        <f t="shared" si="25"/>
        <v>490.09568399999995</v>
      </c>
      <c r="G157" s="86">
        <v>0</v>
      </c>
      <c r="H157" s="86">
        <f t="shared" si="26"/>
        <v>735.14352599999995</v>
      </c>
      <c r="I157" s="36"/>
      <c r="L157" s="109"/>
      <c r="M157" s="109"/>
      <c r="N157" s="36"/>
      <c r="T157" s="21"/>
    </row>
    <row r="158" spans="1:20" s="87" customFormat="1" ht="15.75" customHeight="1" x14ac:dyDescent="0.35">
      <c r="A158" s="107">
        <f t="shared" si="24"/>
        <v>4</v>
      </c>
      <c r="B158" s="108"/>
      <c r="C158" s="100" t="s">
        <v>358</v>
      </c>
      <c r="D158" s="88">
        <f>(5.5*6.05+3.7*3.4+1.65*1.35)*(10.764)</f>
        <v>517.56002999999987</v>
      </c>
      <c r="E158" s="86">
        <v>0</v>
      </c>
      <c r="F158" s="86">
        <f t="shared" si="25"/>
        <v>517.56002999999987</v>
      </c>
      <c r="G158" s="86">
        <v>0</v>
      </c>
      <c r="H158" s="86">
        <f t="shared" si="26"/>
        <v>776.3400449999998</v>
      </c>
      <c r="I158" s="36"/>
      <c r="L158" s="109"/>
      <c r="M158" s="109"/>
      <c r="N158" s="36"/>
      <c r="T158" s="21"/>
    </row>
    <row r="159" spans="1:20" s="87" customFormat="1" ht="15.75" customHeight="1" x14ac:dyDescent="0.35">
      <c r="A159" s="107">
        <f t="shared" si="24"/>
        <v>5</v>
      </c>
      <c r="B159" s="108"/>
      <c r="C159" s="100" t="s">
        <v>358</v>
      </c>
      <c r="D159" s="88">
        <f>(5.5*6.05+3.7*3.4+1.65*1.35)*(10.764)</f>
        <v>517.56002999999987</v>
      </c>
      <c r="E159" s="86">
        <v>0</v>
      </c>
      <c r="F159" s="86">
        <f t="shared" si="25"/>
        <v>517.56002999999987</v>
      </c>
      <c r="G159" s="86">
        <v>0</v>
      </c>
      <c r="H159" s="86">
        <f t="shared" si="26"/>
        <v>776.3400449999998</v>
      </c>
      <c r="I159" s="36"/>
      <c r="L159" s="109"/>
      <c r="M159" s="109"/>
      <c r="N159" s="36"/>
      <c r="T159" s="34"/>
    </row>
    <row r="160" spans="1:20" s="87" customFormat="1" ht="15.75" customHeight="1" x14ac:dyDescent="0.35">
      <c r="A160" s="107">
        <f t="shared" si="24"/>
        <v>6</v>
      </c>
      <c r="B160" s="108"/>
      <c r="C160" s="100" t="s">
        <v>358</v>
      </c>
      <c r="D160" s="88">
        <f>(5.35*6.05+3.55*3.4+1.65*1.35)*(10.764)</f>
        <v>502.30205999999998</v>
      </c>
      <c r="E160" s="86">
        <v>0</v>
      </c>
      <c r="F160" s="86">
        <f t="shared" si="25"/>
        <v>502.30205999999998</v>
      </c>
      <c r="G160" s="86">
        <v>0</v>
      </c>
      <c r="H160" s="86">
        <f t="shared" si="26"/>
        <v>753.45308999999997</v>
      </c>
      <c r="I160" s="36"/>
      <c r="L160" s="109"/>
      <c r="M160" s="109"/>
      <c r="N160" s="36"/>
      <c r="T160" s="21"/>
    </row>
    <row r="161" spans="1:20" s="87" customFormat="1" ht="15.75" customHeight="1" x14ac:dyDescent="0.35">
      <c r="A161" s="107">
        <f t="shared" si="24"/>
        <v>7</v>
      </c>
      <c r="B161" s="108"/>
      <c r="C161" s="86" t="s">
        <v>358</v>
      </c>
      <c r="D161" s="107" t="s">
        <v>367</v>
      </c>
      <c r="E161" s="113"/>
      <c r="F161" s="113"/>
      <c r="G161" s="113"/>
      <c r="H161" s="108"/>
      <c r="I161" s="36"/>
      <c r="L161" s="109"/>
      <c r="M161" s="109"/>
      <c r="N161" s="36"/>
      <c r="T161" s="21"/>
    </row>
    <row r="162" spans="1:20" s="87" customFormat="1" ht="15.75" customHeight="1" x14ac:dyDescent="0.35">
      <c r="A162" s="107">
        <f t="shared" si="24"/>
        <v>8</v>
      </c>
      <c r="B162" s="108"/>
      <c r="C162" s="100" t="s">
        <v>358</v>
      </c>
      <c r="D162" s="88">
        <f>(5.5*5.35+3.85*1.5+3.7*1.9+1.5*1.35)*(10.764)</f>
        <v>476.36081999999993</v>
      </c>
      <c r="E162" s="86">
        <v>0</v>
      </c>
      <c r="F162" s="86">
        <f t="shared" si="25"/>
        <v>476.36081999999993</v>
      </c>
      <c r="G162" s="86">
        <v>0</v>
      </c>
      <c r="H162" s="86">
        <f t="shared" si="26"/>
        <v>714.54122999999993</v>
      </c>
      <c r="I162" s="36"/>
      <c r="L162" s="109"/>
      <c r="M162" s="109"/>
      <c r="N162" s="36"/>
      <c r="T162" s="34"/>
    </row>
    <row r="163" spans="1:20" s="87" customFormat="1" ht="15.75" customHeight="1" x14ac:dyDescent="0.35">
      <c r="A163" s="107">
        <f t="shared" si="24"/>
        <v>9</v>
      </c>
      <c r="B163" s="108"/>
      <c r="C163" s="100" t="s">
        <v>358</v>
      </c>
      <c r="D163" s="88">
        <f>(5.5*5.35+3.85*1.5+3.7*2.05+1.5*1.35)*(10.764)</f>
        <v>482.33483999999993</v>
      </c>
      <c r="E163" s="86">
        <v>0</v>
      </c>
      <c r="F163" s="86">
        <f t="shared" si="25"/>
        <v>482.33483999999993</v>
      </c>
      <c r="G163" s="86">
        <v>0</v>
      </c>
      <c r="H163" s="86">
        <f t="shared" si="26"/>
        <v>723.50225999999986</v>
      </c>
      <c r="I163" s="36"/>
      <c r="L163" s="109"/>
      <c r="M163" s="109"/>
      <c r="N163" s="36"/>
      <c r="T163" s="21"/>
    </row>
    <row r="164" spans="1:20" s="87" customFormat="1" ht="15.75" customHeight="1" x14ac:dyDescent="0.35">
      <c r="A164" s="107">
        <f t="shared" si="24"/>
        <v>10</v>
      </c>
      <c r="B164" s="108"/>
      <c r="C164" s="100" t="s">
        <v>358</v>
      </c>
      <c r="D164" s="88">
        <f>(5.5*5.35+3.85*1.5+3.7*1.9+1.5*1.35)*(10.764)</f>
        <v>476.36081999999993</v>
      </c>
      <c r="E164" s="86">
        <v>0</v>
      </c>
      <c r="F164" s="86">
        <f t="shared" si="25"/>
        <v>476.36081999999993</v>
      </c>
      <c r="G164" s="86">
        <v>0</v>
      </c>
      <c r="H164" s="86">
        <f t="shared" si="26"/>
        <v>714.54122999999993</v>
      </c>
      <c r="I164" s="88">
        <f>(5.5*8.75)*(10.764)</f>
        <v>518.01749999999993</v>
      </c>
      <c r="L164" s="109"/>
      <c r="M164" s="109"/>
      <c r="N164" s="36"/>
      <c r="T164" s="21"/>
    </row>
    <row r="165" spans="1:20" s="87" customFormat="1" ht="15.75" customHeight="1" x14ac:dyDescent="0.35">
      <c r="A165" s="107">
        <f t="shared" si="24"/>
        <v>11</v>
      </c>
      <c r="B165" s="108"/>
      <c r="C165" s="100" t="s">
        <v>358</v>
      </c>
      <c r="D165" s="88">
        <f>(5.3*7.25+3.4*3.4+2.45*1.75+1.75*1.35)*(10.764)</f>
        <v>609.6191399999999</v>
      </c>
      <c r="E165" s="86">
        <v>0</v>
      </c>
      <c r="F165" s="86">
        <f t="shared" si="25"/>
        <v>609.6191399999999</v>
      </c>
      <c r="G165" s="86">
        <v>0</v>
      </c>
      <c r="H165" s="86">
        <f t="shared" si="26"/>
        <v>914.42870999999991</v>
      </c>
      <c r="I165" s="36"/>
      <c r="L165" s="109"/>
      <c r="M165" s="109"/>
      <c r="N165" s="36"/>
      <c r="T165" s="34"/>
    </row>
    <row r="166" spans="1:20" s="87" customFormat="1" ht="15.75" customHeight="1" x14ac:dyDescent="0.35">
      <c r="A166" s="107">
        <f t="shared" si="24"/>
        <v>12</v>
      </c>
      <c r="B166" s="108"/>
      <c r="C166" s="100" t="s">
        <v>358</v>
      </c>
      <c r="D166" s="88">
        <f>(7.8*6.5+1.43*3.35+1.5*1.35)*(10.764)</f>
        <v>619.09684199999992</v>
      </c>
      <c r="E166" s="86">
        <v>0</v>
      </c>
      <c r="F166" s="86">
        <f t="shared" si="25"/>
        <v>619.09684199999992</v>
      </c>
      <c r="G166" s="86">
        <v>0</v>
      </c>
      <c r="H166" s="86">
        <f t="shared" si="26"/>
        <v>928.64526299999989</v>
      </c>
      <c r="I166" s="36"/>
      <c r="L166" s="109"/>
      <c r="M166" s="109"/>
      <c r="N166" s="36"/>
      <c r="T166" s="21"/>
    </row>
    <row r="167" spans="1:20" s="87" customFormat="1" x14ac:dyDescent="0.35">
      <c r="A167" s="114" t="s">
        <v>359</v>
      </c>
      <c r="B167" s="115"/>
      <c r="C167" s="115"/>
      <c r="D167" s="115"/>
      <c r="E167" s="115"/>
      <c r="F167" s="115"/>
      <c r="G167" s="115"/>
      <c r="H167" s="116"/>
      <c r="J167" s="36"/>
      <c r="T167" s="35"/>
    </row>
    <row r="168" spans="1:20" s="87" customFormat="1" ht="15.75" customHeight="1" x14ac:dyDescent="0.35">
      <c r="A168" s="107">
        <v>1</v>
      </c>
      <c r="B168" s="108"/>
      <c r="C168" s="100" t="s">
        <v>358</v>
      </c>
      <c r="D168" s="92">
        <f>(5.55*6.85+1.65*1.35+1.8*3.45)*(10.764)</f>
        <v>500.04161999999997</v>
      </c>
      <c r="E168" s="86">
        <v>0</v>
      </c>
      <c r="F168" s="86">
        <f>D168+(IF(E168&lt;201,E168,IF(E168&lt;301,E168/2,E168/3)))</f>
        <v>500.04161999999997</v>
      </c>
      <c r="G168" s="63">
        <v>0</v>
      </c>
      <c r="H168" s="86">
        <f>(F168+(IF(G168&lt;101,G168,IF(G168&lt;201,G168/2,IF(G168&lt;=301,G168/3,G168/4)))))*(($H$129)+1)</f>
        <v>750.06242999999995</v>
      </c>
      <c r="I168" s="36"/>
      <c r="J168" s="87">
        <f>7503000/H168</f>
        <v>10003.167336350924</v>
      </c>
      <c r="L168" s="109"/>
      <c r="M168" s="109"/>
      <c r="N168" s="36"/>
      <c r="T168" s="35"/>
    </row>
    <row r="169" spans="1:20" s="87" customFormat="1" ht="15.75" customHeight="1" x14ac:dyDescent="0.35">
      <c r="A169" s="107">
        <f t="shared" ref="A169:A175" si="27">A168+1</f>
        <v>2</v>
      </c>
      <c r="B169" s="108"/>
      <c r="C169" s="100" t="s">
        <v>358</v>
      </c>
      <c r="D169" s="88">
        <f>(4.74*6.15+2.69*3.3+1.65*1.35)*(10.764)</f>
        <v>433.310202</v>
      </c>
      <c r="E169" s="86">
        <v>0</v>
      </c>
      <c r="F169" s="86">
        <f t="shared" ref="F169:F179" si="28">D169+(IF(E169&lt;201,E169,IF(E169&lt;301,E169/2,E169/3)))</f>
        <v>433.310202</v>
      </c>
      <c r="G169" s="86">
        <v>0</v>
      </c>
      <c r="H169" s="86">
        <f t="shared" ref="H169:H179" si="29">(F169+(IF(G169&lt;101,G169,IF(G169&lt;201,G169/2,IF(G169&lt;=301,G169/3,G169/4)))))*(($H$129)+1)</f>
        <v>649.96530299999995</v>
      </c>
      <c r="I169" s="36"/>
      <c r="L169" s="109"/>
      <c r="M169" s="109"/>
      <c r="N169" s="36"/>
      <c r="T169" s="34"/>
    </row>
    <row r="170" spans="1:20" s="87" customFormat="1" ht="15.75" customHeight="1" x14ac:dyDescent="0.35">
      <c r="A170" s="107">
        <f t="shared" si="27"/>
        <v>3</v>
      </c>
      <c r="B170" s="108"/>
      <c r="C170" s="100" t="s">
        <v>358</v>
      </c>
      <c r="D170" s="88">
        <f>(5.23*6.05+3.43*3.4+1.65*1.35)*(10.764)</f>
        <v>490.09568399999995</v>
      </c>
      <c r="E170" s="86">
        <v>0</v>
      </c>
      <c r="F170" s="86">
        <f t="shared" si="28"/>
        <v>490.09568399999995</v>
      </c>
      <c r="G170" s="86">
        <v>0</v>
      </c>
      <c r="H170" s="86">
        <f t="shared" si="29"/>
        <v>735.14352599999995</v>
      </c>
      <c r="I170" s="36"/>
      <c r="L170" s="109"/>
      <c r="M170" s="109"/>
      <c r="N170" s="36"/>
      <c r="T170" s="21"/>
    </row>
    <row r="171" spans="1:20" s="87" customFormat="1" ht="15.75" customHeight="1" x14ac:dyDescent="0.35">
      <c r="A171" s="107">
        <f t="shared" si="27"/>
        <v>4</v>
      </c>
      <c r="B171" s="108"/>
      <c r="C171" s="100" t="s">
        <v>358</v>
      </c>
      <c r="D171" s="88">
        <f>(5.5*6.05+3.7*3.4+1.65*1.35)*(10.764)</f>
        <v>517.56002999999987</v>
      </c>
      <c r="E171" s="86">
        <v>0</v>
      </c>
      <c r="F171" s="86">
        <f t="shared" si="28"/>
        <v>517.56002999999987</v>
      </c>
      <c r="G171" s="86">
        <v>0</v>
      </c>
      <c r="H171" s="86">
        <f t="shared" si="29"/>
        <v>776.3400449999998</v>
      </c>
      <c r="I171" s="36"/>
      <c r="L171" s="109"/>
      <c r="M171" s="109"/>
      <c r="N171" s="36"/>
      <c r="T171" s="21"/>
    </row>
    <row r="172" spans="1:20" s="87" customFormat="1" ht="15.75" customHeight="1" x14ac:dyDescent="0.35">
      <c r="A172" s="107">
        <f t="shared" si="27"/>
        <v>5</v>
      </c>
      <c r="B172" s="108"/>
      <c r="C172" s="100" t="s">
        <v>358</v>
      </c>
      <c r="D172" s="88">
        <f>(5.5*6.05+3.7*3.4+1.65*1.35)*(10.764)</f>
        <v>517.56002999999987</v>
      </c>
      <c r="E172" s="86">
        <v>0</v>
      </c>
      <c r="F172" s="86">
        <f t="shared" si="28"/>
        <v>517.56002999999987</v>
      </c>
      <c r="G172" s="86">
        <v>0</v>
      </c>
      <c r="H172" s="86">
        <f t="shared" si="29"/>
        <v>776.3400449999998</v>
      </c>
      <c r="I172" s="36"/>
      <c r="L172" s="109"/>
      <c r="M172" s="109"/>
      <c r="N172" s="36"/>
      <c r="T172" s="34"/>
    </row>
    <row r="173" spans="1:20" s="87" customFormat="1" ht="15.75" customHeight="1" x14ac:dyDescent="0.35">
      <c r="A173" s="107">
        <f t="shared" si="27"/>
        <v>6</v>
      </c>
      <c r="B173" s="108"/>
      <c r="C173" s="100" t="s">
        <v>358</v>
      </c>
      <c r="D173" s="88">
        <f>(5.35*6.05+3.55*3.4+1.65*1.35)*(10.764)</f>
        <v>502.30205999999998</v>
      </c>
      <c r="E173" s="86">
        <v>0</v>
      </c>
      <c r="F173" s="86">
        <f t="shared" si="28"/>
        <v>502.30205999999998</v>
      </c>
      <c r="G173" s="86">
        <v>0</v>
      </c>
      <c r="H173" s="86">
        <f t="shared" si="29"/>
        <v>753.45308999999997</v>
      </c>
      <c r="I173" s="36"/>
      <c r="L173" s="109"/>
      <c r="M173" s="109"/>
      <c r="N173" s="36"/>
      <c r="T173" s="21"/>
    </row>
    <row r="174" spans="1:20" s="87" customFormat="1" ht="15.75" customHeight="1" x14ac:dyDescent="0.35">
      <c r="A174" s="107">
        <f t="shared" si="27"/>
        <v>7</v>
      </c>
      <c r="B174" s="108"/>
      <c r="C174" s="86" t="s">
        <v>358</v>
      </c>
      <c r="D174" s="107" t="s">
        <v>367</v>
      </c>
      <c r="E174" s="113"/>
      <c r="F174" s="113"/>
      <c r="G174" s="113"/>
      <c r="H174" s="108"/>
      <c r="I174" s="36"/>
      <c r="L174" s="109"/>
      <c r="M174" s="109"/>
      <c r="N174" s="36"/>
      <c r="T174" s="21"/>
    </row>
    <row r="175" spans="1:20" s="87" customFormat="1" ht="15.75" customHeight="1" x14ac:dyDescent="0.35">
      <c r="A175" s="107">
        <f t="shared" si="27"/>
        <v>8</v>
      </c>
      <c r="B175" s="108"/>
      <c r="C175" s="100" t="s">
        <v>358</v>
      </c>
      <c r="D175" s="88">
        <f>(5.5*5.35+3.85*1.5+3.7*1.9+1.5*1.35)*(10.764)</f>
        <v>476.36081999999993</v>
      </c>
      <c r="E175" s="86">
        <v>0</v>
      </c>
      <c r="F175" s="86">
        <f t="shared" si="28"/>
        <v>476.36081999999993</v>
      </c>
      <c r="G175" s="86">
        <v>0</v>
      </c>
      <c r="H175" s="86">
        <f t="shared" si="29"/>
        <v>714.54122999999993</v>
      </c>
      <c r="I175" s="36"/>
      <c r="L175" s="109"/>
      <c r="M175" s="109"/>
      <c r="N175" s="36"/>
      <c r="T175" s="34"/>
    </row>
    <row r="176" spans="1:20" s="87" customFormat="1" ht="15.75" customHeight="1" x14ac:dyDescent="0.35">
      <c r="A176" s="107">
        <v>9</v>
      </c>
      <c r="B176" s="108"/>
      <c r="C176" s="107" t="s">
        <v>360</v>
      </c>
      <c r="D176" s="113"/>
      <c r="E176" s="113"/>
      <c r="F176" s="113"/>
      <c r="G176" s="113"/>
      <c r="H176" s="108"/>
      <c r="I176" s="36"/>
      <c r="L176" s="109"/>
      <c r="M176" s="109"/>
      <c r="N176" s="36"/>
      <c r="T176" s="21"/>
    </row>
    <row r="177" spans="1:20" s="87" customFormat="1" ht="15.75" customHeight="1" x14ac:dyDescent="0.35">
      <c r="A177" s="107">
        <v>10</v>
      </c>
      <c r="B177" s="108"/>
      <c r="C177" s="100" t="s">
        <v>358</v>
      </c>
      <c r="D177" s="88">
        <f>(5.5*5.35+3.85*1.5+3.7*1.9+1.5*1.35)*(10.764)</f>
        <v>476.36081999999993</v>
      </c>
      <c r="E177" s="86">
        <v>0</v>
      </c>
      <c r="F177" s="86">
        <f t="shared" si="28"/>
        <v>476.36081999999993</v>
      </c>
      <c r="G177" s="86">
        <v>0</v>
      </c>
      <c r="H177" s="86">
        <f t="shared" si="29"/>
        <v>714.54122999999993</v>
      </c>
      <c r="I177" s="36"/>
      <c r="L177" s="109"/>
      <c r="M177" s="109"/>
      <c r="N177" s="36"/>
      <c r="T177" s="21"/>
    </row>
    <row r="178" spans="1:20" s="87" customFormat="1" ht="15.75" customHeight="1" x14ac:dyDescent="0.35">
      <c r="A178" s="107">
        <f>A177+1</f>
        <v>11</v>
      </c>
      <c r="B178" s="108"/>
      <c r="C178" s="100" t="s">
        <v>358</v>
      </c>
      <c r="D178" s="88">
        <f>(5.3*7.25+3.4*3.4+2.45*1.75+1.75*1.35)*(10.764)</f>
        <v>609.6191399999999</v>
      </c>
      <c r="E178" s="86">
        <v>0</v>
      </c>
      <c r="F178" s="86">
        <f t="shared" si="28"/>
        <v>609.6191399999999</v>
      </c>
      <c r="G178" s="86">
        <v>0</v>
      </c>
      <c r="H178" s="86">
        <f t="shared" si="29"/>
        <v>914.42870999999991</v>
      </c>
      <c r="I178" s="36"/>
      <c r="L178" s="109"/>
      <c r="M178" s="109"/>
      <c r="N178" s="36"/>
      <c r="T178" s="34"/>
    </row>
    <row r="179" spans="1:20" s="87" customFormat="1" ht="15.75" customHeight="1" x14ac:dyDescent="0.35">
      <c r="A179" s="107">
        <f>A178+1</f>
        <v>12</v>
      </c>
      <c r="B179" s="108"/>
      <c r="C179" s="100" t="s">
        <v>358</v>
      </c>
      <c r="D179" s="88">
        <f>(7.8*6.5+1.43*3.35+1.5*1.35)*(10.764)</f>
        <v>619.09684199999992</v>
      </c>
      <c r="E179" s="86">
        <v>0</v>
      </c>
      <c r="F179" s="86">
        <f t="shared" si="28"/>
        <v>619.09684199999992</v>
      </c>
      <c r="G179" s="86">
        <v>0</v>
      </c>
      <c r="H179" s="86">
        <f t="shared" si="29"/>
        <v>928.64526299999989</v>
      </c>
      <c r="I179" s="36"/>
      <c r="L179" s="109"/>
      <c r="M179" s="109"/>
      <c r="N179" s="36"/>
      <c r="T179" s="21"/>
    </row>
    <row r="180" spans="1:20" s="87" customFormat="1" x14ac:dyDescent="0.35">
      <c r="A180" s="114" t="s">
        <v>372</v>
      </c>
      <c r="B180" s="115"/>
      <c r="C180" s="115"/>
      <c r="D180" s="115"/>
      <c r="E180" s="115"/>
      <c r="F180" s="115"/>
      <c r="G180" s="115"/>
      <c r="H180" s="116"/>
      <c r="I180" s="87">
        <v>1</v>
      </c>
      <c r="J180" s="36"/>
      <c r="T180" s="35"/>
    </row>
    <row r="181" spans="1:20" s="87" customFormat="1" ht="15.75" customHeight="1" x14ac:dyDescent="0.35">
      <c r="A181" s="107">
        <v>1</v>
      </c>
      <c r="B181" s="108"/>
      <c r="C181" s="100" t="s">
        <v>358</v>
      </c>
      <c r="D181" s="92">
        <f>(5.55*6.85+1.65*1.35+1.8*3.45)*(10.764)</f>
        <v>500.04161999999997</v>
      </c>
      <c r="E181" s="86">
        <v>0</v>
      </c>
      <c r="F181" s="86">
        <f>D181+(IF(E181&lt;201,E181,IF(E181&lt;301,E181/2,E181/3)))</f>
        <v>500.04161999999997</v>
      </c>
      <c r="G181" s="63">
        <v>0</v>
      </c>
      <c r="H181" s="86">
        <f>(F181+(IF(G181&lt;101,G181,IF(G181&lt;201,G181/2,IF(G181&lt;=301,G181/3,G181/4)))))*(($H$129)+1)</f>
        <v>750.06242999999995</v>
      </c>
      <c r="I181" s="36"/>
      <c r="L181" s="109"/>
      <c r="M181" s="109"/>
      <c r="N181" s="36"/>
      <c r="T181" s="35"/>
    </row>
    <row r="182" spans="1:20" s="87" customFormat="1" ht="15.75" customHeight="1" x14ac:dyDescent="0.35">
      <c r="A182" s="107">
        <f t="shared" ref="A182:A192" si="30">A181+1</f>
        <v>2</v>
      </c>
      <c r="B182" s="108"/>
      <c r="C182" s="100" t="s">
        <v>358</v>
      </c>
      <c r="D182" s="88">
        <f>(4.74*6.15+2.69*3.3+1.65*1.35)*(10.764)</f>
        <v>433.310202</v>
      </c>
      <c r="E182" s="86">
        <v>0</v>
      </c>
      <c r="F182" s="86">
        <f t="shared" ref="F182:F192" si="31">D182+(IF(E182&lt;201,E182,IF(E182&lt;301,E182/2,E182/3)))</f>
        <v>433.310202</v>
      </c>
      <c r="G182" s="86">
        <v>0</v>
      </c>
      <c r="H182" s="86">
        <f t="shared" ref="H182:H192" si="32">(F182+(IF(G182&lt;101,G182,IF(G182&lt;201,G182/2,IF(G182&lt;=301,G182/3,G182/4)))))*(($H$129)+1)</f>
        <v>649.96530299999995</v>
      </c>
      <c r="I182" s="36"/>
      <c r="L182" s="109"/>
      <c r="M182" s="109"/>
      <c r="N182" s="36"/>
      <c r="T182" s="34"/>
    </row>
    <row r="183" spans="1:20" s="87" customFormat="1" ht="15.75" customHeight="1" x14ac:dyDescent="0.35">
      <c r="A183" s="107">
        <f t="shared" si="30"/>
        <v>3</v>
      </c>
      <c r="B183" s="108"/>
      <c r="C183" s="100" t="s">
        <v>358</v>
      </c>
      <c r="D183" s="88">
        <f>(5.23*6.05+3.43*3.4+1.65*1.35)*(10.764)</f>
        <v>490.09568399999995</v>
      </c>
      <c r="E183" s="86">
        <v>0</v>
      </c>
      <c r="F183" s="86">
        <f t="shared" si="31"/>
        <v>490.09568399999995</v>
      </c>
      <c r="G183" s="86">
        <v>0</v>
      </c>
      <c r="H183" s="86">
        <f t="shared" si="32"/>
        <v>735.14352599999995</v>
      </c>
      <c r="I183" s="36"/>
      <c r="L183" s="109"/>
      <c r="M183" s="109"/>
      <c r="N183" s="36"/>
      <c r="T183" s="21"/>
    </row>
    <row r="184" spans="1:20" s="87" customFormat="1" ht="15.75" customHeight="1" x14ac:dyDescent="0.35">
      <c r="A184" s="107">
        <f t="shared" si="30"/>
        <v>4</v>
      </c>
      <c r="B184" s="108"/>
      <c r="C184" s="100" t="s">
        <v>358</v>
      </c>
      <c r="D184" s="88">
        <f>(5.5*6.05+3.7*3.4+1.65*1.35)*(10.764)</f>
        <v>517.56002999999987</v>
      </c>
      <c r="E184" s="86">
        <v>0</v>
      </c>
      <c r="F184" s="86">
        <f t="shared" si="31"/>
        <v>517.56002999999987</v>
      </c>
      <c r="G184" s="86">
        <v>0</v>
      </c>
      <c r="H184" s="86">
        <f t="shared" si="32"/>
        <v>776.3400449999998</v>
      </c>
      <c r="I184" s="36"/>
      <c r="L184" s="109"/>
      <c r="M184" s="109"/>
      <c r="N184" s="36"/>
      <c r="T184" s="21"/>
    </row>
    <row r="185" spans="1:20" s="87" customFormat="1" ht="15.75" customHeight="1" x14ac:dyDescent="0.35">
      <c r="A185" s="107">
        <f t="shared" si="30"/>
        <v>5</v>
      </c>
      <c r="B185" s="108"/>
      <c r="C185" s="100" t="s">
        <v>358</v>
      </c>
      <c r="D185" s="88">
        <f>(5.5*6.05+3.7*3.4+1.65*1.35)*(10.764)</f>
        <v>517.56002999999987</v>
      </c>
      <c r="E185" s="86">
        <v>0</v>
      </c>
      <c r="F185" s="86">
        <f t="shared" si="31"/>
        <v>517.56002999999987</v>
      </c>
      <c r="G185" s="86">
        <v>0</v>
      </c>
      <c r="H185" s="86">
        <f t="shared" si="32"/>
        <v>776.3400449999998</v>
      </c>
      <c r="I185" s="36"/>
      <c r="L185" s="109"/>
      <c r="M185" s="109"/>
      <c r="N185" s="36"/>
      <c r="T185" s="34"/>
    </row>
    <row r="186" spans="1:20" s="87" customFormat="1" ht="15.75" customHeight="1" x14ac:dyDescent="0.35">
      <c r="A186" s="107">
        <f t="shared" si="30"/>
        <v>6</v>
      </c>
      <c r="B186" s="108"/>
      <c r="C186" s="100" t="s">
        <v>358</v>
      </c>
      <c r="D186" s="88">
        <f>(5.35*6.05+3.55*3.4+1.65*1.35)*(10.764)</f>
        <v>502.30205999999998</v>
      </c>
      <c r="E186" s="86">
        <v>0</v>
      </c>
      <c r="F186" s="86">
        <f t="shared" si="31"/>
        <v>502.30205999999998</v>
      </c>
      <c r="G186" s="86">
        <v>0</v>
      </c>
      <c r="H186" s="86">
        <f t="shared" si="32"/>
        <v>753.45308999999997</v>
      </c>
      <c r="I186" s="36"/>
      <c r="L186" s="109"/>
      <c r="M186" s="109"/>
      <c r="N186" s="36"/>
      <c r="T186" s="21"/>
    </row>
    <row r="187" spans="1:20" s="87" customFormat="1" ht="15.75" customHeight="1" x14ac:dyDescent="0.35">
      <c r="A187" s="107">
        <f t="shared" si="30"/>
        <v>7</v>
      </c>
      <c r="B187" s="108"/>
      <c r="C187" s="86" t="s">
        <v>358</v>
      </c>
      <c r="D187" s="107" t="s">
        <v>367</v>
      </c>
      <c r="E187" s="113"/>
      <c r="F187" s="113"/>
      <c r="G187" s="113"/>
      <c r="H187" s="108"/>
      <c r="I187" s="36"/>
      <c r="L187" s="109"/>
      <c r="M187" s="109"/>
      <c r="N187" s="36"/>
      <c r="T187" s="21"/>
    </row>
    <row r="188" spans="1:20" s="87" customFormat="1" ht="15.75" customHeight="1" x14ac:dyDescent="0.35">
      <c r="A188" s="107">
        <f t="shared" si="30"/>
        <v>8</v>
      </c>
      <c r="B188" s="108"/>
      <c r="C188" s="100" t="s">
        <v>358</v>
      </c>
      <c r="D188" s="88">
        <f>(5.5*5.35+3.85*1.5+3.7*1.9+1.5*1.35)*(10.764)</f>
        <v>476.36081999999993</v>
      </c>
      <c r="E188" s="86">
        <v>0</v>
      </c>
      <c r="F188" s="86">
        <f t="shared" si="31"/>
        <v>476.36081999999993</v>
      </c>
      <c r="G188" s="86">
        <v>0</v>
      </c>
      <c r="H188" s="86">
        <f t="shared" si="32"/>
        <v>714.54122999999993</v>
      </c>
      <c r="I188" s="36"/>
      <c r="L188" s="109"/>
      <c r="M188" s="109"/>
      <c r="N188" s="36"/>
      <c r="T188" s="34"/>
    </row>
    <row r="189" spans="1:20" s="87" customFormat="1" ht="15.75" customHeight="1" x14ac:dyDescent="0.35">
      <c r="A189" s="107">
        <f t="shared" si="30"/>
        <v>9</v>
      </c>
      <c r="B189" s="108"/>
      <c r="C189" s="100" t="s">
        <v>358</v>
      </c>
      <c r="D189" s="88">
        <f>(5.5*5.35+3.85*1.5+3.7*2.05+1.5*1.35)*(10.764)</f>
        <v>482.33483999999993</v>
      </c>
      <c r="E189" s="86">
        <v>0</v>
      </c>
      <c r="F189" s="86">
        <f t="shared" si="31"/>
        <v>482.33483999999993</v>
      </c>
      <c r="G189" s="86">
        <v>0</v>
      </c>
      <c r="H189" s="86">
        <f t="shared" si="32"/>
        <v>723.50225999999986</v>
      </c>
      <c r="I189" s="36"/>
      <c r="L189" s="109"/>
      <c r="M189" s="109"/>
      <c r="N189" s="36"/>
      <c r="T189" s="21"/>
    </row>
    <row r="190" spans="1:20" s="87" customFormat="1" ht="15.75" customHeight="1" x14ac:dyDescent="0.35">
      <c r="A190" s="107">
        <f t="shared" si="30"/>
        <v>10</v>
      </c>
      <c r="B190" s="108"/>
      <c r="C190" s="100" t="s">
        <v>358</v>
      </c>
      <c r="D190" s="88">
        <f>(5.5*5.35+3.85*1.5+3.7*1.9+1.5*1.35)*(10.764)</f>
        <v>476.36081999999993</v>
      </c>
      <c r="E190" s="86">
        <v>0</v>
      </c>
      <c r="F190" s="86">
        <f t="shared" si="31"/>
        <v>476.36081999999993</v>
      </c>
      <c r="G190" s="86">
        <v>0</v>
      </c>
      <c r="H190" s="86">
        <f t="shared" si="32"/>
        <v>714.54122999999993</v>
      </c>
      <c r="I190" s="36"/>
      <c r="L190" s="109"/>
      <c r="M190" s="109"/>
      <c r="N190" s="36"/>
      <c r="T190" s="21"/>
    </row>
    <row r="191" spans="1:20" s="87" customFormat="1" ht="15.75" customHeight="1" x14ac:dyDescent="0.35">
      <c r="A191" s="107">
        <f t="shared" si="30"/>
        <v>11</v>
      </c>
      <c r="B191" s="108"/>
      <c r="C191" s="100" t="s">
        <v>358</v>
      </c>
      <c r="D191" s="88">
        <f>(5.3*7.25+3.4*3.4+2.45*1.75+1.75*1.35)*(10.764)</f>
        <v>609.6191399999999</v>
      </c>
      <c r="E191" s="86">
        <v>0</v>
      </c>
      <c r="F191" s="86">
        <f t="shared" si="31"/>
        <v>609.6191399999999</v>
      </c>
      <c r="G191" s="86">
        <v>0</v>
      </c>
      <c r="H191" s="86">
        <f t="shared" si="32"/>
        <v>914.42870999999991</v>
      </c>
      <c r="I191" s="36"/>
      <c r="L191" s="109"/>
      <c r="M191" s="109"/>
      <c r="N191" s="36"/>
      <c r="T191" s="34"/>
    </row>
    <row r="192" spans="1:20" s="87" customFormat="1" ht="15.75" customHeight="1" x14ac:dyDescent="0.35">
      <c r="A192" s="107">
        <f t="shared" si="30"/>
        <v>12</v>
      </c>
      <c r="B192" s="108"/>
      <c r="C192" s="100" t="s">
        <v>358</v>
      </c>
      <c r="D192" s="88">
        <f>(7.8*6.5+1.43*3.35+1.5*1.35)*(10.764)</f>
        <v>619.09684199999992</v>
      </c>
      <c r="E192" s="86">
        <v>0</v>
      </c>
      <c r="F192" s="86">
        <f t="shared" si="31"/>
        <v>619.09684199999992</v>
      </c>
      <c r="G192" s="86">
        <v>0</v>
      </c>
      <c r="H192" s="86">
        <f t="shared" si="32"/>
        <v>928.64526299999989</v>
      </c>
      <c r="I192" s="36"/>
      <c r="L192" s="109"/>
      <c r="M192" s="109"/>
      <c r="N192" s="36"/>
      <c r="T192" s="21"/>
    </row>
    <row r="193" spans="1:20" s="95" customFormat="1" x14ac:dyDescent="0.35">
      <c r="A193" s="114" t="s">
        <v>373</v>
      </c>
      <c r="B193" s="115"/>
      <c r="C193" s="115"/>
      <c r="D193" s="115"/>
      <c r="E193" s="115"/>
      <c r="F193" s="115"/>
      <c r="G193" s="115"/>
      <c r="H193" s="116"/>
      <c r="I193" s="95">
        <v>1</v>
      </c>
      <c r="J193" s="36"/>
      <c r="T193" s="35"/>
    </row>
    <row r="194" spans="1:20" s="95" customFormat="1" ht="15.75" customHeight="1" x14ac:dyDescent="0.35">
      <c r="A194" s="107">
        <v>1</v>
      </c>
      <c r="B194" s="108"/>
      <c r="C194" s="100" t="s">
        <v>358</v>
      </c>
      <c r="D194" s="92">
        <f>(5.55*6.85+1.65*1.35+1.8*3.45)*(10.764)</f>
        <v>500.04161999999997</v>
      </c>
      <c r="E194" s="96">
        <v>0</v>
      </c>
      <c r="F194" s="96">
        <f>D194+(IF(E194&lt;201,E194,IF(E194&lt;301,E194/2,E194/3)))</f>
        <v>500.04161999999997</v>
      </c>
      <c r="G194" s="63">
        <v>0</v>
      </c>
      <c r="H194" s="96">
        <f>(F194+(IF(G194&lt;101,G194,IF(G194&lt;201,G194/2,IF(G194&lt;=301,G194/3,G194/4)))))*(($H$129)+1)</f>
        <v>750.06242999999995</v>
      </c>
      <c r="I194" s="36"/>
      <c r="L194" s="109"/>
      <c r="M194" s="109"/>
      <c r="N194" s="36"/>
      <c r="T194" s="35"/>
    </row>
    <row r="195" spans="1:20" s="95" customFormat="1" ht="15.75" customHeight="1" x14ac:dyDescent="0.35">
      <c r="A195" s="107">
        <f t="shared" ref="A195:A205" si="33">A194+1</f>
        <v>2</v>
      </c>
      <c r="B195" s="108"/>
      <c r="C195" s="100" t="s">
        <v>358</v>
      </c>
      <c r="D195" s="88">
        <f>(4.74*6.15+2.69*3.3+1.65*1.35)*(10.764)</f>
        <v>433.310202</v>
      </c>
      <c r="E195" s="96">
        <v>0</v>
      </c>
      <c r="F195" s="96">
        <f t="shared" ref="F195:F199" si="34">D195+(IF(E195&lt;201,E195,IF(E195&lt;301,E195/2,E195/3)))</f>
        <v>433.310202</v>
      </c>
      <c r="G195" s="96">
        <v>0</v>
      </c>
      <c r="H195" s="96">
        <f t="shared" ref="H195:H199" si="35">(F195+(IF(G195&lt;101,G195,IF(G195&lt;201,G195/2,IF(G195&lt;=301,G195/3,G195/4)))))*(($H$129)+1)</f>
        <v>649.96530299999995</v>
      </c>
      <c r="I195" s="36"/>
      <c r="L195" s="109"/>
      <c r="M195" s="109"/>
      <c r="N195" s="36"/>
      <c r="T195" s="34"/>
    </row>
    <row r="196" spans="1:20" s="95" customFormat="1" ht="15.75" customHeight="1" x14ac:dyDescent="0.35">
      <c r="A196" s="107">
        <f t="shared" si="33"/>
        <v>3</v>
      </c>
      <c r="B196" s="108"/>
      <c r="C196" s="100" t="s">
        <v>358</v>
      </c>
      <c r="D196" s="88">
        <f>(5.23*6.05+3.43*3.4+1.65*1.35)*(10.764)</f>
        <v>490.09568399999995</v>
      </c>
      <c r="E196" s="96">
        <v>0</v>
      </c>
      <c r="F196" s="96">
        <f t="shared" si="34"/>
        <v>490.09568399999995</v>
      </c>
      <c r="G196" s="96">
        <v>0</v>
      </c>
      <c r="H196" s="96">
        <f t="shared" si="35"/>
        <v>735.14352599999995</v>
      </c>
      <c r="I196" s="36"/>
      <c r="L196" s="109"/>
      <c r="M196" s="109"/>
      <c r="N196" s="36"/>
      <c r="T196" s="21"/>
    </row>
    <row r="197" spans="1:20" s="95" customFormat="1" ht="15.75" customHeight="1" x14ac:dyDescent="0.35">
      <c r="A197" s="107">
        <f t="shared" si="33"/>
        <v>4</v>
      </c>
      <c r="B197" s="108"/>
      <c r="C197" s="100" t="s">
        <v>358</v>
      </c>
      <c r="D197" s="88">
        <f>(5.5*6.05+3.7*3.4+1.65*1.35)*(10.764)</f>
        <v>517.56002999999987</v>
      </c>
      <c r="E197" s="96">
        <v>0</v>
      </c>
      <c r="F197" s="96">
        <f t="shared" si="34"/>
        <v>517.56002999999987</v>
      </c>
      <c r="G197" s="96">
        <v>0</v>
      </c>
      <c r="H197" s="96">
        <f t="shared" si="35"/>
        <v>776.3400449999998</v>
      </c>
      <c r="I197" s="36"/>
      <c r="L197" s="109"/>
      <c r="M197" s="109"/>
      <c r="N197" s="36"/>
      <c r="T197" s="21"/>
    </row>
    <row r="198" spans="1:20" s="95" customFormat="1" ht="15.75" customHeight="1" x14ac:dyDescent="0.35">
      <c r="A198" s="107">
        <f t="shared" si="33"/>
        <v>5</v>
      </c>
      <c r="B198" s="108"/>
      <c r="C198" s="100" t="s">
        <v>358</v>
      </c>
      <c r="D198" s="88">
        <f>(5.5*6.05+3.7*3.4+1.65*1.35)*(10.764)</f>
        <v>517.56002999999987</v>
      </c>
      <c r="E198" s="96">
        <v>0</v>
      </c>
      <c r="F198" s="96">
        <f t="shared" si="34"/>
        <v>517.56002999999987</v>
      </c>
      <c r="G198" s="96">
        <v>0</v>
      </c>
      <c r="H198" s="96">
        <f t="shared" si="35"/>
        <v>776.3400449999998</v>
      </c>
      <c r="I198" s="36"/>
      <c r="L198" s="109"/>
      <c r="M198" s="109"/>
      <c r="N198" s="36"/>
      <c r="T198" s="34"/>
    </row>
    <row r="199" spans="1:20" s="95" customFormat="1" ht="15.75" customHeight="1" x14ac:dyDescent="0.35">
      <c r="A199" s="107">
        <f t="shared" si="33"/>
        <v>6</v>
      </c>
      <c r="B199" s="108"/>
      <c r="C199" s="100" t="s">
        <v>358</v>
      </c>
      <c r="D199" s="88">
        <f>(5.35*6.05+3.55*3.4+1.65*1.35)*(10.764)</f>
        <v>502.30205999999998</v>
      </c>
      <c r="E199" s="96">
        <v>0</v>
      </c>
      <c r="F199" s="96">
        <f t="shared" si="34"/>
        <v>502.30205999999998</v>
      </c>
      <c r="G199" s="96">
        <v>0</v>
      </c>
      <c r="H199" s="96">
        <f t="shared" si="35"/>
        <v>753.45308999999997</v>
      </c>
      <c r="I199" s="36"/>
      <c r="L199" s="109"/>
      <c r="M199" s="109"/>
      <c r="N199" s="36"/>
      <c r="T199" s="21"/>
    </row>
    <row r="200" spans="1:20" s="95" customFormat="1" ht="15.75" customHeight="1" x14ac:dyDescent="0.35">
      <c r="A200" s="107">
        <f t="shared" si="33"/>
        <v>7</v>
      </c>
      <c r="B200" s="108"/>
      <c r="C200" s="96" t="s">
        <v>358</v>
      </c>
      <c r="D200" s="107" t="s">
        <v>367</v>
      </c>
      <c r="E200" s="113"/>
      <c r="F200" s="113"/>
      <c r="G200" s="113"/>
      <c r="H200" s="108"/>
      <c r="I200" s="36"/>
      <c r="L200" s="109"/>
      <c r="M200" s="109"/>
      <c r="N200" s="36"/>
      <c r="T200" s="21"/>
    </row>
    <row r="201" spans="1:20" s="95" customFormat="1" ht="15.75" customHeight="1" x14ac:dyDescent="0.35">
      <c r="A201" s="107">
        <f t="shared" si="33"/>
        <v>8</v>
      </c>
      <c r="B201" s="108"/>
      <c r="C201" s="100" t="s">
        <v>358</v>
      </c>
      <c r="D201" s="88">
        <f>(5.5*5.35+3.85*1.5+3.7*1.9+1.5*1.35)*(10.764)</f>
        <v>476.36081999999993</v>
      </c>
      <c r="E201" s="96">
        <v>0</v>
      </c>
      <c r="F201" s="96">
        <f t="shared" ref="F201:F205" si="36">D201+(IF(E201&lt;201,E201,IF(E201&lt;301,E201/2,E201/3)))</f>
        <v>476.36081999999993</v>
      </c>
      <c r="G201" s="96">
        <v>0</v>
      </c>
      <c r="H201" s="96">
        <f t="shared" ref="H201:H205" si="37">(F201+(IF(G201&lt;101,G201,IF(G201&lt;201,G201/2,IF(G201&lt;=301,G201/3,G201/4)))))*(($H$129)+1)</f>
        <v>714.54122999999993</v>
      </c>
      <c r="I201" s="36"/>
      <c r="L201" s="109"/>
      <c r="M201" s="109"/>
      <c r="N201" s="36"/>
      <c r="T201" s="34"/>
    </row>
    <row r="202" spans="1:20" s="95" customFormat="1" ht="15.75" customHeight="1" x14ac:dyDescent="0.35">
      <c r="A202" s="107">
        <f t="shared" si="33"/>
        <v>9</v>
      </c>
      <c r="B202" s="108"/>
      <c r="C202" s="100" t="s">
        <v>358</v>
      </c>
      <c r="D202" s="88">
        <f>(5.5*5.35+3.85*1.5+3.7*2.05+1.5*1.35)*(10.764)</f>
        <v>482.33483999999993</v>
      </c>
      <c r="E202" s="96">
        <v>0</v>
      </c>
      <c r="F202" s="96">
        <f t="shared" si="36"/>
        <v>482.33483999999993</v>
      </c>
      <c r="G202" s="96">
        <v>0</v>
      </c>
      <c r="H202" s="96">
        <f t="shared" si="37"/>
        <v>723.50225999999986</v>
      </c>
      <c r="I202" s="36"/>
      <c r="L202" s="109"/>
      <c r="M202" s="109"/>
      <c r="N202" s="36"/>
      <c r="T202" s="21"/>
    </row>
    <row r="203" spans="1:20" s="95" customFormat="1" ht="15.75" customHeight="1" x14ac:dyDescent="0.35">
      <c r="A203" s="107">
        <f t="shared" si="33"/>
        <v>10</v>
      </c>
      <c r="B203" s="108"/>
      <c r="C203" s="100" t="s">
        <v>358</v>
      </c>
      <c r="D203" s="88">
        <f>(5.5*5.35+3.85*1.5+3.7*1.9+1.5*1.35)*(10.764)</f>
        <v>476.36081999999993</v>
      </c>
      <c r="E203" s="96">
        <v>0</v>
      </c>
      <c r="F203" s="96">
        <f t="shared" si="36"/>
        <v>476.36081999999993</v>
      </c>
      <c r="G203" s="96">
        <v>0</v>
      </c>
      <c r="H203" s="96">
        <f t="shared" si="37"/>
        <v>714.54122999999993</v>
      </c>
      <c r="I203" s="36"/>
      <c r="L203" s="109"/>
      <c r="M203" s="109"/>
      <c r="N203" s="36"/>
      <c r="T203" s="21"/>
    </row>
    <row r="204" spans="1:20" s="95" customFormat="1" ht="15.75" customHeight="1" x14ac:dyDescent="0.35">
      <c r="A204" s="107">
        <f t="shared" si="33"/>
        <v>11</v>
      </c>
      <c r="B204" s="108"/>
      <c r="C204" s="100" t="s">
        <v>358</v>
      </c>
      <c r="D204" s="88">
        <f>(5.3*7.25+3.4*3.4+2.45*1.75+1.75*1.35)*(10.764)</f>
        <v>609.6191399999999</v>
      </c>
      <c r="E204" s="96">
        <v>0</v>
      </c>
      <c r="F204" s="96">
        <f t="shared" si="36"/>
        <v>609.6191399999999</v>
      </c>
      <c r="G204" s="96">
        <v>0</v>
      </c>
      <c r="H204" s="96">
        <f t="shared" si="37"/>
        <v>914.42870999999991</v>
      </c>
      <c r="I204" s="36"/>
      <c r="L204" s="109"/>
      <c r="M204" s="109"/>
      <c r="N204" s="36"/>
      <c r="T204" s="34"/>
    </row>
    <row r="205" spans="1:20" s="95" customFormat="1" ht="15.75" customHeight="1" x14ac:dyDescent="0.35">
      <c r="A205" s="107">
        <f t="shared" si="33"/>
        <v>12</v>
      </c>
      <c r="B205" s="108"/>
      <c r="C205" s="100" t="s">
        <v>358</v>
      </c>
      <c r="D205" s="88">
        <f>(7.8*6.5+1.43*3.35+1.5*1.35)*(10.764)</f>
        <v>619.09684199999992</v>
      </c>
      <c r="E205" s="96">
        <v>0</v>
      </c>
      <c r="F205" s="96">
        <f t="shared" si="36"/>
        <v>619.09684199999992</v>
      </c>
      <c r="G205" s="96">
        <v>0</v>
      </c>
      <c r="H205" s="96">
        <f t="shared" si="37"/>
        <v>928.64526299999989</v>
      </c>
      <c r="I205" s="36"/>
      <c r="L205" s="109"/>
      <c r="M205" s="109"/>
      <c r="N205" s="36"/>
      <c r="T205" s="21"/>
    </row>
    <row r="206" spans="1:20" s="95" customFormat="1" x14ac:dyDescent="0.35">
      <c r="A206" s="114" t="s">
        <v>374</v>
      </c>
      <c r="B206" s="115"/>
      <c r="C206" s="115"/>
      <c r="D206" s="115"/>
      <c r="E206" s="115"/>
      <c r="F206" s="115"/>
      <c r="G206" s="115"/>
      <c r="H206" s="116"/>
      <c r="I206" s="95">
        <v>1</v>
      </c>
      <c r="J206" s="36"/>
      <c r="T206" s="35"/>
    </row>
    <row r="207" spans="1:20" s="95" customFormat="1" ht="15.75" customHeight="1" x14ac:dyDescent="0.35">
      <c r="A207" s="107">
        <v>1</v>
      </c>
      <c r="B207" s="108"/>
      <c r="C207" s="100" t="s">
        <v>358</v>
      </c>
      <c r="D207" s="92">
        <f>(5.55*6.85+1.65*1.35+1.8*3.45)*(10.764)</f>
        <v>500.04161999999997</v>
      </c>
      <c r="E207" s="96">
        <v>0</v>
      </c>
      <c r="F207" s="96">
        <f>D207+(IF(E207&lt;201,E207,IF(E207&lt;301,E207/2,E207/3)))</f>
        <v>500.04161999999997</v>
      </c>
      <c r="G207" s="63">
        <v>0</v>
      </c>
      <c r="H207" s="96">
        <f>(F207+(IF(G207&lt;101,G207,IF(G207&lt;201,G207/2,IF(G207&lt;=301,G207/3,G207/4)))))*(($H$129)+1)</f>
        <v>750.06242999999995</v>
      </c>
      <c r="I207" s="36"/>
      <c r="L207" s="109"/>
      <c r="M207" s="109"/>
      <c r="N207" s="36"/>
      <c r="T207" s="35"/>
    </row>
    <row r="208" spans="1:20" s="95" customFormat="1" ht="15.75" customHeight="1" x14ac:dyDescent="0.35">
      <c r="A208" s="107">
        <f t="shared" ref="A208:A214" si="38">A207+1</f>
        <v>2</v>
      </c>
      <c r="B208" s="108"/>
      <c r="C208" s="100" t="s">
        <v>358</v>
      </c>
      <c r="D208" s="88">
        <f>(4.74*6.15+2.69*3.3+1.65*1.35)*(10.764)</f>
        <v>433.310202</v>
      </c>
      <c r="E208" s="96">
        <v>0</v>
      </c>
      <c r="F208" s="96">
        <f t="shared" ref="F208:F212" si="39">D208+(IF(E208&lt;201,E208,IF(E208&lt;301,E208/2,E208/3)))</f>
        <v>433.310202</v>
      </c>
      <c r="G208" s="96">
        <v>0</v>
      </c>
      <c r="H208" s="96">
        <f t="shared" ref="H208:H212" si="40">(F208+(IF(G208&lt;101,G208,IF(G208&lt;201,G208/2,IF(G208&lt;=301,G208/3,G208/4)))))*(($H$129)+1)</f>
        <v>649.96530299999995</v>
      </c>
      <c r="I208" s="36"/>
      <c r="L208" s="109"/>
      <c r="M208" s="109"/>
      <c r="N208" s="36"/>
      <c r="T208" s="34"/>
    </row>
    <row r="209" spans="1:20" s="95" customFormat="1" ht="15.75" customHeight="1" x14ac:dyDescent="0.35">
      <c r="A209" s="107">
        <f t="shared" si="38"/>
        <v>3</v>
      </c>
      <c r="B209" s="108"/>
      <c r="C209" s="100" t="s">
        <v>358</v>
      </c>
      <c r="D209" s="88">
        <f>(5.23*6.05+3.43*3.4+1.65*1.35)*(10.764)</f>
        <v>490.09568399999995</v>
      </c>
      <c r="E209" s="96">
        <v>0</v>
      </c>
      <c r="F209" s="96">
        <f t="shared" si="39"/>
        <v>490.09568399999995</v>
      </c>
      <c r="G209" s="96">
        <v>0</v>
      </c>
      <c r="H209" s="96">
        <f t="shared" si="40"/>
        <v>735.14352599999995</v>
      </c>
      <c r="I209" s="36"/>
      <c r="L209" s="109"/>
      <c r="M209" s="109"/>
      <c r="N209" s="36"/>
      <c r="T209" s="21"/>
    </row>
    <row r="210" spans="1:20" s="95" customFormat="1" ht="15.75" customHeight="1" x14ac:dyDescent="0.35">
      <c r="A210" s="107">
        <f t="shared" si="38"/>
        <v>4</v>
      </c>
      <c r="B210" s="108"/>
      <c r="C210" s="100" t="s">
        <v>358</v>
      </c>
      <c r="D210" s="88">
        <f>(5.5*6.05+3.7*3.4+1.65*1.35)*(10.764)</f>
        <v>517.56002999999987</v>
      </c>
      <c r="E210" s="96">
        <v>0</v>
      </c>
      <c r="F210" s="96">
        <f t="shared" si="39"/>
        <v>517.56002999999987</v>
      </c>
      <c r="G210" s="96">
        <v>0</v>
      </c>
      <c r="H210" s="96">
        <f t="shared" si="40"/>
        <v>776.3400449999998</v>
      </c>
      <c r="I210" s="36"/>
      <c r="L210" s="109"/>
      <c r="M210" s="109"/>
      <c r="N210" s="36"/>
      <c r="T210" s="21"/>
    </row>
    <row r="211" spans="1:20" s="95" customFormat="1" ht="15.75" customHeight="1" x14ac:dyDescent="0.35">
      <c r="A211" s="107">
        <f t="shared" si="38"/>
        <v>5</v>
      </c>
      <c r="B211" s="108"/>
      <c r="C211" s="100" t="s">
        <v>358</v>
      </c>
      <c r="D211" s="88">
        <f>(5.5*6.05+3.7*3.4+1.65*1.35)*(10.764)</f>
        <v>517.56002999999987</v>
      </c>
      <c r="E211" s="96">
        <v>0</v>
      </c>
      <c r="F211" s="96">
        <f t="shared" si="39"/>
        <v>517.56002999999987</v>
      </c>
      <c r="G211" s="96">
        <v>0</v>
      </c>
      <c r="H211" s="96">
        <f t="shared" si="40"/>
        <v>776.3400449999998</v>
      </c>
      <c r="I211" s="36"/>
      <c r="L211" s="109"/>
      <c r="M211" s="109"/>
      <c r="N211" s="36"/>
      <c r="T211" s="34"/>
    </row>
    <row r="212" spans="1:20" s="95" customFormat="1" ht="15.75" customHeight="1" x14ac:dyDescent="0.35">
      <c r="A212" s="107">
        <f t="shared" si="38"/>
        <v>6</v>
      </c>
      <c r="B212" s="108"/>
      <c r="C212" s="100" t="s">
        <v>358</v>
      </c>
      <c r="D212" s="88">
        <f>(5.35*6.05+3.55*3.4+1.65*1.35)*(10.764)</f>
        <v>502.30205999999998</v>
      </c>
      <c r="E212" s="96">
        <v>0</v>
      </c>
      <c r="F212" s="96">
        <f t="shared" si="39"/>
        <v>502.30205999999998</v>
      </c>
      <c r="G212" s="96">
        <v>0</v>
      </c>
      <c r="H212" s="96">
        <f t="shared" si="40"/>
        <v>753.45308999999997</v>
      </c>
      <c r="I212" s="36"/>
      <c r="L212" s="109"/>
      <c r="M212" s="109"/>
      <c r="N212" s="36"/>
      <c r="T212" s="21"/>
    </row>
    <row r="213" spans="1:20" s="95" customFormat="1" ht="15.75" customHeight="1" x14ac:dyDescent="0.35">
      <c r="A213" s="107">
        <f t="shared" si="38"/>
        <v>7</v>
      </c>
      <c r="B213" s="108"/>
      <c r="C213" s="96" t="s">
        <v>358</v>
      </c>
      <c r="D213" s="107" t="s">
        <v>367</v>
      </c>
      <c r="E213" s="113"/>
      <c r="F213" s="113"/>
      <c r="G213" s="113"/>
      <c r="H213" s="108"/>
      <c r="I213" s="36"/>
      <c r="L213" s="109"/>
      <c r="M213" s="109"/>
      <c r="N213" s="36"/>
      <c r="T213" s="21"/>
    </row>
    <row r="214" spans="1:20" s="95" customFormat="1" ht="15.75" customHeight="1" x14ac:dyDescent="0.35">
      <c r="A214" s="107">
        <f t="shared" si="38"/>
        <v>8</v>
      </c>
      <c r="B214" s="108"/>
      <c r="C214" s="100" t="s">
        <v>358</v>
      </c>
      <c r="D214" s="88">
        <f>(5.5*5.35+3.85*1.5+3.7*1.9+1.5*1.35)*(10.764)</f>
        <v>476.36081999999993</v>
      </c>
      <c r="E214" s="96">
        <v>0</v>
      </c>
      <c r="F214" s="96">
        <f t="shared" ref="F214" si="41">D214+(IF(E214&lt;201,E214,IF(E214&lt;301,E214/2,E214/3)))</f>
        <v>476.36081999999993</v>
      </c>
      <c r="G214" s="96">
        <v>0</v>
      </c>
      <c r="H214" s="96">
        <f t="shared" ref="H214" si="42">(F214+(IF(G214&lt;101,G214,IF(G214&lt;201,G214/2,IF(G214&lt;=301,G214/3,G214/4)))))*(($H$129)+1)</f>
        <v>714.54122999999993</v>
      </c>
      <c r="I214" s="36"/>
      <c r="L214" s="109"/>
      <c r="M214" s="109"/>
      <c r="N214" s="36"/>
      <c r="T214" s="34"/>
    </row>
    <row r="215" spans="1:20" s="95" customFormat="1" ht="15.75" customHeight="1" x14ac:dyDescent="0.35">
      <c r="A215" s="107">
        <v>9</v>
      </c>
      <c r="B215" s="108"/>
      <c r="C215" s="107" t="s">
        <v>360</v>
      </c>
      <c r="D215" s="113"/>
      <c r="E215" s="113"/>
      <c r="F215" s="113"/>
      <c r="G215" s="113"/>
      <c r="H215" s="108"/>
      <c r="I215" s="36"/>
      <c r="L215" s="109"/>
      <c r="M215" s="109"/>
      <c r="N215" s="36"/>
      <c r="T215" s="21"/>
    </row>
    <row r="216" spans="1:20" s="95" customFormat="1" ht="15.75" customHeight="1" x14ac:dyDescent="0.35">
      <c r="A216" s="107">
        <v>10</v>
      </c>
      <c r="B216" s="108"/>
      <c r="C216" s="100" t="s">
        <v>358</v>
      </c>
      <c r="D216" s="88">
        <f>(5.5*5.35+3.85*1.5+3.7*1.9+1.5*1.35)*(10.764)</f>
        <v>476.36081999999993</v>
      </c>
      <c r="E216" s="96">
        <v>0</v>
      </c>
      <c r="F216" s="96">
        <f t="shared" ref="F216:F218" si="43">D216+(IF(E216&lt;201,E216,IF(E216&lt;301,E216/2,E216/3)))</f>
        <v>476.36081999999993</v>
      </c>
      <c r="G216" s="96">
        <v>0</v>
      </c>
      <c r="H216" s="96">
        <f t="shared" ref="H216:H218" si="44">(F216+(IF(G216&lt;101,G216,IF(G216&lt;201,G216/2,IF(G216&lt;=301,G216/3,G216/4)))))*(($H$129)+1)</f>
        <v>714.54122999999993</v>
      </c>
      <c r="I216" s="36"/>
      <c r="L216" s="109"/>
      <c r="M216" s="109"/>
      <c r="N216" s="36"/>
      <c r="T216" s="21"/>
    </row>
    <row r="217" spans="1:20" s="95" customFormat="1" ht="15.75" customHeight="1" x14ac:dyDescent="0.35">
      <c r="A217" s="107">
        <f>A216+1</f>
        <v>11</v>
      </c>
      <c r="B217" s="108"/>
      <c r="C217" s="100" t="s">
        <v>358</v>
      </c>
      <c r="D217" s="88">
        <f>(5.3*7.25+3.4*3.4+2.45*1.75+1.75*1.35)*(10.764)</f>
        <v>609.6191399999999</v>
      </c>
      <c r="E217" s="96">
        <v>0</v>
      </c>
      <c r="F217" s="96">
        <f t="shared" si="43"/>
        <v>609.6191399999999</v>
      </c>
      <c r="G217" s="96">
        <v>0</v>
      </c>
      <c r="H217" s="96">
        <f t="shared" si="44"/>
        <v>914.42870999999991</v>
      </c>
      <c r="I217" s="36">
        <f>13800000/H217</f>
        <v>15091.389683073272</v>
      </c>
      <c r="L217" s="109"/>
      <c r="M217" s="109"/>
      <c r="N217" s="36"/>
      <c r="T217" s="34"/>
    </row>
    <row r="218" spans="1:20" s="95" customFormat="1" ht="15.75" customHeight="1" x14ac:dyDescent="0.35">
      <c r="A218" s="107">
        <f>A217+1</f>
        <v>12</v>
      </c>
      <c r="B218" s="108"/>
      <c r="C218" s="100" t="s">
        <v>358</v>
      </c>
      <c r="D218" s="88">
        <f>(7.8*6.5+1.43*3.35+1.5*1.35)*(10.764)</f>
        <v>619.09684199999992</v>
      </c>
      <c r="E218" s="96">
        <v>0</v>
      </c>
      <c r="F218" s="96">
        <f t="shared" si="43"/>
        <v>619.09684199999992</v>
      </c>
      <c r="G218" s="96">
        <v>0</v>
      </c>
      <c r="H218" s="96">
        <f t="shared" si="44"/>
        <v>928.64526299999989</v>
      </c>
      <c r="I218" s="36"/>
      <c r="L218" s="109"/>
      <c r="M218" s="109"/>
      <c r="N218" s="36"/>
      <c r="T218" s="21"/>
    </row>
    <row r="219" spans="1:20" s="95" customFormat="1" x14ac:dyDescent="0.35">
      <c r="A219" s="114" t="s">
        <v>375</v>
      </c>
      <c r="B219" s="115"/>
      <c r="C219" s="115"/>
      <c r="D219" s="115"/>
      <c r="E219" s="115"/>
      <c r="F219" s="115"/>
      <c r="G219" s="115"/>
      <c r="H219" s="116"/>
      <c r="I219" s="95">
        <v>1</v>
      </c>
      <c r="J219" s="36"/>
      <c r="T219" s="35"/>
    </row>
    <row r="220" spans="1:20" s="95" customFormat="1" ht="15.75" customHeight="1" x14ac:dyDescent="0.35">
      <c r="A220" s="107">
        <v>1</v>
      </c>
      <c r="B220" s="108"/>
      <c r="C220" s="96" t="s">
        <v>356</v>
      </c>
      <c r="D220" s="88">
        <f>(4.05*6.85+1.8*3.45+1.65*1.35)*(10.764)</f>
        <v>389.44151999999997</v>
      </c>
      <c r="E220" s="96">
        <v>0</v>
      </c>
      <c r="F220" s="96">
        <f>D220+(IF(E220&lt;201,E220,IF(E220&lt;301,E220/2,E220/3)))</f>
        <v>389.44151999999997</v>
      </c>
      <c r="G220" s="88">
        <f>(6.85*1.5)*(10.764)</f>
        <v>110.60009999999998</v>
      </c>
      <c r="H220" s="96">
        <f>(F220+(IF(G220&lt;101,G220,IF(G220&lt;201,G220/2,IF(G220&lt;=301,G220/3,G220/4)))))*(($H$129)+1)</f>
        <v>667.11235499999998</v>
      </c>
      <c r="I220" s="36"/>
      <c r="L220" s="109"/>
      <c r="M220" s="109"/>
      <c r="N220" s="36"/>
      <c r="T220" s="35"/>
    </row>
    <row r="221" spans="1:20" s="95" customFormat="1" ht="15.75" customHeight="1" x14ac:dyDescent="0.35">
      <c r="A221" s="107">
        <f>A220+1</f>
        <v>2</v>
      </c>
      <c r="B221" s="108"/>
      <c r="C221" s="96" t="s">
        <v>356</v>
      </c>
      <c r="D221" s="88">
        <f>(5.5*4.55+3.7*3.4+1.65*1.35)*(10.764)</f>
        <v>428.75702999999993</v>
      </c>
      <c r="E221" s="96">
        <v>0</v>
      </c>
      <c r="F221" s="96">
        <f t="shared" ref="F221:F224" si="45">D221+(IF(E221&lt;201,E221,IF(E221&lt;301,E221/2,E221/3)))</f>
        <v>428.75702999999993</v>
      </c>
      <c r="G221" s="88">
        <f>(5.5*1.5+4.5*9)*(10.764)</f>
        <v>524.745</v>
      </c>
      <c r="H221" s="96">
        <f t="shared" ref="H221:H224" si="46">(F221+(IF(G221&lt;101,G221,IF(G221&lt;201,G221/2,IF(G221&lt;=301,G221/3,G221/4)))))*(($H$129)+1)</f>
        <v>839.91491999999994</v>
      </c>
      <c r="I221" s="36"/>
      <c r="L221" s="109"/>
      <c r="M221" s="109"/>
      <c r="N221" s="36"/>
      <c r="T221" s="34"/>
    </row>
    <row r="222" spans="1:20" s="95" customFormat="1" ht="15.75" customHeight="1" x14ac:dyDescent="0.35">
      <c r="A222" s="107">
        <f t="shared" ref="A222:A229" si="47">A221+1</f>
        <v>3</v>
      </c>
      <c r="B222" s="108"/>
      <c r="C222" s="96" t="s">
        <v>356</v>
      </c>
      <c r="D222" s="88">
        <f>(5.5*4.55+3.7*3.4+1.65*1.35)*(10.764)</f>
        <v>428.75702999999993</v>
      </c>
      <c r="E222" s="96">
        <v>0</v>
      </c>
      <c r="F222" s="96">
        <f t="shared" si="45"/>
        <v>428.75702999999993</v>
      </c>
      <c r="G222" s="88">
        <f>(5.5*1.5)*(10.764)</f>
        <v>88.802999999999997</v>
      </c>
      <c r="H222" s="96">
        <f t="shared" si="46"/>
        <v>776.3400449999998</v>
      </c>
      <c r="I222" s="36"/>
      <c r="L222" s="109"/>
      <c r="M222" s="109"/>
      <c r="N222" s="36"/>
      <c r="T222" s="21"/>
    </row>
    <row r="223" spans="1:20" s="95" customFormat="1" ht="15.75" customHeight="1" x14ac:dyDescent="0.35">
      <c r="A223" s="107">
        <f t="shared" si="47"/>
        <v>4</v>
      </c>
      <c r="B223" s="108"/>
      <c r="C223" s="96" t="s">
        <v>356</v>
      </c>
      <c r="D223" s="88">
        <f>(5.5*4.55+3.7*3.4+1.65*1.35)*(10.764)</f>
        <v>428.75702999999993</v>
      </c>
      <c r="E223" s="96">
        <v>0</v>
      </c>
      <c r="F223" s="96">
        <f t="shared" si="45"/>
        <v>428.75702999999993</v>
      </c>
      <c r="G223" s="88">
        <f>(5.5*1.5)*(10.764)</f>
        <v>88.802999999999997</v>
      </c>
      <c r="H223" s="96">
        <f t="shared" si="46"/>
        <v>776.3400449999998</v>
      </c>
      <c r="I223" s="36"/>
      <c r="L223" s="109"/>
      <c r="M223" s="109"/>
      <c r="N223" s="36"/>
      <c r="T223" s="21"/>
    </row>
    <row r="224" spans="1:20" s="95" customFormat="1" ht="15.75" customHeight="1" x14ac:dyDescent="0.35">
      <c r="A224" s="107">
        <f t="shared" si="47"/>
        <v>5</v>
      </c>
      <c r="B224" s="108"/>
      <c r="C224" s="96" t="s">
        <v>356</v>
      </c>
      <c r="D224" s="88">
        <f>(5.35*4.55+3.55*3.4+1.65*1.35)*(10.764)</f>
        <v>415.92095999999992</v>
      </c>
      <c r="E224" s="96">
        <v>0</v>
      </c>
      <c r="F224" s="96">
        <f t="shared" si="45"/>
        <v>415.92095999999992</v>
      </c>
      <c r="G224" s="88">
        <f>(5.35*1.5)*(10.764)</f>
        <v>86.381099999999975</v>
      </c>
      <c r="H224" s="96">
        <f t="shared" si="46"/>
        <v>753.45308999999975</v>
      </c>
      <c r="I224" s="36"/>
      <c r="K224" s="88">
        <f>10.764</f>
        <v>10.763999999999999</v>
      </c>
      <c r="L224" s="109"/>
      <c r="M224" s="109"/>
      <c r="N224" s="36"/>
      <c r="T224" s="34"/>
    </row>
    <row r="225" spans="1:20" s="95" customFormat="1" ht="15.75" customHeight="1" x14ac:dyDescent="0.35">
      <c r="A225" s="107">
        <f t="shared" si="47"/>
        <v>6</v>
      </c>
      <c r="B225" s="108"/>
      <c r="C225" s="96"/>
      <c r="D225" s="107" t="s">
        <v>367</v>
      </c>
      <c r="E225" s="113"/>
      <c r="F225" s="113"/>
      <c r="G225" s="113"/>
      <c r="H225" s="108"/>
      <c r="I225" s="36"/>
      <c r="L225" s="109"/>
      <c r="M225" s="109"/>
      <c r="N225" s="36"/>
      <c r="T225" s="21"/>
    </row>
    <row r="226" spans="1:20" s="95" customFormat="1" ht="15.75" customHeight="1" x14ac:dyDescent="0.35">
      <c r="A226" s="107">
        <f t="shared" si="47"/>
        <v>7</v>
      </c>
      <c r="B226" s="108"/>
      <c r="C226" s="96" t="s">
        <v>356</v>
      </c>
      <c r="D226" s="96">
        <f>(5.5*5.35+3.7*1.9)*10.764</f>
        <v>392.40161999999998</v>
      </c>
      <c r="E226" s="96">
        <v>0</v>
      </c>
      <c r="F226" s="96">
        <f t="shared" ref="F226:F229" si="48">D226+(IF(E226&lt;201,E226,IF(E226&lt;301,E226/2,E226/3)))</f>
        <v>392.40161999999998</v>
      </c>
      <c r="G226" s="88">
        <f>(5.35*1.5)*(10.764)</f>
        <v>86.381099999999975</v>
      </c>
      <c r="H226" s="96">
        <f>(F226+(IF(G226&lt;101,G226,IF(G226&lt;201,G226/2,IF(G226&lt;=301,G226/3,G226/4)))))*(($H$129)+1)</f>
        <v>718.17407999999989</v>
      </c>
      <c r="I226" s="36"/>
      <c r="L226" s="109"/>
      <c r="M226" s="109"/>
      <c r="N226" s="36"/>
      <c r="T226" s="21"/>
    </row>
    <row r="227" spans="1:20" s="95" customFormat="1" ht="15.75" customHeight="1" x14ac:dyDescent="0.35">
      <c r="A227" s="107">
        <f t="shared" si="47"/>
        <v>8</v>
      </c>
      <c r="B227" s="108"/>
      <c r="C227" s="96" t="s">
        <v>356</v>
      </c>
      <c r="D227" s="100">
        <f>(5.5*5.35+3.7*1.9)*10.764</f>
        <v>392.40161999999998</v>
      </c>
      <c r="E227" s="96">
        <v>0</v>
      </c>
      <c r="F227" s="96">
        <f t="shared" si="48"/>
        <v>392.40161999999998</v>
      </c>
      <c r="G227" s="88">
        <f>(5.35*1.5)*(10.764)</f>
        <v>86.381099999999975</v>
      </c>
      <c r="H227" s="96">
        <f>(F227+(IF(G227&lt;101,G227,IF(G227&lt;201,G227/2,IF(G227&lt;=301,G227/3,G227/4)))))*(($H$129)+1)</f>
        <v>718.17407999999989</v>
      </c>
      <c r="I227" s="36"/>
      <c r="L227" s="109"/>
      <c r="M227" s="109"/>
      <c r="N227" s="36"/>
      <c r="T227" s="34"/>
    </row>
    <row r="228" spans="1:20" s="95" customFormat="1" ht="15.75" customHeight="1" x14ac:dyDescent="0.35">
      <c r="A228" s="107">
        <f t="shared" si="47"/>
        <v>9</v>
      </c>
      <c r="B228" s="108"/>
      <c r="C228" s="96" t="s">
        <v>356</v>
      </c>
      <c r="D228" s="100">
        <f>(5.5*5.35+3.7*1.9)*10.764</f>
        <v>392.40161999999998</v>
      </c>
      <c r="E228" s="96">
        <v>0</v>
      </c>
      <c r="F228" s="96">
        <f t="shared" si="48"/>
        <v>392.40161999999998</v>
      </c>
      <c r="G228" s="88">
        <f>(5.35*1.5)*(10.764)</f>
        <v>86.381099999999975</v>
      </c>
      <c r="H228" s="96">
        <f>(F228+(IF(G228&lt;101,G228,IF(G228&lt;201,G228/2,IF(G228&lt;=301,G228/3,G228/4)))))*(($H$129)+1)</f>
        <v>718.17407999999989</v>
      </c>
      <c r="I228" s="36"/>
      <c r="L228" s="109"/>
      <c r="M228" s="109"/>
      <c r="N228" s="36"/>
      <c r="T228" s="21"/>
    </row>
    <row r="229" spans="1:20" s="95" customFormat="1" ht="15.75" customHeight="1" x14ac:dyDescent="0.35">
      <c r="A229" s="107">
        <f t="shared" si="47"/>
        <v>10</v>
      </c>
      <c r="B229" s="108"/>
      <c r="C229" s="96" t="s">
        <v>356</v>
      </c>
      <c r="D229" s="88">
        <f>(7.8*6.5+1.65*3.25+7.55*1.9+1.5*1.35)*(10.764)</f>
        <v>779.66342999999995</v>
      </c>
      <c r="E229" s="96">
        <v>0</v>
      </c>
      <c r="F229" s="96">
        <f t="shared" si="48"/>
        <v>779.66342999999995</v>
      </c>
      <c r="G229" s="88">
        <f>(8.9*5.4)*(10.764)</f>
        <v>517.31784000000005</v>
      </c>
      <c r="H229" s="96">
        <f>(F229+(IF(G229&lt;101,G229,IF(G229&lt;201,G229/2,IF(G229&lt;=301,G229/3,G229/4)))))*(($H$129)+1)</f>
        <v>1363.489335</v>
      </c>
      <c r="I229" s="36"/>
      <c r="L229" s="109"/>
      <c r="M229" s="109"/>
      <c r="N229" s="36"/>
      <c r="T229" s="21"/>
    </row>
    <row r="230" spans="1:20" s="95" customFormat="1" x14ac:dyDescent="0.35">
      <c r="A230" s="114" t="s">
        <v>376</v>
      </c>
      <c r="B230" s="115"/>
      <c r="C230" s="115"/>
      <c r="D230" s="115"/>
      <c r="E230" s="115"/>
      <c r="F230" s="115"/>
      <c r="G230" s="115"/>
      <c r="H230" s="116"/>
      <c r="I230" s="95">
        <v>1</v>
      </c>
      <c r="J230" s="36"/>
      <c r="T230" s="35"/>
    </row>
    <row r="231" spans="1:20" s="95" customFormat="1" ht="15.75" customHeight="1" x14ac:dyDescent="0.35">
      <c r="A231" s="107">
        <v>1</v>
      </c>
      <c r="B231" s="108"/>
      <c r="C231" s="100" t="s">
        <v>358</v>
      </c>
      <c r="D231" s="88">
        <f>(4.05*6.85+1.8*3.45+1.65*1.35)*(10.764)</f>
        <v>389.44151999999997</v>
      </c>
      <c r="E231" s="96">
        <v>0</v>
      </c>
      <c r="F231" s="96">
        <f>D231+(IF(E231&lt;201,E231,IF(E231&lt;301,E231/2,E231/3)))</f>
        <v>389.44151999999997</v>
      </c>
      <c r="G231" s="96">
        <v>0</v>
      </c>
      <c r="H231" s="96">
        <f>(F231+(IF(G231&lt;101,G231,IF(G231&lt;201,G231/2,IF(G231&lt;=301,G231/3,G231/4)))))*(($H$129)+1)</f>
        <v>584.16228000000001</v>
      </c>
      <c r="I231" s="36"/>
      <c r="L231" s="109"/>
      <c r="M231" s="109"/>
      <c r="N231" s="36"/>
      <c r="T231" s="35"/>
    </row>
    <row r="232" spans="1:20" s="95" customFormat="1" ht="15.75" customHeight="1" x14ac:dyDescent="0.35">
      <c r="A232" s="107">
        <f>A231+1</f>
        <v>2</v>
      </c>
      <c r="B232" s="108"/>
      <c r="C232" s="100" t="s">
        <v>358</v>
      </c>
      <c r="D232" s="88">
        <f>(5.5*4.55+3.7*3.4+1.65*1.35)*(10.764)</f>
        <v>428.75702999999993</v>
      </c>
      <c r="E232" s="96">
        <v>0</v>
      </c>
      <c r="F232" s="96">
        <f t="shared" ref="F232:F235" si="49">D232+(IF(E232&lt;201,E232,IF(E232&lt;301,E232/2,E232/3)))</f>
        <v>428.75702999999993</v>
      </c>
      <c r="G232" s="96">
        <v>0</v>
      </c>
      <c r="H232" s="96">
        <f t="shared" ref="H232:H235" si="50">(F232+(IF(G232&lt;101,G232,IF(G232&lt;201,G232/2,IF(G232&lt;=301,G232/3,G232/4)))))*(($H$129)+1)</f>
        <v>643.13554499999987</v>
      </c>
      <c r="I232" s="36"/>
      <c r="L232" s="109"/>
      <c r="M232" s="109"/>
      <c r="N232" s="36"/>
      <c r="T232" s="34"/>
    </row>
    <row r="233" spans="1:20" s="95" customFormat="1" ht="15.75" customHeight="1" x14ac:dyDescent="0.35">
      <c r="A233" s="107">
        <f t="shared" ref="A233:A240" si="51">A232+1</f>
        <v>3</v>
      </c>
      <c r="B233" s="108"/>
      <c r="C233" s="96" t="s">
        <v>358</v>
      </c>
      <c r="D233" s="88">
        <f>(5.5*4.55+3.7*3.4+1.65*1.35)*(10.764)</f>
        <v>428.75702999999993</v>
      </c>
      <c r="E233" s="96">
        <v>0</v>
      </c>
      <c r="F233" s="96">
        <f t="shared" si="49"/>
        <v>428.75702999999993</v>
      </c>
      <c r="G233" s="96">
        <v>0</v>
      </c>
      <c r="H233" s="96">
        <f t="shared" si="50"/>
        <v>643.13554499999987</v>
      </c>
      <c r="I233" s="36"/>
      <c r="L233" s="109"/>
      <c r="M233" s="109"/>
      <c r="N233" s="36"/>
      <c r="T233" s="21"/>
    </row>
    <row r="234" spans="1:20" s="95" customFormat="1" ht="15.75" customHeight="1" x14ac:dyDescent="0.35">
      <c r="A234" s="107">
        <f t="shared" si="51"/>
        <v>4</v>
      </c>
      <c r="B234" s="108"/>
      <c r="C234" s="96" t="s">
        <v>358</v>
      </c>
      <c r="D234" s="88">
        <f>(5.5*4.55+3.7*3.4+1.65*1.35)*(10.764)</f>
        <v>428.75702999999993</v>
      </c>
      <c r="E234" s="96">
        <v>0</v>
      </c>
      <c r="F234" s="96">
        <f t="shared" si="49"/>
        <v>428.75702999999993</v>
      </c>
      <c r="G234" s="96">
        <v>0</v>
      </c>
      <c r="H234" s="96">
        <f t="shared" si="50"/>
        <v>643.13554499999987</v>
      </c>
      <c r="I234" s="36"/>
      <c r="L234" s="109"/>
      <c r="M234" s="109"/>
      <c r="N234" s="36"/>
      <c r="T234" s="21"/>
    </row>
    <row r="235" spans="1:20" s="95" customFormat="1" ht="15.75" customHeight="1" x14ac:dyDescent="0.35">
      <c r="A235" s="107">
        <f t="shared" si="51"/>
        <v>5</v>
      </c>
      <c r="B235" s="108"/>
      <c r="C235" s="96" t="s">
        <v>358</v>
      </c>
      <c r="D235" s="88">
        <f>(5.35*4.55+3.55*3.4+1.65*1.35)*(10.764)</f>
        <v>415.92095999999992</v>
      </c>
      <c r="E235" s="96">
        <v>0</v>
      </c>
      <c r="F235" s="96">
        <f t="shared" si="49"/>
        <v>415.92095999999992</v>
      </c>
      <c r="G235" s="96">
        <v>0</v>
      </c>
      <c r="H235" s="96">
        <f t="shared" si="50"/>
        <v>623.88143999999988</v>
      </c>
      <c r="I235" s="36"/>
      <c r="L235" s="109"/>
      <c r="M235" s="109"/>
      <c r="N235" s="36"/>
      <c r="T235" s="34"/>
    </row>
    <row r="236" spans="1:20" s="95" customFormat="1" ht="15.75" customHeight="1" x14ac:dyDescent="0.35">
      <c r="A236" s="107">
        <f t="shared" si="51"/>
        <v>6</v>
      </c>
      <c r="B236" s="108"/>
      <c r="C236" s="96"/>
      <c r="D236" s="107" t="s">
        <v>367</v>
      </c>
      <c r="E236" s="113"/>
      <c r="F236" s="113"/>
      <c r="G236" s="113"/>
      <c r="H236" s="108"/>
      <c r="I236" s="36"/>
      <c r="L236" s="109"/>
      <c r="M236" s="109"/>
      <c r="N236" s="36"/>
      <c r="T236" s="21"/>
    </row>
    <row r="237" spans="1:20" s="95" customFormat="1" ht="15.75" customHeight="1" x14ac:dyDescent="0.35">
      <c r="A237" s="107">
        <f t="shared" si="51"/>
        <v>7</v>
      </c>
      <c r="B237" s="108"/>
      <c r="C237" s="96" t="s">
        <v>358</v>
      </c>
      <c r="D237" s="100">
        <f>(5.5*5.35+3.7*1.9)*10.764</f>
        <v>392.40161999999998</v>
      </c>
      <c r="E237" s="96">
        <v>0</v>
      </c>
      <c r="F237" s="96">
        <f t="shared" ref="F237:F240" si="52">D237+(IF(E237&lt;201,E237,IF(E237&lt;301,E237/2,E237/3)))</f>
        <v>392.40161999999998</v>
      </c>
      <c r="G237" s="96">
        <v>0</v>
      </c>
      <c r="H237" s="96">
        <f t="shared" ref="H237:H240" si="53">(F237+(IF(G237&lt;101,G237,IF(G237&lt;201,G237/2,IF(G237&lt;=301,G237/3,G237/4)))))*(($H$129)+1)</f>
        <v>588.60242999999991</v>
      </c>
      <c r="I237" s="36"/>
      <c r="L237" s="109"/>
      <c r="M237" s="109"/>
      <c r="N237" s="36"/>
      <c r="T237" s="21"/>
    </row>
    <row r="238" spans="1:20" s="95" customFormat="1" ht="15.75" customHeight="1" x14ac:dyDescent="0.35">
      <c r="A238" s="107">
        <f t="shared" si="51"/>
        <v>8</v>
      </c>
      <c r="B238" s="108"/>
      <c r="C238" s="96" t="s">
        <v>358</v>
      </c>
      <c r="D238" s="100">
        <f>(5.5*5.35+3.7*1.9)*10.764</f>
        <v>392.40161999999998</v>
      </c>
      <c r="E238" s="96">
        <v>0</v>
      </c>
      <c r="F238" s="96">
        <f t="shared" si="52"/>
        <v>392.40161999999998</v>
      </c>
      <c r="G238" s="96">
        <v>0</v>
      </c>
      <c r="H238" s="96">
        <f t="shared" si="53"/>
        <v>588.60242999999991</v>
      </c>
      <c r="I238" s="36"/>
      <c r="L238" s="109"/>
      <c r="M238" s="109"/>
      <c r="N238" s="36"/>
      <c r="T238" s="34"/>
    </row>
    <row r="239" spans="1:20" s="95" customFormat="1" ht="15.75" customHeight="1" x14ac:dyDescent="0.35">
      <c r="A239" s="107">
        <f t="shared" si="51"/>
        <v>9</v>
      </c>
      <c r="B239" s="108"/>
      <c r="C239" s="96" t="s">
        <v>358</v>
      </c>
      <c r="D239" s="100">
        <f>(5.5*5.35+3.7*1.9)*10.764</f>
        <v>392.40161999999998</v>
      </c>
      <c r="E239" s="96">
        <v>0</v>
      </c>
      <c r="F239" s="96">
        <f t="shared" si="52"/>
        <v>392.40161999999998</v>
      </c>
      <c r="G239" s="96">
        <v>0</v>
      </c>
      <c r="H239" s="96">
        <f t="shared" si="53"/>
        <v>588.60242999999991</v>
      </c>
      <c r="I239" s="36"/>
      <c r="L239" s="109"/>
      <c r="M239" s="109"/>
      <c r="N239" s="36"/>
      <c r="T239" s="21"/>
    </row>
    <row r="240" spans="1:20" s="95" customFormat="1" ht="15.75" customHeight="1" x14ac:dyDescent="0.35">
      <c r="A240" s="107">
        <f t="shared" si="51"/>
        <v>10</v>
      </c>
      <c r="B240" s="108"/>
      <c r="C240" s="96" t="s">
        <v>358</v>
      </c>
      <c r="D240" s="88">
        <f>(7.8*6.5+1.65*3.25+7.55*1.9+1.5*1.35)*(10.764)</f>
        <v>779.66342999999995</v>
      </c>
      <c r="E240" s="96">
        <v>0</v>
      </c>
      <c r="F240" s="96">
        <f t="shared" si="52"/>
        <v>779.66342999999995</v>
      </c>
      <c r="G240" s="96">
        <v>0</v>
      </c>
      <c r="H240" s="96">
        <f t="shared" si="53"/>
        <v>1169.4951449999999</v>
      </c>
      <c r="I240" s="36"/>
      <c r="L240" s="109"/>
      <c r="M240" s="109"/>
      <c r="N240" s="36"/>
      <c r="T240" s="21"/>
    </row>
    <row r="241" spans="1:20" s="95" customFormat="1" x14ac:dyDescent="0.35">
      <c r="A241" s="114" t="s">
        <v>377</v>
      </c>
      <c r="B241" s="115"/>
      <c r="C241" s="115"/>
      <c r="D241" s="115"/>
      <c r="E241" s="115"/>
      <c r="F241" s="115"/>
      <c r="G241" s="115"/>
      <c r="H241" s="116"/>
      <c r="I241" s="95">
        <v>1</v>
      </c>
      <c r="J241" s="36"/>
      <c r="T241" s="35"/>
    </row>
    <row r="242" spans="1:20" s="95" customFormat="1" ht="15.75" customHeight="1" x14ac:dyDescent="0.35">
      <c r="A242" s="107">
        <v>1</v>
      </c>
      <c r="B242" s="108"/>
      <c r="C242" s="96" t="s">
        <v>356</v>
      </c>
      <c r="D242" s="88">
        <f>(2.55*6.85+1.8*3.45+1.65*1.35)*(10.764)</f>
        <v>278.84141999999997</v>
      </c>
      <c r="E242" s="96">
        <v>0</v>
      </c>
      <c r="F242" s="96">
        <f>D242+(IF(E242&lt;201,E242,IF(E242&lt;301,E242/2,E242/3)))</f>
        <v>278.84141999999997</v>
      </c>
      <c r="G242" s="88">
        <f>(6.85*1.5)*(10.764)</f>
        <v>110.60009999999998</v>
      </c>
      <c r="H242" s="96">
        <f>(F242+(IF(G242&lt;101,G242,IF(G242&lt;201,G242/2,IF(G242&lt;=301,G242/3,G242/4)))))*(($H$129)+1)</f>
        <v>501.21220499999993</v>
      </c>
      <c r="I242" s="36"/>
      <c r="L242" s="109"/>
      <c r="M242" s="109"/>
      <c r="N242" s="36"/>
      <c r="T242" s="35"/>
    </row>
    <row r="243" spans="1:20" s="95" customFormat="1" ht="15.75" customHeight="1" x14ac:dyDescent="0.35">
      <c r="A243" s="107">
        <f>A242+1</f>
        <v>2</v>
      </c>
      <c r="B243" s="108"/>
      <c r="C243" s="96" t="s">
        <v>356</v>
      </c>
      <c r="D243" s="88">
        <f>(5.5*3.05+3.7*3.4+1.65*1.35)*(10.764)</f>
        <v>339.95402999999993</v>
      </c>
      <c r="E243" s="96">
        <v>0</v>
      </c>
      <c r="F243" s="96">
        <f t="shared" ref="F243:F246" si="54">D243+(IF(E243&lt;201,E243,IF(E243&lt;301,E243/2,E243/3)))</f>
        <v>339.95402999999993</v>
      </c>
      <c r="G243" s="88">
        <f>(5.5*1.5)*(10.764)</f>
        <v>88.802999999999997</v>
      </c>
      <c r="H243" s="96">
        <f t="shared" ref="H243:H246" si="55">(F243+(IF(G243&lt;101,G243,IF(G243&lt;201,G243/2,IF(G243&lt;=301,G243/3,G243/4)))))*(($H$129)+1)</f>
        <v>643.13554499999987</v>
      </c>
      <c r="I243" s="36"/>
      <c r="L243" s="109"/>
      <c r="M243" s="109"/>
      <c r="N243" s="36"/>
      <c r="T243" s="34"/>
    </row>
    <row r="244" spans="1:20" s="95" customFormat="1" ht="15.75" customHeight="1" x14ac:dyDescent="0.35">
      <c r="A244" s="107">
        <f t="shared" ref="A244:A251" si="56">A243+1</f>
        <v>3</v>
      </c>
      <c r="B244" s="108"/>
      <c r="C244" s="96" t="s">
        <v>356</v>
      </c>
      <c r="D244" s="88">
        <f>(5.5*3.05+3.7*3.4+1.65*1.35)*(10.764)</f>
        <v>339.95402999999993</v>
      </c>
      <c r="E244" s="96">
        <v>0</v>
      </c>
      <c r="F244" s="96">
        <f t="shared" si="54"/>
        <v>339.95402999999993</v>
      </c>
      <c r="G244" s="88">
        <f>(5.5*1.5)*(10.764)</f>
        <v>88.802999999999997</v>
      </c>
      <c r="H244" s="96">
        <f t="shared" si="55"/>
        <v>643.13554499999987</v>
      </c>
      <c r="I244" s="36"/>
      <c r="L244" s="109"/>
      <c r="M244" s="109"/>
      <c r="N244" s="36"/>
      <c r="T244" s="21"/>
    </row>
    <row r="245" spans="1:20" s="95" customFormat="1" ht="15.75" customHeight="1" x14ac:dyDescent="0.35">
      <c r="A245" s="107">
        <f t="shared" si="56"/>
        <v>4</v>
      </c>
      <c r="B245" s="108"/>
      <c r="C245" s="96" t="s">
        <v>356</v>
      </c>
      <c r="D245" s="88">
        <f>(5.5*3.05+3.7*3.4+1.65*1.35)*(10.764)</f>
        <v>339.95402999999993</v>
      </c>
      <c r="E245" s="96">
        <v>0</v>
      </c>
      <c r="F245" s="96">
        <f t="shared" si="54"/>
        <v>339.95402999999993</v>
      </c>
      <c r="G245" s="88">
        <f>(5.5*1.5)*(10.764)</f>
        <v>88.802999999999997</v>
      </c>
      <c r="H245" s="96">
        <f t="shared" si="55"/>
        <v>643.13554499999987</v>
      </c>
      <c r="I245" s="36"/>
      <c r="L245" s="109"/>
      <c r="M245" s="109"/>
      <c r="N245" s="36"/>
      <c r="T245" s="21"/>
    </row>
    <row r="246" spans="1:20" s="95" customFormat="1" ht="15.75" customHeight="1" x14ac:dyDescent="0.35">
      <c r="A246" s="107">
        <f t="shared" si="56"/>
        <v>5</v>
      </c>
      <c r="B246" s="108"/>
      <c r="C246" s="96" t="s">
        <v>356</v>
      </c>
      <c r="D246" s="88">
        <f>(5.35*3.05+3.58*3.4+1.65*1.35)*(10.764)</f>
        <v>330.63778799999994</v>
      </c>
      <c r="E246" s="96">
        <v>0</v>
      </c>
      <c r="F246" s="96">
        <f t="shared" si="54"/>
        <v>330.63778799999994</v>
      </c>
      <c r="G246" s="88">
        <f>(5.35*1.5)*(10.764)</f>
        <v>86.381099999999975</v>
      </c>
      <c r="H246" s="96">
        <f t="shared" si="55"/>
        <v>625.52833199999986</v>
      </c>
      <c r="I246" s="36"/>
      <c r="L246" s="109"/>
      <c r="M246" s="109"/>
      <c r="N246" s="36"/>
      <c r="T246" s="34"/>
    </row>
    <row r="247" spans="1:20" s="95" customFormat="1" ht="15.75" customHeight="1" x14ac:dyDescent="0.35">
      <c r="A247" s="107">
        <f t="shared" si="56"/>
        <v>6</v>
      </c>
      <c r="B247" s="108"/>
      <c r="C247" s="96"/>
      <c r="D247" s="107" t="s">
        <v>367</v>
      </c>
      <c r="E247" s="113"/>
      <c r="F247" s="113"/>
      <c r="G247" s="113"/>
      <c r="H247" s="108"/>
      <c r="I247" s="36"/>
      <c r="L247" s="109"/>
      <c r="M247" s="109"/>
      <c r="N247" s="36"/>
      <c r="T247" s="21"/>
    </row>
    <row r="248" spans="1:20" s="95" customFormat="1" ht="15.75" customHeight="1" x14ac:dyDescent="0.35">
      <c r="A248" s="107">
        <f t="shared" si="56"/>
        <v>7</v>
      </c>
      <c r="B248" s="108"/>
      <c r="C248" s="96" t="s">
        <v>356</v>
      </c>
      <c r="D248" s="100">
        <f>(5.5*5.35+3.7*1.9)*10.764</f>
        <v>392.40161999999998</v>
      </c>
      <c r="E248" s="96">
        <v>0</v>
      </c>
      <c r="F248" s="96">
        <f t="shared" ref="F248:F251" si="57">D248+(IF(E248&lt;201,E248,IF(E248&lt;301,E248/2,E248/3)))</f>
        <v>392.40161999999998</v>
      </c>
      <c r="G248" s="88">
        <f>(5.35*1.5)*(10.764)</f>
        <v>86.381099999999975</v>
      </c>
      <c r="H248" s="96">
        <f t="shared" ref="H248:H251" si="58">(F248+(IF(G248&lt;101,G248,IF(G248&lt;201,G248/2,IF(G248&lt;=301,G248/3,G248/4)))))*(($H$129)+1)</f>
        <v>718.17407999999989</v>
      </c>
      <c r="I248" s="36"/>
      <c r="L248" s="109"/>
      <c r="M248" s="109"/>
      <c r="N248" s="36"/>
      <c r="T248" s="21"/>
    </row>
    <row r="249" spans="1:20" s="95" customFormat="1" ht="15.75" customHeight="1" x14ac:dyDescent="0.35">
      <c r="A249" s="107">
        <f t="shared" si="56"/>
        <v>8</v>
      </c>
      <c r="B249" s="108"/>
      <c r="C249" s="96" t="s">
        <v>356</v>
      </c>
      <c r="D249" s="100">
        <f>(5.5*5.35+3.7*1.9)*10.764</f>
        <v>392.40161999999998</v>
      </c>
      <c r="E249" s="96">
        <v>0</v>
      </c>
      <c r="F249" s="96">
        <f t="shared" si="57"/>
        <v>392.40161999999998</v>
      </c>
      <c r="G249" s="88">
        <f>(5.35*1.5)*(10.764)</f>
        <v>86.381099999999975</v>
      </c>
      <c r="H249" s="96">
        <f t="shared" si="58"/>
        <v>718.17407999999989</v>
      </c>
      <c r="I249" s="36"/>
      <c r="L249" s="109"/>
      <c r="M249" s="109"/>
      <c r="N249" s="36"/>
      <c r="T249" s="34"/>
    </row>
    <row r="250" spans="1:20" s="95" customFormat="1" ht="15.75" customHeight="1" x14ac:dyDescent="0.35">
      <c r="A250" s="107">
        <f t="shared" si="56"/>
        <v>9</v>
      </c>
      <c r="B250" s="108"/>
      <c r="C250" s="96" t="s">
        <v>356</v>
      </c>
      <c r="D250" s="100">
        <f>(5.5*5.35+3.7*1.9)*10.764</f>
        <v>392.40161999999998</v>
      </c>
      <c r="E250" s="96">
        <v>0</v>
      </c>
      <c r="F250" s="96">
        <f t="shared" si="57"/>
        <v>392.40161999999998</v>
      </c>
      <c r="G250" s="88">
        <f>(5.35*1.5)*(10.764)</f>
        <v>86.381099999999975</v>
      </c>
      <c r="H250" s="96">
        <f t="shared" si="58"/>
        <v>718.17407999999989</v>
      </c>
      <c r="I250" s="36"/>
      <c r="L250" s="109"/>
      <c r="M250" s="109"/>
      <c r="N250" s="36"/>
      <c r="T250" s="21"/>
    </row>
    <row r="251" spans="1:20" s="95" customFormat="1" ht="15.75" customHeight="1" x14ac:dyDescent="0.35">
      <c r="A251" s="107">
        <f t="shared" si="56"/>
        <v>10</v>
      </c>
      <c r="B251" s="108"/>
      <c r="C251" s="96" t="s">
        <v>356</v>
      </c>
      <c r="D251" s="88">
        <f>(7.8*6.5+1.65*3.25+7.55*1.9+1.5*1.35)*(10.764)</f>
        <v>779.66342999999995</v>
      </c>
      <c r="E251" s="96">
        <v>0</v>
      </c>
      <c r="F251" s="96">
        <f t="shared" si="57"/>
        <v>779.66342999999995</v>
      </c>
      <c r="G251" s="96">
        <v>0</v>
      </c>
      <c r="H251" s="96">
        <f t="shared" si="58"/>
        <v>1169.4951449999999</v>
      </c>
      <c r="I251" s="36"/>
      <c r="L251" s="109"/>
      <c r="M251" s="109"/>
      <c r="N251" s="36"/>
      <c r="T251" s="21"/>
    </row>
    <row r="252" spans="1:20" s="95" customFormat="1" x14ac:dyDescent="0.35">
      <c r="A252" s="114" t="s">
        <v>378</v>
      </c>
      <c r="B252" s="115"/>
      <c r="C252" s="115"/>
      <c r="D252" s="115"/>
      <c r="E252" s="115"/>
      <c r="F252" s="115"/>
      <c r="G252" s="115"/>
      <c r="H252" s="116"/>
      <c r="I252" s="95">
        <v>1</v>
      </c>
      <c r="J252" s="36"/>
      <c r="T252" s="35"/>
    </row>
    <row r="253" spans="1:20" s="95" customFormat="1" ht="15.75" customHeight="1" x14ac:dyDescent="0.35">
      <c r="A253" s="107">
        <v>1</v>
      </c>
      <c r="B253" s="108"/>
      <c r="C253" s="96" t="s">
        <v>358</v>
      </c>
      <c r="D253" s="88">
        <f>(2.55*6.85+1.8*3.45+1.65*1.35)*(10.764)</f>
        <v>278.84141999999997</v>
      </c>
      <c r="E253" s="96">
        <v>0</v>
      </c>
      <c r="F253" s="96">
        <f>D253+(IF(E253&lt;201,E253,IF(E253&lt;301,E253/2,E253/3)))</f>
        <v>278.84141999999997</v>
      </c>
      <c r="G253" s="96">
        <v>0</v>
      </c>
      <c r="H253" s="96">
        <f>(F253+(IF(G253&lt;101,G253,IF(G253&lt;201,G253/2,IF(G253&lt;=301,G253/3,G253/4)))))*(($H$129)+1)</f>
        <v>418.26212999999996</v>
      </c>
      <c r="I253" s="36"/>
      <c r="L253" s="109"/>
      <c r="M253" s="109"/>
      <c r="N253" s="36"/>
      <c r="T253" s="35"/>
    </row>
    <row r="254" spans="1:20" s="95" customFormat="1" ht="15.75" customHeight="1" x14ac:dyDescent="0.35">
      <c r="A254" s="107">
        <f>A253+1</f>
        <v>2</v>
      </c>
      <c r="B254" s="108"/>
      <c r="C254" s="96" t="s">
        <v>358</v>
      </c>
      <c r="D254" s="88">
        <f>(5.5*3.05+3.7*3.4+1.65*1.35)*(10.764)</f>
        <v>339.95402999999993</v>
      </c>
      <c r="E254" s="96">
        <v>0</v>
      </c>
      <c r="F254" s="96">
        <f t="shared" ref="F254:F257" si="59">D254+(IF(E254&lt;201,E254,IF(E254&lt;301,E254/2,E254/3)))</f>
        <v>339.95402999999993</v>
      </c>
      <c r="G254" s="96">
        <v>0</v>
      </c>
      <c r="H254" s="96">
        <f t="shared" ref="H254:H257" si="60">(F254+(IF(G254&lt;101,G254,IF(G254&lt;201,G254/2,IF(G254&lt;=301,G254/3,G254/4)))))*(($H$129)+1)</f>
        <v>509.93104499999993</v>
      </c>
      <c r="I254" s="36"/>
      <c r="L254" s="109"/>
      <c r="M254" s="109"/>
      <c r="N254" s="36"/>
      <c r="T254" s="34"/>
    </row>
    <row r="255" spans="1:20" s="95" customFormat="1" ht="15.75" customHeight="1" x14ac:dyDescent="0.35">
      <c r="A255" s="107">
        <f t="shared" ref="A255:A262" si="61">A254+1</f>
        <v>3</v>
      </c>
      <c r="B255" s="108"/>
      <c r="C255" s="96" t="s">
        <v>358</v>
      </c>
      <c r="D255" s="88">
        <f>(5.5*3.05+3.7*3.4+1.65*1.35)*(10.764)</f>
        <v>339.95402999999993</v>
      </c>
      <c r="E255" s="96">
        <v>0</v>
      </c>
      <c r="F255" s="96">
        <f t="shared" si="59"/>
        <v>339.95402999999993</v>
      </c>
      <c r="G255" s="96">
        <v>0</v>
      </c>
      <c r="H255" s="96">
        <f t="shared" si="60"/>
        <v>509.93104499999993</v>
      </c>
      <c r="I255" s="36"/>
      <c r="L255" s="109"/>
      <c r="M255" s="109"/>
      <c r="N255" s="36"/>
      <c r="T255" s="21"/>
    </row>
    <row r="256" spans="1:20" s="95" customFormat="1" ht="15.75" customHeight="1" x14ac:dyDescent="0.35">
      <c r="A256" s="107">
        <f t="shared" si="61"/>
        <v>4</v>
      </c>
      <c r="B256" s="108"/>
      <c r="C256" s="96" t="s">
        <v>358</v>
      </c>
      <c r="D256" s="88">
        <f>(5.5*3.05+3.7*3.4+1.65*1.35)*(10.764)</f>
        <v>339.95402999999993</v>
      </c>
      <c r="E256" s="96">
        <v>0</v>
      </c>
      <c r="F256" s="96">
        <f t="shared" si="59"/>
        <v>339.95402999999993</v>
      </c>
      <c r="G256" s="96">
        <v>0</v>
      </c>
      <c r="H256" s="96">
        <f t="shared" si="60"/>
        <v>509.93104499999993</v>
      </c>
      <c r="I256" s="36"/>
      <c r="L256" s="109"/>
      <c r="M256" s="109"/>
      <c r="N256" s="36"/>
      <c r="T256" s="21"/>
    </row>
    <row r="257" spans="1:20" s="95" customFormat="1" ht="15.75" customHeight="1" x14ac:dyDescent="0.35">
      <c r="A257" s="107">
        <f t="shared" si="61"/>
        <v>5</v>
      </c>
      <c r="B257" s="108"/>
      <c r="C257" s="96" t="s">
        <v>358</v>
      </c>
      <c r="D257" s="88">
        <f>(5.35*3.05+3.58*3.4+1.65*1.35)*(10.764)</f>
        <v>330.63778799999994</v>
      </c>
      <c r="E257" s="96">
        <v>0</v>
      </c>
      <c r="F257" s="96">
        <f t="shared" si="59"/>
        <v>330.63778799999994</v>
      </c>
      <c r="G257" s="96">
        <v>0</v>
      </c>
      <c r="H257" s="96">
        <f t="shared" si="60"/>
        <v>495.95668199999989</v>
      </c>
      <c r="I257" s="36"/>
      <c r="L257" s="109"/>
      <c r="M257" s="109"/>
      <c r="N257" s="36"/>
      <c r="T257" s="34"/>
    </row>
    <row r="258" spans="1:20" s="95" customFormat="1" ht="15.75" customHeight="1" x14ac:dyDescent="0.35">
      <c r="A258" s="107">
        <f t="shared" si="61"/>
        <v>6</v>
      </c>
      <c r="B258" s="108"/>
      <c r="C258" s="96"/>
      <c r="D258" s="107" t="s">
        <v>367</v>
      </c>
      <c r="E258" s="113"/>
      <c r="F258" s="113"/>
      <c r="G258" s="113"/>
      <c r="H258" s="108"/>
      <c r="I258" s="36"/>
      <c r="L258" s="109"/>
      <c r="M258" s="109"/>
      <c r="N258" s="36"/>
      <c r="T258" s="21"/>
    </row>
    <row r="259" spans="1:20" s="95" customFormat="1" ht="15.75" customHeight="1" x14ac:dyDescent="0.35">
      <c r="A259" s="107">
        <f t="shared" si="61"/>
        <v>7</v>
      </c>
      <c r="B259" s="108"/>
      <c r="C259" s="96" t="s">
        <v>358</v>
      </c>
      <c r="D259" s="100">
        <f>(5.5*5.35+3.7*1.9)*10.764</f>
        <v>392.40161999999998</v>
      </c>
      <c r="E259" s="96">
        <v>0</v>
      </c>
      <c r="F259" s="96">
        <f t="shared" ref="F259:F262" si="62">D259+(IF(E259&lt;201,E259,IF(E259&lt;301,E259/2,E259/3)))</f>
        <v>392.40161999999998</v>
      </c>
      <c r="G259" s="96">
        <v>0</v>
      </c>
      <c r="H259" s="96">
        <f>(F259+(IF(G259&lt;101,G259,IF(G259&lt;201,G259/2,IF(G259&lt;=301,G259/3,G259/4)))))*(($H$129)+1)</f>
        <v>588.60242999999991</v>
      </c>
      <c r="I259" s="36"/>
      <c r="L259" s="109"/>
      <c r="M259" s="109"/>
      <c r="N259" s="36"/>
      <c r="T259" s="21"/>
    </row>
    <row r="260" spans="1:20" s="95" customFormat="1" ht="15.75" customHeight="1" x14ac:dyDescent="0.35">
      <c r="A260" s="107">
        <f t="shared" si="61"/>
        <v>8</v>
      </c>
      <c r="B260" s="108"/>
      <c r="C260" s="107" t="s">
        <v>360</v>
      </c>
      <c r="D260" s="113"/>
      <c r="E260" s="113"/>
      <c r="F260" s="113"/>
      <c r="G260" s="113"/>
      <c r="H260" s="108"/>
      <c r="I260" s="36"/>
      <c r="L260" s="109"/>
      <c r="M260" s="109"/>
      <c r="N260" s="36"/>
      <c r="T260" s="34"/>
    </row>
    <row r="261" spans="1:20" s="95" customFormat="1" ht="15.75" customHeight="1" x14ac:dyDescent="0.35">
      <c r="A261" s="107">
        <f t="shared" si="61"/>
        <v>9</v>
      </c>
      <c r="B261" s="108"/>
      <c r="C261" s="96" t="s">
        <v>358</v>
      </c>
      <c r="D261" s="100">
        <f>(5.5*5.35+3.7*1.9)*10.764</f>
        <v>392.40161999999998</v>
      </c>
      <c r="E261" s="96">
        <v>0</v>
      </c>
      <c r="F261" s="96">
        <f t="shared" si="62"/>
        <v>392.40161999999998</v>
      </c>
      <c r="G261" s="96">
        <v>0</v>
      </c>
      <c r="H261" s="96">
        <f>(F261+(IF(G261&lt;101,G261,IF(G261&lt;201,G261/2,IF(G261&lt;=301,G261/3,G261/4)))))*(($H$129)+1)</f>
        <v>588.60242999999991</v>
      </c>
      <c r="I261" s="36"/>
      <c r="L261" s="109"/>
      <c r="M261" s="109"/>
      <c r="N261" s="36"/>
      <c r="T261" s="21"/>
    </row>
    <row r="262" spans="1:20" s="95" customFormat="1" ht="15.75" customHeight="1" x14ac:dyDescent="0.35">
      <c r="A262" s="107">
        <f t="shared" si="61"/>
        <v>10</v>
      </c>
      <c r="B262" s="108"/>
      <c r="C262" s="96" t="s">
        <v>358</v>
      </c>
      <c r="D262" s="88">
        <f>(7.8*6.5+1.65*3.25+7.55*1.9+1.5*1.35)*(10.764)</f>
        <v>779.66342999999995</v>
      </c>
      <c r="E262" s="96">
        <v>0</v>
      </c>
      <c r="F262" s="96">
        <f t="shared" si="62"/>
        <v>779.66342999999995</v>
      </c>
      <c r="G262" s="96">
        <v>0</v>
      </c>
      <c r="H262" s="96">
        <f>(F262+(IF(G262&lt;101,G262,IF(G262&lt;201,G262/2,IF(G262&lt;=301,G262/3,G262/4)))))*(($H$129)+1)</f>
        <v>1169.4951449999999</v>
      </c>
      <c r="I262" s="36"/>
      <c r="L262" s="109"/>
      <c r="M262" s="109"/>
      <c r="N262" s="36"/>
      <c r="T262" s="21"/>
    </row>
    <row r="263" spans="1:20" s="95" customFormat="1" x14ac:dyDescent="0.35">
      <c r="A263" s="114" t="s">
        <v>379</v>
      </c>
      <c r="B263" s="115"/>
      <c r="C263" s="115"/>
      <c r="D263" s="115"/>
      <c r="E263" s="115"/>
      <c r="F263" s="115"/>
      <c r="G263" s="115"/>
      <c r="H263" s="116"/>
      <c r="I263" s="95">
        <v>2</v>
      </c>
      <c r="J263" s="36"/>
      <c r="T263" s="35"/>
    </row>
    <row r="264" spans="1:20" s="95" customFormat="1" ht="15.75" customHeight="1" x14ac:dyDescent="0.35">
      <c r="A264" s="107">
        <v>1</v>
      </c>
      <c r="B264" s="108"/>
      <c r="C264" s="100" t="s">
        <v>358</v>
      </c>
      <c r="D264" s="88">
        <f>(2.55*6.85+1.8*3.45+1.65*1.35)*(10.764)</f>
        <v>278.84141999999997</v>
      </c>
      <c r="E264" s="96">
        <v>0</v>
      </c>
      <c r="F264" s="96">
        <f>D264+(IF(E264&lt;201,E264,IF(E264&lt;301,E264/2,E264/3)))</f>
        <v>278.84141999999997</v>
      </c>
      <c r="G264" s="96">
        <v>0</v>
      </c>
      <c r="H264" s="96">
        <f>(F264+(IF(G264&lt;101,G264,IF(G264&lt;201,G264/2,IF(G264&lt;=301,G264/3,G264/4)))))*(($H$129)+1)</f>
        <v>418.26212999999996</v>
      </c>
      <c r="I264" s="36"/>
      <c r="L264" s="109"/>
      <c r="M264" s="109"/>
      <c r="N264" s="36"/>
      <c r="T264" s="35"/>
    </row>
    <row r="265" spans="1:20" s="95" customFormat="1" ht="15.75" customHeight="1" x14ac:dyDescent="0.35">
      <c r="A265" s="107">
        <f>A264+1</f>
        <v>2</v>
      </c>
      <c r="B265" s="108"/>
      <c r="C265" s="100" t="s">
        <v>358</v>
      </c>
      <c r="D265" s="88">
        <f>(5.5*3.05+3.7*3.4+1.65*1.35)*(10.764)</f>
        <v>339.95402999999993</v>
      </c>
      <c r="E265" s="96">
        <v>0</v>
      </c>
      <c r="F265" s="96">
        <f t="shared" ref="F265:F268" si="63">D265+(IF(E265&lt;201,E265,IF(E265&lt;301,E265/2,E265/3)))</f>
        <v>339.95402999999993</v>
      </c>
      <c r="G265" s="96">
        <v>0</v>
      </c>
      <c r="H265" s="96">
        <f t="shared" ref="H265:H268" si="64">(F265+(IF(G265&lt;101,G265,IF(G265&lt;201,G265/2,IF(G265&lt;=301,G265/3,G265/4)))))*(($H$129)+1)</f>
        <v>509.93104499999993</v>
      </c>
      <c r="I265" s="36"/>
      <c r="L265" s="109"/>
      <c r="M265" s="109"/>
      <c r="N265" s="36"/>
      <c r="T265" s="34"/>
    </row>
    <row r="266" spans="1:20" s="95" customFormat="1" ht="15.75" customHeight="1" x14ac:dyDescent="0.35">
      <c r="A266" s="107">
        <f t="shared" ref="A266:A273" si="65">A265+1</f>
        <v>3</v>
      </c>
      <c r="B266" s="108"/>
      <c r="C266" s="100" t="s">
        <v>358</v>
      </c>
      <c r="D266" s="88">
        <f>(5.5*3.05+3.7*3.4+1.65*1.35)*(10.764)</f>
        <v>339.95402999999993</v>
      </c>
      <c r="E266" s="96">
        <v>0</v>
      </c>
      <c r="F266" s="96">
        <f t="shared" si="63"/>
        <v>339.95402999999993</v>
      </c>
      <c r="G266" s="96">
        <v>0</v>
      </c>
      <c r="H266" s="96">
        <f t="shared" si="64"/>
        <v>509.93104499999993</v>
      </c>
      <c r="I266" s="36"/>
      <c r="L266" s="109"/>
      <c r="M266" s="109"/>
      <c r="N266" s="36"/>
      <c r="T266" s="21"/>
    </row>
    <row r="267" spans="1:20" s="95" customFormat="1" ht="15.75" customHeight="1" x14ac:dyDescent="0.35">
      <c r="A267" s="107">
        <f t="shared" si="65"/>
        <v>4</v>
      </c>
      <c r="B267" s="108"/>
      <c r="C267" s="100" t="s">
        <v>358</v>
      </c>
      <c r="D267" s="88">
        <f>(5.5*3.05+3.7*3.4+1.65*1.35)*(10.764)</f>
        <v>339.95402999999993</v>
      </c>
      <c r="E267" s="96">
        <v>0</v>
      </c>
      <c r="F267" s="96">
        <f t="shared" si="63"/>
        <v>339.95402999999993</v>
      </c>
      <c r="G267" s="96">
        <v>0</v>
      </c>
      <c r="H267" s="96">
        <f t="shared" si="64"/>
        <v>509.93104499999993</v>
      </c>
      <c r="I267" s="36"/>
      <c r="L267" s="109"/>
      <c r="M267" s="109"/>
      <c r="N267" s="36"/>
      <c r="T267" s="21"/>
    </row>
    <row r="268" spans="1:20" s="95" customFormat="1" ht="15.75" customHeight="1" x14ac:dyDescent="0.35">
      <c r="A268" s="107">
        <f t="shared" si="65"/>
        <v>5</v>
      </c>
      <c r="B268" s="108"/>
      <c r="C268" s="100" t="s">
        <v>358</v>
      </c>
      <c r="D268" s="88">
        <f>(5.35*3.05+3.58*3.4+1.65*1.35)*(10.764)</f>
        <v>330.63778799999994</v>
      </c>
      <c r="E268" s="96">
        <v>0</v>
      </c>
      <c r="F268" s="96">
        <f t="shared" si="63"/>
        <v>330.63778799999994</v>
      </c>
      <c r="G268" s="96">
        <v>0</v>
      </c>
      <c r="H268" s="96">
        <f t="shared" si="64"/>
        <v>495.95668199999989</v>
      </c>
      <c r="I268" s="36"/>
      <c r="L268" s="109"/>
      <c r="M268" s="109"/>
      <c r="N268" s="36"/>
      <c r="T268" s="34"/>
    </row>
    <row r="269" spans="1:20" s="95" customFormat="1" ht="15.75" customHeight="1" x14ac:dyDescent="0.35">
      <c r="A269" s="107">
        <f t="shared" si="65"/>
        <v>6</v>
      </c>
      <c r="B269" s="108"/>
      <c r="C269" s="96"/>
      <c r="D269" s="107" t="s">
        <v>367</v>
      </c>
      <c r="E269" s="113"/>
      <c r="F269" s="113"/>
      <c r="G269" s="113"/>
      <c r="H269" s="108"/>
      <c r="I269" s="36"/>
      <c r="L269" s="109"/>
      <c r="M269" s="109"/>
      <c r="N269" s="36"/>
      <c r="T269" s="21"/>
    </row>
    <row r="270" spans="1:20" s="95" customFormat="1" ht="15.75" customHeight="1" x14ac:dyDescent="0.35">
      <c r="A270" s="107">
        <f t="shared" si="65"/>
        <v>7</v>
      </c>
      <c r="B270" s="108"/>
      <c r="C270" s="96" t="s">
        <v>358</v>
      </c>
      <c r="D270" s="100">
        <f>(5.5*5.35+3.7*1.9)*10.764</f>
        <v>392.40161999999998</v>
      </c>
      <c r="E270" s="96">
        <v>0</v>
      </c>
      <c r="F270" s="96">
        <f t="shared" ref="F270:F273" si="66">D270+(IF(E270&lt;201,E270,IF(E270&lt;301,E270/2,E270/3)))</f>
        <v>392.40161999999998</v>
      </c>
      <c r="G270" s="96">
        <v>0</v>
      </c>
      <c r="H270" s="96">
        <f t="shared" ref="H270:H273" si="67">(F270+(IF(G270&lt;101,G270,IF(G270&lt;201,G270/2,IF(G270&lt;=301,G270/3,G270/4)))))*(($H$129)+1)</f>
        <v>588.60242999999991</v>
      </c>
      <c r="I270" s="36"/>
      <c r="L270" s="109"/>
      <c r="M270" s="109"/>
      <c r="N270" s="36"/>
      <c r="T270" s="21"/>
    </row>
    <row r="271" spans="1:20" s="95" customFormat="1" ht="15.75" customHeight="1" x14ac:dyDescent="0.35">
      <c r="A271" s="107">
        <f t="shared" si="65"/>
        <v>8</v>
      </c>
      <c r="B271" s="108"/>
      <c r="C271" s="96" t="s">
        <v>358</v>
      </c>
      <c r="D271" s="100">
        <f>(5.5*5.35+3.7*1.9)*10.764</f>
        <v>392.40161999999998</v>
      </c>
      <c r="E271" s="96">
        <v>0</v>
      </c>
      <c r="F271" s="96">
        <f t="shared" si="66"/>
        <v>392.40161999999998</v>
      </c>
      <c r="G271" s="96">
        <v>0</v>
      </c>
      <c r="H271" s="96">
        <f t="shared" si="67"/>
        <v>588.60242999999991</v>
      </c>
      <c r="I271" s="36"/>
      <c r="L271" s="109"/>
      <c r="M271" s="109"/>
      <c r="N271" s="36"/>
      <c r="T271" s="34"/>
    </row>
    <row r="272" spans="1:20" s="95" customFormat="1" ht="15.75" customHeight="1" x14ac:dyDescent="0.35">
      <c r="A272" s="107">
        <f t="shared" si="65"/>
        <v>9</v>
      </c>
      <c r="B272" s="108"/>
      <c r="C272" s="96" t="s">
        <v>358</v>
      </c>
      <c r="D272" s="100">
        <f>(5.5*5.35+3.7*1.9)*10.764</f>
        <v>392.40161999999998</v>
      </c>
      <c r="E272" s="96">
        <v>0</v>
      </c>
      <c r="F272" s="96">
        <f t="shared" si="66"/>
        <v>392.40161999999998</v>
      </c>
      <c r="G272" s="96">
        <v>0</v>
      </c>
      <c r="H272" s="96">
        <f t="shared" si="67"/>
        <v>588.60242999999991</v>
      </c>
      <c r="I272" s="36"/>
      <c r="L272" s="109"/>
      <c r="M272" s="109"/>
      <c r="N272" s="36"/>
      <c r="T272" s="21"/>
    </row>
    <row r="273" spans="1:20" s="95" customFormat="1" ht="15.75" customHeight="1" x14ac:dyDescent="0.35">
      <c r="A273" s="107">
        <f t="shared" si="65"/>
        <v>10</v>
      </c>
      <c r="B273" s="108"/>
      <c r="C273" s="96" t="s">
        <v>358</v>
      </c>
      <c r="D273" s="88">
        <f>(7.8*6.5+1.65*3.25+7.55*1.9+1.5*1.35)*(10.764)</f>
        <v>779.66342999999995</v>
      </c>
      <c r="E273" s="96">
        <v>0</v>
      </c>
      <c r="F273" s="96">
        <f t="shared" si="66"/>
        <v>779.66342999999995</v>
      </c>
      <c r="G273" s="96">
        <v>0</v>
      </c>
      <c r="H273" s="96">
        <f t="shared" si="67"/>
        <v>1169.4951449999999</v>
      </c>
      <c r="I273" s="36"/>
      <c r="L273" s="109"/>
      <c r="M273" s="109"/>
      <c r="N273" s="36"/>
      <c r="T273" s="21"/>
    </row>
    <row r="274" spans="1:20" s="95" customFormat="1" x14ac:dyDescent="0.35">
      <c r="A274" s="114" t="s">
        <v>380</v>
      </c>
      <c r="B274" s="115"/>
      <c r="C274" s="115"/>
      <c r="D274" s="115"/>
      <c r="E274" s="115"/>
      <c r="F274" s="115"/>
      <c r="G274" s="115"/>
      <c r="H274" s="116"/>
      <c r="I274" s="95">
        <v>1</v>
      </c>
      <c r="J274" s="36"/>
      <c r="T274" s="35"/>
    </row>
    <row r="275" spans="1:20" s="95" customFormat="1" ht="15.75" customHeight="1" x14ac:dyDescent="0.35">
      <c r="A275" s="107">
        <v>1</v>
      </c>
      <c r="B275" s="108"/>
      <c r="C275" s="96" t="s">
        <v>358</v>
      </c>
      <c r="D275" s="88">
        <f>(2.55*6.85+1.8*3.45+1.65*1.35)*(10.764)</f>
        <v>278.84141999999997</v>
      </c>
      <c r="E275" s="96">
        <v>0</v>
      </c>
      <c r="F275" s="96">
        <f>D275+(IF(E275&lt;201,E275,IF(E275&lt;301,E275/2,E275/3)))</f>
        <v>278.84141999999997</v>
      </c>
      <c r="G275" s="96">
        <v>0</v>
      </c>
      <c r="H275" s="96">
        <f>(F275+(IF(G275&lt;101,G275,IF(G275&lt;201,G275/2,IF(G275&lt;=301,G275/3,G275/4)))))*(($H$129)+1)</f>
        <v>418.26212999999996</v>
      </c>
      <c r="I275" s="36"/>
      <c r="L275" s="109"/>
      <c r="M275" s="109"/>
      <c r="N275" s="36"/>
      <c r="T275" s="35"/>
    </row>
    <row r="276" spans="1:20" s="95" customFormat="1" ht="35.25" customHeight="1" x14ac:dyDescent="0.35">
      <c r="A276" s="107">
        <f>A275+1</f>
        <v>2</v>
      </c>
      <c r="B276" s="108"/>
      <c r="C276" s="96" t="s">
        <v>381</v>
      </c>
      <c r="D276" s="88">
        <f>(5.5*3.05+3.7*3.4+1.65*1.35)*(10.764)</f>
        <v>339.95402999999993</v>
      </c>
      <c r="E276" s="96">
        <v>0</v>
      </c>
      <c r="F276" s="96">
        <f t="shared" ref="F276:F279" si="68">D276+(IF(E276&lt;201,E276,IF(E276&lt;301,E276/2,E276/3)))</f>
        <v>339.95402999999993</v>
      </c>
      <c r="G276" s="96">
        <v>0</v>
      </c>
      <c r="H276" s="96">
        <f t="shared" ref="H276:H279" si="69">(F276+(IF(G276&lt;101,G276,IF(G276&lt;201,G276/2,IF(G276&lt;=301,G276/3,G276/4)))))*(($H$129)+1)</f>
        <v>509.93104499999993</v>
      </c>
      <c r="I276" s="36"/>
      <c r="L276" s="109"/>
      <c r="M276" s="109"/>
      <c r="N276" s="36"/>
      <c r="T276" s="34"/>
    </row>
    <row r="277" spans="1:20" s="95" customFormat="1" ht="35.25" customHeight="1" x14ac:dyDescent="0.35">
      <c r="A277" s="107">
        <f t="shared" ref="A277:A284" si="70">A276+1</f>
        <v>3</v>
      </c>
      <c r="B277" s="108"/>
      <c r="C277" s="96" t="s">
        <v>381</v>
      </c>
      <c r="D277" s="88">
        <f>(5.5*3.05+3.7*3.4+1.65*1.35)*(10.764)</f>
        <v>339.95402999999993</v>
      </c>
      <c r="E277" s="96">
        <v>0</v>
      </c>
      <c r="F277" s="96">
        <f t="shared" si="68"/>
        <v>339.95402999999993</v>
      </c>
      <c r="G277" s="96">
        <v>0</v>
      </c>
      <c r="H277" s="96">
        <f t="shared" si="69"/>
        <v>509.93104499999993</v>
      </c>
      <c r="I277" s="36"/>
      <c r="L277" s="109"/>
      <c r="M277" s="109"/>
      <c r="N277" s="36"/>
      <c r="T277" s="21"/>
    </row>
    <row r="278" spans="1:20" s="95" customFormat="1" ht="35.25" customHeight="1" x14ac:dyDescent="0.35">
      <c r="A278" s="107">
        <f t="shared" si="70"/>
        <v>4</v>
      </c>
      <c r="B278" s="108"/>
      <c r="C278" s="96" t="s">
        <v>381</v>
      </c>
      <c r="D278" s="88">
        <f>(5.5*3.05+3.7*3.4+1.65*1.35)*(10.764)</f>
        <v>339.95402999999993</v>
      </c>
      <c r="E278" s="96">
        <v>0</v>
      </c>
      <c r="F278" s="96">
        <f t="shared" si="68"/>
        <v>339.95402999999993</v>
      </c>
      <c r="G278" s="96">
        <v>0</v>
      </c>
      <c r="H278" s="96">
        <f t="shared" si="69"/>
        <v>509.93104499999993</v>
      </c>
      <c r="I278" s="36"/>
      <c r="L278" s="109"/>
      <c r="M278" s="109"/>
      <c r="N278" s="36"/>
      <c r="T278" s="21"/>
    </row>
    <row r="279" spans="1:20" s="95" customFormat="1" ht="30.75" customHeight="1" x14ac:dyDescent="0.35">
      <c r="A279" s="107">
        <f t="shared" si="70"/>
        <v>5</v>
      </c>
      <c r="B279" s="108"/>
      <c r="C279" s="96" t="s">
        <v>381</v>
      </c>
      <c r="D279" s="88">
        <f>(5.35*3.05+3.58*3.4+1.65*1.35)*(10.764)</f>
        <v>330.63778799999994</v>
      </c>
      <c r="E279" s="96">
        <v>0</v>
      </c>
      <c r="F279" s="96">
        <f t="shared" si="68"/>
        <v>330.63778799999994</v>
      </c>
      <c r="G279" s="96">
        <v>0</v>
      </c>
      <c r="H279" s="96">
        <f t="shared" si="69"/>
        <v>495.95668199999989</v>
      </c>
      <c r="I279" s="36"/>
      <c r="L279" s="109"/>
      <c r="M279" s="109"/>
      <c r="N279" s="36"/>
      <c r="T279" s="34"/>
    </row>
    <row r="280" spans="1:20" s="95" customFormat="1" ht="15.75" customHeight="1" x14ac:dyDescent="0.35">
      <c r="A280" s="107">
        <f t="shared" si="70"/>
        <v>6</v>
      </c>
      <c r="B280" s="108"/>
      <c r="C280" s="96"/>
      <c r="D280" s="107" t="s">
        <v>367</v>
      </c>
      <c r="E280" s="113"/>
      <c r="F280" s="113"/>
      <c r="G280" s="113"/>
      <c r="H280" s="108"/>
      <c r="I280" s="36"/>
      <c r="L280" s="109"/>
      <c r="M280" s="109"/>
      <c r="N280" s="36"/>
      <c r="T280" s="21"/>
    </row>
    <row r="281" spans="1:20" s="95" customFormat="1" ht="32.25" customHeight="1" x14ac:dyDescent="0.35">
      <c r="A281" s="107">
        <f t="shared" si="70"/>
        <v>7</v>
      </c>
      <c r="B281" s="108"/>
      <c r="C281" s="96" t="s">
        <v>381</v>
      </c>
      <c r="D281" s="100">
        <f>(5.5*5.35+3.7*1.9)*10.764</f>
        <v>392.40161999999998</v>
      </c>
      <c r="E281" s="96">
        <v>0</v>
      </c>
      <c r="F281" s="96">
        <f t="shared" ref="F281:F284" si="71">D281+(IF(E281&lt;201,E281,IF(E281&lt;301,E281/2,E281/3)))</f>
        <v>392.40161999999998</v>
      </c>
      <c r="G281" s="96">
        <v>0</v>
      </c>
      <c r="H281" s="96">
        <f t="shared" ref="H281:H284" si="72">(F281+(IF(G281&lt;101,G281,IF(G281&lt;201,G281/2,IF(G281&lt;=301,G281/3,G281/4)))))*(($H$129)+1)</f>
        <v>588.60242999999991</v>
      </c>
      <c r="I281" s="36"/>
      <c r="L281" s="109"/>
      <c r="M281" s="109"/>
      <c r="N281" s="36"/>
      <c r="T281" s="21"/>
    </row>
    <row r="282" spans="1:20" s="95" customFormat="1" ht="32.25" customHeight="1" x14ac:dyDescent="0.35">
      <c r="A282" s="107">
        <f t="shared" si="70"/>
        <v>8</v>
      </c>
      <c r="B282" s="108"/>
      <c r="C282" s="96" t="s">
        <v>381</v>
      </c>
      <c r="D282" s="100">
        <f>(5.5*5.35+3.7*1.9)*10.764</f>
        <v>392.40161999999998</v>
      </c>
      <c r="E282" s="96">
        <v>0</v>
      </c>
      <c r="F282" s="96">
        <f t="shared" si="71"/>
        <v>392.40161999999998</v>
      </c>
      <c r="G282" s="96">
        <v>0</v>
      </c>
      <c r="H282" s="96">
        <f t="shared" si="72"/>
        <v>588.60242999999991</v>
      </c>
      <c r="I282" s="36"/>
      <c r="L282" s="109"/>
      <c r="M282" s="109"/>
      <c r="N282" s="36"/>
      <c r="T282" s="34"/>
    </row>
    <row r="283" spans="1:20" s="95" customFormat="1" ht="15.75" customHeight="1" x14ac:dyDescent="0.35">
      <c r="A283" s="107">
        <f t="shared" si="70"/>
        <v>9</v>
      </c>
      <c r="B283" s="108"/>
      <c r="C283" s="96" t="s">
        <v>358</v>
      </c>
      <c r="D283" s="100">
        <f>(5.5*5.35+3.7*1.9)*10.764</f>
        <v>392.40161999999998</v>
      </c>
      <c r="E283" s="96">
        <v>0</v>
      </c>
      <c r="F283" s="96">
        <f t="shared" si="71"/>
        <v>392.40161999999998</v>
      </c>
      <c r="G283" s="96">
        <v>0</v>
      </c>
      <c r="H283" s="96">
        <f t="shared" si="72"/>
        <v>588.60242999999991</v>
      </c>
      <c r="I283" s="36"/>
      <c r="L283" s="109"/>
      <c r="M283" s="109"/>
      <c r="N283" s="36"/>
      <c r="T283" s="21"/>
    </row>
    <row r="284" spans="1:20" s="95" customFormat="1" ht="15.75" customHeight="1" x14ac:dyDescent="0.35">
      <c r="A284" s="107">
        <f t="shared" si="70"/>
        <v>10</v>
      </c>
      <c r="B284" s="108"/>
      <c r="C284" s="96" t="s">
        <v>358</v>
      </c>
      <c r="D284" s="88">
        <f>(7.8*6.5+1.65*3.25+7.55*1.9+1.5*1.35)*(10.764)</f>
        <v>779.66342999999995</v>
      </c>
      <c r="E284" s="96">
        <v>0</v>
      </c>
      <c r="F284" s="96">
        <f t="shared" si="71"/>
        <v>779.66342999999995</v>
      </c>
      <c r="G284" s="96">
        <v>0</v>
      </c>
      <c r="H284" s="96">
        <f t="shared" si="72"/>
        <v>1169.4951449999999</v>
      </c>
      <c r="I284" s="36"/>
      <c r="L284" s="109"/>
      <c r="M284" s="109"/>
      <c r="N284" s="36"/>
      <c r="T284" s="21"/>
    </row>
    <row r="285" spans="1:20" s="95" customFormat="1" x14ac:dyDescent="0.35">
      <c r="A285" s="114" t="s">
        <v>382</v>
      </c>
      <c r="B285" s="115"/>
      <c r="C285" s="115"/>
      <c r="D285" s="115"/>
      <c r="E285" s="115"/>
      <c r="F285" s="115"/>
      <c r="G285" s="115"/>
      <c r="H285" s="116"/>
      <c r="I285" s="95">
        <v>1</v>
      </c>
      <c r="J285" s="36"/>
      <c r="T285" s="35"/>
    </row>
    <row r="286" spans="1:20" s="95" customFormat="1" ht="15.75" customHeight="1" x14ac:dyDescent="0.35">
      <c r="A286" s="107">
        <v>1</v>
      </c>
      <c r="B286" s="108"/>
      <c r="C286" s="96" t="s">
        <v>384</v>
      </c>
      <c r="D286" s="88">
        <f>(2.55*6.85+1.8*3.45+1.65*1.35)*(10.764)</f>
        <v>278.84141999999997</v>
      </c>
      <c r="E286" s="96">
        <v>0</v>
      </c>
      <c r="F286" s="96">
        <f>D286+(IF(E286&lt;201,E286,IF(E286&lt;301,E286/2,E286/3)))</f>
        <v>278.84141999999997</v>
      </c>
      <c r="G286" s="96">
        <v>0</v>
      </c>
      <c r="H286" s="96">
        <f>(F286+(IF(G286&lt;101,G286,IF(G286&lt;201,G286/2,IF(G286&lt;=301,G286/3,G286/4)))))*(($H$129)+1)</f>
        <v>418.26212999999996</v>
      </c>
      <c r="I286" s="36"/>
      <c r="L286" s="109"/>
      <c r="M286" s="109"/>
      <c r="N286" s="36"/>
      <c r="T286" s="35"/>
    </row>
    <row r="287" spans="1:20" s="95" customFormat="1" ht="15.75" customHeight="1" x14ac:dyDescent="0.35">
      <c r="A287" s="107">
        <f>A286+1</f>
        <v>2</v>
      </c>
      <c r="B287" s="108"/>
      <c r="C287" s="96" t="s">
        <v>385</v>
      </c>
      <c r="D287" s="88">
        <f>(5.5*3.05+3.7*3.4+1.65*1.35)*(10.764)</f>
        <v>339.95402999999993</v>
      </c>
      <c r="E287" s="96">
        <v>0</v>
      </c>
      <c r="F287" s="96">
        <f t="shared" ref="F287:F290" si="73">D287+(IF(E287&lt;201,E287,IF(E287&lt;301,E287/2,E287/3)))</f>
        <v>339.95402999999993</v>
      </c>
      <c r="G287" s="96">
        <v>0</v>
      </c>
      <c r="H287" s="96">
        <f t="shared" ref="H287:H290" si="74">(F287+(IF(G287&lt;101,G287,IF(G287&lt;201,G287/2,IF(G287&lt;=301,G287/3,G287/4)))))*(($H$129)+1)</f>
        <v>509.93104499999993</v>
      </c>
      <c r="I287" s="36"/>
      <c r="L287" s="109"/>
      <c r="M287" s="109"/>
      <c r="N287" s="36"/>
      <c r="T287" s="34"/>
    </row>
    <row r="288" spans="1:20" s="95" customFormat="1" ht="15.75" customHeight="1" x14ac:dyDescent="0.35">
      <c r="A288" s="107">
        <f t="shared" ref="A288:A295" si="75">A287+1</f>
        <v>3</v>
      </c>
      <c r="B288" s="108"/>
      <c r="C288" s="96" t="s">
        <v>385</v>
      </c>
      <c r="D288" s="88">
        <f>(5.5*3.05+3.7*3.4+1.65*1.35)*(10.764)</f>
        <v>339.95402999999993</v>
      </c>
      <c r="E288" s="96">
        <v>0</v>
      </c>
      <c r="F288" s="96">
        <f t="shared" si="73"/>
        <v>339.95402999999993</v>
      </c>
      <c r="G288" s="96">
        <v>0</v>
      </c>
      <c r="H288" s="96">
        <f t="shared" si="74"/>
        <v>509.93104499999993</v>
      </c>
      <c r="I288" s="36"/>
      <c r="L288" s="109"/>
      <c r="M288" s="109"/>
      <c r="N288" s="36"/>
      <c r="T288" s="21"/>
    </row>
    <row r="289" spans="1:20" s="95" customFormat="1" ht="15.75" customHeight="1" x14ac:dyDescent="0.35">
      <c r="A289" s="107">
        <f t="shared" si="75"/>
        <v>4</v>
      </c>
      <c r="B289" s="108"/>
      <c r="C289" s="96" t="s">
        <v>385</v>
      </c>
      <c r="D289" s="88">
        <f>(5.5*3.05+3.7*3.4+1.65*1.35)*(10.764)</f>
        <v>339.95402999999993</v>
      </c>
      <c r="E289" s="96">
        <v>0</v>
      </c>
      <c r="F289" s="96">
        <f t="shared" si="73"/>
        <v>339.95402999999993</v>
      </c>
      <c r="G289" s="96">
        <v>0</v>
      </c>
      <c r="H289" s="96">
        <f t="shared" si="74"/>
        <v>509.93104499999993</v>
      </c>
      <c r="I289" s="36"/>
      <c r="L289" s="109"/>
      <c r="M289" s="109"/>
      <c r="N289" s="36"/>
      <c r="T289" s="21"/>
    </row>
    <row r="290" spans="1:20" s="95" customFormat="1" ht="15.75" customHeight="1" x14ac:dyDescent="0.35">
      <c r="A290" s="107">
        <f t="shared" si="75"/>
        <v>5</v>
      </c>
      <c r="B290" s="108"/>
      <c r="C290" s="96" t="s">
        <v>385</v>
      </c>
      <c r="D290" s="88">
        <f>(5.35*3.05+3.58*3.4+1.65*1.35)*(10.764)</f>
        <v>330.63778799999994</v>
      </c>
      <c r="E290" s="96">
        <v>0</v>
      </c>
      <c r="F290" s="96">
        <f t="shared" si="73"/>
        <v>330.63778799999994</v>
      </c>
      <c r="G290" s="96">
        <v>0</v>
      </c>
      <c r="H290" s="96">
        <f t="shared" si="74"/>
        <v>495.95668199999989</v>
      </c>
      <c r="I290" s="36"/>
      <c r="L290" s="109"/>
      <c r="M290" s="109"/>
      <c r="N290" s="36"/>
      <c r="T290" s="34"/>
    </row>
    <row r="291" spans="1:20" s="95" customFormat="1" ht="15.75" customHeight="1" x14ac:dyDescent="0.35">
      <c r="A291" s="107">
        <f t="shared" si="75"/>
        <v>6</v>
      </c>
      <c r="B291" s="108"/>
      <c r="C291" s="96"/>
      <c r="D291" s="107" t="s">
        <v>367</v>
      </c>
      <c r="E291" s="113"/>
      <c r="F291" s="113"/>
      <c r="G291" s="113"/>
      <c r="H291" s="108"/>
      <c r="I291" s="36"/>
      <c r="L291" s="109"/>
      <c r="M291" s="109"/>
      <c r="N291" s="36"/>
      <c r="T291" s="21"/>
    </row>
    <row r="292" spans="1:20" s="95" customFormat="1" ht="15.75" customHeight="1" x14ac:dyDescent="0.35">
      <c r="A292" s="107">
        <f t="shared" si="75"/>
        <v>7</v>
      </c>
      <c r="B292" s="108"/>
      <c r="C292" s="96" t="s">
        <v>385</v>
      </c>
      <c r="D292" s="100">
        <f>(5.5*5.35+3.7*1.9)*10.764</f>
        <v>392.40161999999998</v>
      </c>
      <c r="E292" s="96">
        <v>0</v>
      </c>
      <c r="F292" s="96">
        <f t="shared" ref="F292:F295" si="76">D292+(IF(E292&lt;201,E292,IF(E292&lt;301,E292/2,E292/3)))</f>
        <v>392.40161999999998</v>
      </c>
      <c r="G292" s="96">
        <v>0</v>
      </c>
      <c r="H292" s="96">
        <f t="shared" ref="H292:H295" si="77">(F292+(IF(G292&lt;101,G292,IF(G292&lt;201,G292/2,IF(G292&lt;=301,G292/3,G292/4)))))*(($H$129)+1)</f>
        <v>588.60242999999991</v>
      </c>
      <c r="I292" s="36"/>
      <c r="L292" s="109"/>
      <c r="M292" s="109"/>
      <c r="N292" s="36"/>
      <c r="T292" s="21"/>
    </row>
    <row r="293" spans="1:20" s="95" customFormat="1" ht="15.75" customHeight="1" x14ac:dyDescent="0.35">
      <c r="A293" s="107">
        <f t="shared" si="75"/>
        <v>8</v>
      </c>
      <c r="B293" s="108"/>
      <c r="C293" s="96" t="s">
        <v>385</v>
      </c>
      <c r="D293" s="100">
        <f>(5.5*5.35+3.7*1.9)*10.764</f>
        <v>392.40161999999998</v>
      </c>
      <c r="E293" s="96">
        <v>0</v>
      </c>
      <c r="F293" s="96">
        <f t="shared" si="76"/>
        <v>392.40161999999998</v>
      </c>
      <c r="G293" s="96">
        <v>0</v>
      </c>
      <c r="H293" s="96">
        <f t="shared" si="77"/>
        <v>588.60242999999991</v>
      </c>
      <c r="I293" s="36"/>
      <c r="L293" s="109"/>
      <c r="M293" s="109"/>
      <c r="N293" s="36"/>
      <c r="T293" s="34"/>
    </row>
    <row r="294" spans="1:20" s="95" customFormat="1" ht="15.75" customHeight="1" x14ac:dyDescent="0.35">
      <c r="A294" s="107">
        <f t="shared" si="75"/>
        <v>9</v>
      </c>
      <c r="B294" s="108"/>
      <c r="C294" s="96" t="s">
        <v>384</v>
      </c>
      <c r="D294" s="100">
        <f>(5.5*5.35+3.7*1.9)*10.764</f>
        <v>392.40161999999998</v>
      </c>
      <c r="E294" s="96">
        <v>0</v>
      </c>
      <c r="F294" s="96">
        <f t="shared" si="76"/>
        <v>392.40161999999998</v>
      </c>
      <c r="G294" s="96">
        <v>0</v>
      </c>
      <c r="H294" s="96">
        <f t="shared" si="77"/>
        <v>588.60242999999991</v>
      </c>
      <c r="I294" s="36"/>
      <c r="L294" s="109"/>
      <c r="M294" s="109"/>
      <c r="N294" s="36"/>
      <c r="T294" s="21"/>
    </row>
    <row r="295" spans="1:20" s="95" customFormat="1" ht="15.75" customHeight="1" x14ac:dyDescent="0.35">
      <c r="A295" s="107">
        <f t="shared" si="75"/>
        <v>10</v>
      </c>
      <c r="B295" s="108"/>
      <c r="C295" s="96" t="s">
        <v>384</v>
      </c>
      <c r="D295" s="88">
        <f>(7.8*6.5+1.65*3.25+7.55*1.9+1.5*1.35)*(10.764)</f>
        <v>779.66342999999995</v>
      </c>
      <c r="E295" s="96">
        <v>0</v>
      </c>
      <c r="F295" s="96">
        <f t="shared" si="76"/>
        <v>779.66342999999995</v>
      </c>
      <c r="G295" s="96">
        <v>0</v>
      </c>
      <c r="H295" s="96">
        <f t="shared" si="77"/>
        <v>1169.4951449999999</v>
      </c>
      <c r="I295" s="36"/>
      <c r="L295" s="109"/>
      <c r="M295" s="109"/>
      <c r="N295" s="36"/>
      <c r="T295" s="21"/>
    </row>
    <row r="296" spans="1:20" s="37" customFormat="1" hidden="1" x14ac:dyDescent="0.35">
      <c r="A296" s="114" t="s">
        <v>117</v>
      </c>
      <c r="B296" s="115"/>
      <c r="C296" s="115"/>
      <c r="D296" s="115"/>
      <c r="E296" s="115"/>
      <c r="F296" s="115"/>
      <c r="G296" s="115"/>
      <c r="H296" s="116"/>
      <c r="J296" s="36"/>
      <c r="T296" s="35"/>
    </row>
    <row r="297" spans="1:20" s="37" customFormat="1" ht="15.75" hidden="1" customHeight="1" x14ac:dyDescent="0.35">
      <c r="A297" s="107">
        <v>1</v>
      </c>
      <c r="B297" s="108"/>
      <c r="C297" s="42"/>
      <c r="D297" s="42">
        <v>0</v>
      </c>
      <c r="E297" s="42">
        <v>0</v>
      </c>
      <c r="F297" s="62">
        <f>D297+(IF(E297&lt;201,E297,IF(E297&lt;301,E297/2,E297/3)))</f>
        <v>0</v>
      </c>
      <c r="G297" s="63">
        <v>0</v>
      </c>
      <c r="H297" s="62">
        <f>(F297+(IF(G297&lt;101,G297,IF(G297&lt;201,G297/2,IF(G297&lt;=301,G297/3,G297/4)))))*(($H$129)+1)</f>
        <v>0</v>
      </c>
      <c r="I297" s="36"/>
      <c r="L297" s="109"/>
      <c r="M297" s="109"/>
      <c r="N297" s="36"/>
      <c r="T297" s="35"/>
    </row>
    <row r="298" spans="1:20" s="37" customFormat="1" ht="15.75" hidden="1" customHeight="1" x14ac:dyDescent="0.35">
      <c r="A298" s="107">
        <f>A297+1</f>
        <v>2</v>
      </c>
      <c r="B298" s="108"/>
      <c r="C298" s="42"/>
      <c r="D298" s="42"/>
      <c r="E298" s="42">
        <v>0</v>
      </c>
      <c r="F298" s="62">
        <f t="shared" ref="F298:F300" si="78">D298+(IF(E298&lt;201,E298,IF(E298&lt;301,E298/2,E298/3)))</f>
        <v>0</v>
      </c>
      <c r="G298" s="53">
        <v>0</v>
      </c>
      <c r="H298" s="62">
        <f t="shared" ref="H298:H300" si="79">(F298+(IF(G298&lt;101,G298,IF(G298&lt;201,G298/2,IF(G298&lt;=301,G298/3,G298/4)))))*(($H$129)+1)</f>
        <v>0</v>
      </c>
      <c r="I298" s="36"/>
      <c r="L298" s="109"/>
      <c r="M298" s="109"/>
      <c r="N298" s="36"/>
      <c r="T298" s="34"/>
    </row>
    <row r="299" spans="1:20" s="37" customFormat="1" ht="15.75" hidden="1" customHeight="1" x14ac:dyDescent="0.35">
      <c r="A299" s="107">
        <f>A298+1</f>
        <v>3</v>
      </c>
      <c r="B299" s="108"/>
      <c r="C299" s="42"/>
      <c r="D299" s="42"/>
      <c r="E299" s="42">
        <v>0</v>
      </c>
      <c r="F299" s="62">
        <f t="shared" si="78"/>
        <v>0</v>
      </c>
      <c r="G299" s="53">
        <v>0</v>
      </c>
      <c r="H299" s="62">
        <f t="shared" si="79"/>
        <v>0</v>
      </c>
      <c r="I299" s="36"/>
      <c r="L299" s="109"/>
      <c r="M299" s="109"/>
      <c r="N299" s="36"/>
      <c r="T299" s="21"/>
    </row>
    <row r="300" spans="1:20" s="37" customFormat="1" ht="15.75" hidden="1" customHeight="1" x14ac:dyDescent="0.35">
      <c r="A300" s="107">
        <f>A299+1</f>
        <v>4</v>
      </c>
      <c r="B300" s="108"/>
      <c r="C300" s="42"/>
      <c r="D300" s="42"/>
      <c r="E300" s="42">
        <v>0</v>
      </c>
      <c r="F300" s="62">
        <f t="shared" si="78"/>
        <v>0</v>
      </c>
      <c r="G300" s="53">
        <v>0</v>
      </c>
      <c r="H300" s="62">
        <f t="shared" si="79"/>
        <v>0</v>
      </c>
      <c r="I300" s="36"/>
      <c r="L300" s="109"/>
      <c r="M300" s="109"/>
      <c r="N300" s="36"/>
      <c r="T300" s="21"/>
    </row>
    <row r="301" spans="1:20" s="37" customFormat="1" hidden="1" x14ac:dyDescent="0.35">
      <c r="A301" s="107"/>
      <c r="B301" s="113"/>
      <c r="C301" s="113"/>
      <c r="D301" s="113"/>
      <c r="E301" s="113"/>
      <c r="F301" s="113"/>
      <c r="G301" s="113"/>
      <c r="H301" s="108"/>
      <c r="I301" s="36"/>
      <c r="N301" s="36"/>
    </row>
    <row r="302" spans="1:20" ht="47.25" hidden="1" customHeight="1" x14ac:dyDescent="0.35">
      <c r="A302" s="240" t="s">
        <v>119</v>
      </c>
      <c r="B302" s="214" t="s">
        <v>177</v>
      </c>
      <c r="C302" s="214" t="s">
        <v>55</v>
      </c>
      <c r="D302" s="236" t="s">
        <v>232</v>
      </c>
      <c r="E302" s="214" t="s">
        <v>231</v>
      </c>
      <c r="F302" s="214" t="s">
        <v>56</v>
      </c>
      <c r="G302" s="216" t="s">
        <v>57</v>
      </c>
      <c r="H302" s="68" t="s">
        <v>150</v>
      </c>
      <c r="I302" s="36"/>
      <c r="T302" s="37"/>
    </row>
    <row r="303" spans="1:20" s="37" customFormat="1" hidden="1" x14ac:dyDescent="0.35">
      <c r="A303" s="241"/>
      <c r="B303" s="215"/>
      <c r="C303" s="215"/>
      <c r="D303" s="237"/>
      <c r="E303" s="215"/>
      <c r="F303" s="215"/>
      <c r="G303" s="217"/>
      <c r="H303" s="55">
        <v>0.45</v>
      </c>
      <c r="I303" s="36"/>
    </row>
    <row r="304" spans="1:20" s="37" customFormat="1" hidden="1" x14ac:dyDescent="0.35">
      <c r="A304" s="114" t="s">
        <v>117</v>
      </c>
      <c r="B304" s="115"/>
      <c r="C304" s="115"/>
      <c r="D304" s="115"/>
      <c r="E304" s="115"/>
      <c r="F304" s="115"/>
      <c r="G304" s="115"/>
      <c r="H304" s="116"/>
      <c r="J304" s="36"/>
    </row>
    <row r="305" spans="1:20" s="37" customFormat="1" ht="15.75" hidden="1" customHeight="1" x14ac:dyDescent="0.35">
      <c r="A305" s="107">
        <v>1</v>
      </c>
      <c r="B305" s="108"/>
      <c r="C305" s="42"/>
      <c r="D305" s="42"/>
      <c r="E305" s="42">
        <v>0</v>
      </c>
      <c r="F305" s="42">
        <f>D305+E305</f>
        <v>0</v>
      </c>
      <c r="G305" s="53">
        <v>0</v>
      </c>
      <c r="H305" s="53">
        <f>F305*(($H$303)+1)+(IF(G305&lt;101,G305,IF(G305&lt;201,G305/2,IF(G305&lt;=301,G305/3,G305/4))))</f>
        <v>0</v>
      </c>
      <c r="I305" s="36"/>
      <c r="L305" s="109"/>
      <c r="M305" s="109"/>
      <c r="N305" s="36"/>
    </row>
    <row r="306" spans="1:20" s="37" customFormat="1" ht="15.75" hidden="1" customHeight="1" x14ac:dyDescent="0.35">
      <c r="A306" s="107">
        <f>A305+1</f>
        <v>2</v>
      </c>
      <c r="B306" s="108"/>
      <c r="C306" s="42"/>
      <c r="D306" s="42"/>
      <c r="E306" s="42">
        <v>0</v>
      </c>
      <c r="F306" s="53">
        <f>D306+E306</f>
        <v>0</v>
      </c>
      <c r="G306" s="53">
        <v>0</v>
      </c>
      <c r="H306" s="53">
        <f>F306*(($H$303)+1)+(IF(G306&lt;101,G306,IF(G306&lt;201,G306/2,IF(G306&lt;=301,G306/3,G306/4))))</f>
        <v>0</v>
      </c>
      <c r="I306" s="36"/>
      <c r="L306" s="109"/>
      <c r="M306" s="109"/>
      <c r="N306" s="36"/>
    </row>
    <row r="307" spans="1:20" s="37" customFormat="1" ht="15.75" hidden="1" customHeight="1" x14ac:dyDescent="0.35">
      <c r="A307" s="107">
        <f>A306+1</f>
        <v>3</v>
      </c>
      <c r="B307" s="108"/>
      <c r="C307" s="42"/>
      <c r="D307" s="42"/>
      <c r="E307" s="42">
        <v>0</v>
      </c>
      <c r="F307" s="53">
        <f>D307+E307</f>
        <v>0</v>
      </c>
      <c r="G307" s="53">
        <v>0</v>
      </c>
      <c r="H307" s="53">
        <f>F307*(($H$303)+1)+(IF(G307&lt;101,G307,IF(G307&lt;201,G307/2,IF(G307&lt;=301,G307/3,G307/4))))</f>
        <v>0</v>
      </c>
      <c r="I307" s="36"/>
      <c r="L307" s="109"/>
      <c r="M307" s="109"/>
      <c r="N307" s="36"/>
    </row>
    <row r="308" spans="1:20" s="37" customFormat="1" ht="15.75" hidden="1" customHeight="1" x14ac:dyDescent="0.35">
      <c r="A308" s="107">
        <f>A307+1</f>
        <v>4</v>
      </c>
      <c r="B308" s="108"/>
      <c r="C308" s="42"/>
      <c r="D308" s="42"/>
      <c r="E308" s="42">
        <v>0</v>
      </c>
      <c r="F308" s="53">
        <f>D308+E308</f>
        <v>0</v>
      </c>
      <c r="G308" s="53">
        <v>0</v>
      </c>
      <c r="H308" s="53">
        <f>F308*(($H$303)+1)+(IF(G308&lt;101,G308,IF(G308&lt;201,G308/2,IF(G308&lt;=301,G308/3,G308/4))))</f>
        <v>0</v>
      </c>
      <c r="I308" s="36"/>
      <c r="L308" s="109"/>
      <c r="M308" s="109"/>
      <c r="N308" s="36"/>
      <c r="T308" s="21"/>
    </row>
    <row r="309" spans="1:20" s="37" customFormat="1" hidden="1" x14ac:dyDescent="0.35">
      <c r="A309" s="213" t="s">
        <v>118</v>
      </c>
      <c r="B309" s="213"/>
      <c r="C309" s="213"/>
      <c r="D309" s="213"/>
      <c r="E309" s="213"/>
      <c r="F309" s="213"/>
      <c r="G309" s="213"/>
      <c r="H309" s="213"/>
      <c r="I309" s="36"/>
      <c r="L309" s="109"/>
      <c r="M309" s="109"/>
    </row>
    <row r="310" spans="1:20" s="37" customFormat="1" hidden="1" x14ac:dyDescent="0.35">
      <c r="A310" s="145">
        <f>LEFT(A309,SUM(LEN(A309)-LEN(SUBSTITUTE(A309,{"0","1","2","3","4","5","6","7","8","9"},""))))*100+1</f>
        <v>201</v>
      </c>
      <c r="B310" s="145"/>
      <c r="C310" s="42"/>
      <c r="D310" s="42"/>
      <c r="E310" s="53">
        <v>0</v>
      </c>
      <c r="F310" s="53">
        <f>D310+E310</f>
        <v>0</v>
      </c>
      <c r="G310" s="53">
        <v>0</v>
      </c>
      <c r="H310" s="53">
        <f>F310*(($H$303)+1)+(IF(G310&lt;101,G310,IF(G310&lt;201,G310/2,IF(G310&lt;=301,G310/3,G310/4))))</f>
        <v>0</v>
      </c>
      <c r="I310" s="36"/>
      <c r="N310" s="36"/>
    </row>
    <row r="311" spans="1:20" s="37" customFormat="1" hidden="1" x14ac:dyDescent="0.35">
      <c r="A311" s="145">
        <f>A310+1</f>
        <v>202</v>
      </c>
      <c r="B311" s="145"/>
      <c r="C311" s="42"/>
      <c r="D311" s="42"/>
      <c r="E311" s="53">
        <v>0</v>
      </c>
      <c r="F311" s="53">
        <f>D311+E311</f>
        <v>0</v>
      </c>
      <c r="G311" s="53">
        <v>0</v>
      </c>
      <c r="H311" s="53">
        <f>F311*(($H$303)+1)+(IF(G311&lt;101,G311,IF(G311&lt;201,G311/2,IF(G311&lt;=301,G311/3,G311/4))))</f>
        <v>0</v>
      </c>
      <c r="I311" s="36"/>
      <c r="N311" s="36"/>
    </row>
    <row r="312" spans="1:20" s="37" customFormat="1" hidden="1" x14ac:dyDescent="0.35">
      <c r="A312" s="145">
        <f>A311+1</f>
        <v>203</v>
      </c>
      <c r="B312" s="145"/>
      <c r="C312" s="42"/>
      <c r="D312" s="42"/>
      <c r="E312" s="53">
        <v>0</v>
      </c>
      <c r="F312" s="53">
        <f>D312+E312</f>
        <v>0</v>
      </c>
      <c r="G312" s="53">
        <v>0</v>
      </c>
      <c r="H312" s="53">
        <f>F312*(($H$303)+1)+(IF(G312&lt;101,G312,IF(G312&lt;201,G312/2,IF(G312&lt;=301,G312/3,G312/4))))</f>
        <v>0</v>
      </c>
      <c r="I312" s="36"/>
      <c r="N312" s="36"/>
    </row>
    <row r="313" spans="1:20" s="37" customFormat="1" hidden="1" x14ac:dyDescent="0.35">
      <c r="A313" s="145">
        <f>A312+1</f>
        <v>204</v>
      </c>
      <c r="B313" s="145"/>
      <c r="C313" s="42"/>
      <c r="D313" s="42"/>
      <c r="E313" s="53">
        <v>0</v>
      </c>
      <c r="F313" s="53">
        <f>D313+E313</f>
        <v>0</v>
      </c>
      <c r="G313" s="53">
        <v>0</v>
      </c>
      <c r="H313" s="53">
        <f>F313*(($H$303)+1)+(IF(G313&lt;101,G313,IF(G313&lt;201,G313/2,IF(G313&lt;=301,G313/3,G313/4))))</f>
        <v>0</v>
      </c>
      <c r="I313" s="36"/>
      <c r="N313" s="36"/>
    </row>
    <row r="314" spans="1:20" s="37" customFormat="1" hidden="1" x14ac:dyDescent="0.35">
      <c r="A314" s="145">
        <f>A313+1</f>
        <v>205</v>
      </c>
      <c r="B314" s="145"/>
      <c r="C314" s="42"/>
      <c r="D314" s="42"/>
      <c r="E314" s="53">
        <v>0</v>
      </c>
      <c r="F314" s="53">
        <f>D314+E314</f>
        <v>0</v>
      </c>
      <c r="G314" s="53">
        <v>0</v>
      </c>
      <c r="H314" s="53">
        <f>F314*(($H$303)+1)+(IF(G314&lt;101,G314,IF(G314&lt;201,G314/2,IF(G314&lt;=301,G314/3,G314/4))))</f>
        <v>0</v>
      </c>
      <c r="I314" s="36"/>
      <c r="N314" s="36"/>
    </row>
    <row r="315" spans="1:20" s="37" customFormat="1" ht="15.75" hidden="1" customHeight="1" x14ac:dyDescent="0.35">
      <c r="A315" s="114" t="s">
        <v>151</v>
      </c>
      <c r="B315" s="115"/>
      <c r="C315" s="115"/>
      <c r="D315" s="115"/>
      <c r="E315" s="115"/>
      <c r="F315" s="115"/>
      <c r="G315" s="115"/>
      <c r="H315" s="116"/>
      <c r="I315" s="36"/>
    </row>
    <row r="316" spans="1:20" s="37" customFormat="1" ht="15.75" hidden="1" customHeight="1" x14ac:dyDescent="0.35">
      <c r="A316" s="107" t="str">
        <f ca="1">(SUMPRODUCT(MID(0&amp;(LEFT(A315,SUM(LEN(A315)-LEN(SUBSTITUTE(A315,{"0","1","2"},""))))), LARGE(INDEX(ISNUMBER(--MID((LEFT(A315,SUM(LEN(A315)-LEN(SUBSTITUTE(A315,{"0","1","2"},""))))), ROW(INDIRECT("1:"&amp;LEN((LEFT(A315,SUM(LEN(A315)-LEN(SUBSTITUTE(A315,{"0","1","2"},"")))))))), 1)) * ROW(INDIRECT("1:"&amp;LEN((LEFT(A315,SUM(LEN(A315)-LEN(SUBSTITUTE(A315,{"0","1","2"},"")))))))), 0), ROW(INDIRECT("1:"&amp;LEN((LEFT(A315,SUM(LEN(A315)-LEN(SUBSTITUTE(A315,{"0","1","2"},"")))))))))+1, 1) * 10^ROW(INDIRECT("1:"&amp;LEN((LEFT(A315,SUM(LEN(A315)-LEN(SUBSTITUTE(A315,{"0","1","2"},""))))))))/10))*100+1&amp;""&amp;" ,.., "&amp;""&amp;(SUMPRODUCT(MID(0&amp;(--TRIM(RIGHT(SUBSTITUTE(LEFT(A315,_xlfn.AGGREGATE(16,6,FIND({0,1,2,3,4,5,6,7,8,9},A315,ROW(INDIRECT("1:"&amp;LEN(A315)))),1))," ",REPT(" ",LEN(A315))),LEN(A315)))), LARGE(INDEX(ISNUMBER(--MID((--TRIM(RIGHT(SUBSTITUTE(LEFT(A315,_xlfn.AGGREGATE(16,6,FIND({0,1,2,3,4,5,6,7,8,9},A315,ROW(INDIRECT("1:"&amp;LEN(A315)))),1))," ",REPT(" ",LEN(A315))),LEN(A315)))), ROW(INDIRECT("1:"&amp;LEN((--TRIM(RIGHT(SUBSTITUTE(LEFT(A315,_xlfn.AGGREGATE(16,6,FIND({0,1,2,3,4,5,6,7,8,9},A315,ROW(INDIRECT("1:"&amp;LEN(A315)))),1))," ",REPT(" ",LEN(A315))),LEN(A315))))))), 1)) * ROW(INDIRECT("1:"&amp;LEN((--TRIM(RIGHT(SUBSTITUTE(LEFT(A315,_xlfn.AGGREGATE(16,6,FIND({0,1,2,3,4,5,6,7,8,9},A315,ROW(INDIRECT("1:"&amp;LEN(A315)))),1))," ",REPT(" ",LEN(A315))),LEN(A315))))))), 0), ROW(INDIRECT("1:"&amp;LEN((--TRIM(RIGHT(SUBSTITUTE(LEFT(A315,_xlfn.AGGREGATE(16,6,FIND({0,1,2,3,4,5,6,7,8,9},A315,ROW(INDIRECT("1:"&amp;LEN(A315)))),1))," ",REPT(" ",LEN(A315))),LEN(A315))))))))+1, 1) * 10^ROW(INDIRECT("1:"&amp;LEN((--TRIM(RIGHT(SUBSTITUTE(LEFT(A315,_xlfn.AGGREGATE(16,6,FIND({0,1,2,3,4,5,6,7,8,9},A315,ROW(INDIRECT("1:"&amp;LEN(A315)))),1))," ",REPT(" ",LEN(A315))),LEN(A315)))))))/10))*100+1</f>
        <v>301 ,.., 1501</v>
      </c>
      <c r="B316" s="108"/>
      <c r="C316" s="42"/>
      <c r="D316" s="42"/>
      <c r="E316" s="53">
        <v>0</v>
      </c>
      <c r="F316" s="53">
        <f>D316+E316</f>
        <v>0</v>
      </c>
      <c r="G316" s="53">
        <v>0</v>
      </c>
      <c r="H316" s="53">
        <f>F316*(($H$303)+1)+(IF(G316&lt;101,G316,IF(G316&lt;201,G316/2,IF(G316&lt;=301,G316/3,G316/4))))</f>
        <v>0</v>
      </c>
      <c r="I316" s="36"/>
    </row>
    <row r="317" spans="1:20" s="37" customFormat="1" ht="15.75" hidden="1" customHeight="1" x14ac:dyDescent="0.35">
      <c r="A317" s="107" t="str">
        <f ca="1">(SUMPRODUCT(MID(0&amp;(LEFT(A316,SUM(LEN(A316)-LEN(SUBSTITUTE(A316,{"0","1","2"},""))))), LARGE(INDEX(ISNUMBER(--MID((LEFT(A316,SUM(LEN(A316)-LEN(SUBSTITUTE(A316,{"0","1","2"},""))))), ROW(INDIRECT("1:"&amp;LEN((LEFT(A316,SUM(LEN(A316)-LEN(SUBSTITUTE(A316,{"0","1","2"},"")))))))), 1)) * ROW(INDIRECT("1:"&amp;LEN((LEFT(A316,SUM(LEN(A316)-LEN(SUBSTITUTE(A316,{"0","1","2"},"")))))))), 0), ROW(INDIRECT("1:"&amp;LEN((LEFT(A316,SUM(LEN(A316)-LEN(SUBSTITUTE(A316,{"0","1","2"},"")))))))))+1, 1) * 10^ROW(INDIRECT("1:"&amp;LEN((LEFT(A316,SUM(LEN(A316)-LEN(SUBSTITUTE(A316,{"0","1","2"},""))))))))/10))*1+1&amp;""&amp;" ,.., "&amp;""&amp;(SUMPRODUCT(MID(0&amp;(--TRIM(RIGHT(SUBSTITUTE(LEFT(A316,_xlfn.AGGREGATE(16,6,FIND({0,1,2,3,4,5,6,7,8,9},A316,ROW(INDIRECT("1:"&amp;LEN(A316)))),1))," ",REPT(" ",LEN(A316))),LEN(A316)))), LARGE(INDEX(ISNUMBER(--MID((--TRIM(RIGHT(SUBSTITUTE(LEFT(A316,_xlfn.AGGREGATE(16,6,FIND({0,1,2,3,4,5,6,7,8,9},A316,ROW(INDIRECT("1:"&amp;LEN(A316)))),1))," ",REPT(" ",LEN(A316))),LEN(A316)))), ROW(INDIRECT("1:"&amp;LEN((--TRIM(RIGHT(SUBSTITUTE(LEFT(A316,_xlfn.AGGREGATE(16,6,FIND({0,1,2,3,4,5,6,7,8,9},A316,ROW(INDIRECT("1:"&amp;LEN(A316)))),1))," ",REPT(" ",LEN(A316))),LEN(A316))))))), 1)) * ROW(INDIRECT("1:"&amp;LEN((--TRIM(RIGHT(SUBSTITUTE(LEFT(A316,_xlfn.AGGREGATE(16,6,FIND({0,1,2,3,4,5,6,7,8,9},A316,ROW(INDIRECT("1:"&amp;LEN(A316)))),1))," ",REPT(" ",LEN(A316))),LEN(A316))))))), 0), ROW(INDIRECT("1:"&amp;LEN((--TRIM(RIGHT(SUBSTITUTE(LEFT(A316,_xlfn.AGGREGATE(16,6,FIND({0,1,2,3,4,5,6,7,8,9},A316,ROW(INDIRECT("1:"&amp;LEN(A316)))),1))," ",REPT(" ",LEN(A316))),LEN(A316))))))))+1, 1) * 10^ROW(INDIRECT("1:"&amp;LEN((--TRIM(RIGHT(SUBSTITUTE(LEFT(A316,_xlfn.AGGREGATE(16,6,FIND({0,1,2,3,4,5,6,7,8,9},A316,ROW(INDIRECT("1:"&amp;LEN(A316)))),1))," ",REPT(" ",LEN(A316))),LEN(A316)))))))/10))*1+1</f>
        <v>302 ,.., 1502</v>
      </c>
      <c r="B317" s="108"/>
      <c r="C317" s="42"/>
      <c r="D317" s="42"/>
      <c r="E317" s="53">
        <v>0</v>
      </c>
      <c r="F317" s="53">
        <f>D317+E317</f>
        <v>0</v>
      </c>
      <c r="G317" s="53">
        <v>0</v>
      </c>
      <c r="H317" s="53">
        <f>F317*(($H$303)+1)+(IF(G317&lt;101,G317,IF(G317&lt;201,G317/2,IF(G317&lt;=301,G317/3,G317/4))))</f>
        <v>0</v>
      </c>
      <c r="I317" s="36"/>
    </row>
    <row r="318" spans="1:20" s="37" customFormat="1" ht="15.75" hidden="1" customHeight="1" x14ac:dyDescent="0.35">
      <c r="A318" s="107" t="str">
        <f ca="1">(SUMPRODUCT(MID(0&amp;(LEFT(A317,SUM(LEN(A317)-LEN(SUBSTITUTE(A317,{"0","1","2"},""))))), LARGE(INDEX(ISNUMBER(--MID((LEFT(A317,SUM(LEN(A317)-LEN(SUBSTITUTE(A317,{"0","1","2"},""))))), ROW(INDIRECT("1:"&amp;LEN((LEFT(A317,SUM(LEN(A317)-LEN(SUBSTITUTE(A317,{"0","1","2"},"")))))))), 1)) * ROW(INDIRECT("1:"&amp;LEN((LEFT(A317,SUM(LEN(A317)-LEN(SUBSTITUTE(A317,{"0","1","2"},"")))))))), 0), ROW(INDIRECT("1:"&amp;LEN((LEFT(A317,SUM(LEN(A317)-LEN(SUBSTITUTE(A317,{"0","1","2"},"")))))))))+1, 1) * 10^ROW(INDIRECT("1:"&amp;LEN((LEFT(A317,SUM(LEN(A317)-LEN(SUBSTITUTE(A317,{"0","1","2"},""))))))))/10))*1+1&amp;""&amp;" ,.., "&amp;""&amp;(SUMPRODUCT(MID(0&amp;(--TRIM(RIGHT(SUBSTITUTE(LEFT(A317,_xlfn.AGGREGATE(16,6,FIND({0,1,2,3,4,5,6,7,8,9},A317,ROW(INDIRECT("1:"&amp;LEN(A317)))),1))," ",REPT(" ",LEN(A317))),LEN(A317)))), LARGE(INDEX(ISNUMBER(--MID((--TRIM(RIGHT(SUBSTITUTE(LEFT(A317,_xlfn.AGGREGATE(16,6,FIND({0,1,2,3,4,5,6,7,8,9},A317,ROW(INDIRECT("1:"&amp;LEN(A317)))),1))," ",REPT(" ",LEN(A317))),LEN(A317)))), ROW(INDIRECT("1:"&amp;LEN((--TRIM(RIGHT(SUBSTITUTE(LEFT(A317,_xlfn.AGGREGATE(16,6,FIND({0,1,2,3,4,5,6,7,8,9},A317,ROW(INDIRECT("1:"&amp;LEN(A317)))),1))," ",REPT(" ",LEN(A317))),LEN(A317))))))), 1)) * ROW(INDIRECT("1:"&amp;LEN((--TRIM(RIGHT(SUBSTITUTE(LEFT(A317,_xlfn.AGGREGATE(16,6,FIND({0,1,2,3,4,5,6,7,8,9},A317,ROW(INDIRECT("1:"&amp;LEN(A317)))),1))," ",REPT(" ",LEN(A317))),LEN(A317))))))), 0), ROW(INDIRECT("1:"&amp;LEN((--TRIM(RIGHT(SUBSTITUTE(LEFT(A317,_xlfn.AGGREGATE(16,6,FIND({0,1,2,3,4,5,6,7,8,9},A317,ROW(INDIRECT("1:"&amp;LEN(A317)))),1))," ",REPT(" ",LEN(A317))),LEN(A317))))))))+1, 1) * 10^ROW(INDIRECT("1:"&amp;LEN((--TRIM(RIGHT(SUBSTITUTE(LEFT(A317,_xlfn.AGGREGATE(16,6,FIND({0,1,2,3,4,5,6,7,8,9},A317,ROW(INDIRECT("1:"&amp;LEN(A317)))),1))," ",REPT(" ",LEN(A317))),LEN(A317)))))))/10))*1+1</f>
        <v>303 ,.., 1503</v>
      </c>
      <c r="B318" s="108"/>
      <c r="C318" s="42"/>
      <c r="D318" s="42"/>
      <c r="E318" s="53">
        <v>0</v>
      </c>
      <c r="F318" s="53">
        <f>D318+E318</f>
        <v>0</v>
      </c>
      <c r="G318" s="53">
        <v>0</v>
      </c>
      <c r="H318" s="53">
        <f>F318*(($H$303)+1)+(IF(G318&lt;101,G318,IF(G318&lt;201,G318/2,IF(G318&lt;=301,G318/3,G318/4))))</f>
        <v>0</v>
      </c>
      <c r="I318" s="36"/>
    </row>
    <row r="319" spans="1:20" s="37" customFormat="1" ht="15.75" hidden="1" customHeight="1" x14ac:dyDescent="0.35">
      <c r="A319" s="107" t="str">
        <f ca="1">(SUMPRODUCT(MID(0&amp;(LEFT(A318,SUM(LEN(A318)-LEN(SUBSTITUTE(A318,{"0","1","2"},""))))), LARGE(INDEX(ISNUMBER(--MID((LEFT(A318,SUM(LEN(A318)-LEN(SUBSTITUTE(A318,{"0","1","2"},""))))), ROW(INDIRECT("1:"&amp;LEN((LEFT(A318,SUM(LEN(A318)-LEN(SUBSTITUTE(A318,{"0","1","2"},"")))))))), 1)) * ROW(INDIRECT("1:"&amp;LEN((LEFT(A318,SUM(LEN(A318)-LEN(SUBSTITUTE(A318,{"0","1","2"},"")))))))), 0), ROW(INDIRECT("1:"&amp;LEN((LEFT(A318,SUM(LEN(A318)-LEN(SUBSTITUTE(A318,{"0","1","2"},"")))))))))+1, 1) * 10^ROW(INDIRECT("1:"&amp;LEN((LEFT(A318,SUM(LEN(A318)-LEN(SUBSTITUTE(A318,{"0","1","2"},""))))))))/10))*1+1&amp;""&amp;" ,.., "&amp;""&amp;(SUMPRODUCT(MID(0&amp;(--TRIM(RIGHT(SUBSTITUTE(LEFT(A318,_xlfn.AGGREGATE(16,6,FIND({0,1,2,3,4,5,6,7,8,9},A318,ROW(INDIRECT("1:"&amp;LEN(A318)))),1))," ",REPT(" ",LEN(A318))),LEN(A318)))), LARGE(INDEX(ISNUMBER(--MID((--TRIM(RIGHT(SUBSTITUTE(LEFT(A318,_xlfn.AGGREGATE(16,6,FIND({0,1,2,3,4,5,6,7,8,9},A318,ROW(INDIRECT("1:"&amp;LEN(A318)))),1))," ",REPT(" ",LEN(A318))),LEN(A318)))), ROW(INDIRECT("1:"&amp;LEN((--TRIM(RIGHT(SUBSTITUTE(LEFT(A318,_xlfn.AGGREGATE(16,6,FIND({0,1,2,3,4,5,6,7,8,9},A318,ROW(INDIRECT("1:"&amp;LEN(A318)))),1))," ",REPT(" ",LEN(A318))),LEN(A318))))))), 1)) * ROW(INDIRECT("1:"&amp;LEN((--TRIM(RIGHT(SUBSTITUTE(LEFT(A318,_xlfn.AGGREGATE(16,6,FIND({0,1,2,3,4,5,6,7,8,9},A318,ROW(INDIRECT("1:"&amp;LEN(A318)))),1))," ",REPT(" ",LEN(A318))),LEN(A318))))))), 0), ROW(INDIRECT("1:"&amp;LEN((--TRIM(RIGHT(SUBSTITUTE(LEFT(A318,_xlfn.AGGREGATE(16,6,FIND({0,1,2,3,4,5,6,7,8,9},A318,ROW(INDIRECT("1:"&amp;LEN(A318)))),1))," ",REPT(" ",LEN(A318))),LEN(A318))))))))+1, 1) * 10^ROW(INDIRECT("1:"&amp;LEN((--TRIM(RIGHT(SUBSTITUTE(LEFT(A318,_xlfn.AGGREGATE(16,6,FIND({0,1,2,3,4,5,6,7,8,9},A318,ROW(INDIRECT("1:"&amp;LEN(A318)))),1))," ",REPT(" ",LEN(A318))),LEN(A318)))))))/10))*1+1</f>
        <v>304 ,.., 1504</v>
      </c>
      <c r="B319" s="108"/>
      <c r="C319" s="42"/>
      <c r="D319" s="42"/>
      <c r="E319" s="53">
        <v>0</v>
      </c>
      <c r="F319" s="53">
        <f>D319+E319</f>
        <v>0</v>
      </c>
      <c r="G319" s="53">
        <v>0</v>
      </c>
      <c r="H319" s="53">
        <f>F319*(($H$303)+1)+(IF(G319&lt;101,G319,IF(G319&lt;201,G319/2,IF(G319&lt;=301,G319/3,G319/4))))</f>
        <v>0</v>
      </c>
      <c r="I319" s="36"/>
    </row>
    <row r="320" spans="1:20" s="37" customFormat="1" ht="15.75" hidden="1" customHeight="1" x14ac:dyDescent="0.35">
      <c r="A320" s="107" t="str">
        <f ca="1">(SUMPRODUCT(MID(0&amp;(LEFT(A319,SUM(LEN(A319)-LEN(SUBSTITUTE(A319,{"0","1","2"},""))))), LARGE(INDEX(ISNUMBER(--MID((LEFT(A319,SUM(LEN(A319)-LEN(SUBSTITUTE(A319,{"0","1","2"},""))))), ROW(INDIRECT("1:"&amp;LEN((LEFT(A319,SUM(LEN(A319)-LEN(SUBSTITUTE(A319,{"0","1","2"},"")))))))), 1)) * ROW(INDIRECT("1:"&amp;LEN((LEFT(A319,SUM(LEN(A319)-LEN(SUBSTITUTE(A319,{"0","1","2"},"")))))))), 0), ROW(INDIRECT("1:"&amp;LEN((LEFT(A319,SUM(LEN(A319)-LEN(SUBSTITUTE(A319,{"0","1","2"},"")))))))))+1, 1) * 10^ROW(INDIRECT("1:"&amp;LEN((LEFT(A319,SUM(LEN(A319)-LEN(SUBSTITUTE(A319,{"0","1","2"},""))))))))/10))*1+1&amp;""&amp;" ,.., "&amp;""&amp;(SUMPRODUCT(MID(0&amp;(--TRIM(RIGHT(SUBSTITUTE(LEFT(A319,_xlfn.AGGREGATE(16,6,FIND({0,1,2,3,4,5,6,7,8,9},A319,ROW(INDIRECT("1:"&amp;LEN(A319)))),1))," ",REPT(" ",LEN(A319))),LEN(A319)))), LARGE(INDEX(ISNUMBER(--MID((--TRIM(RIGHT(SUBSTITUTE(LEFT(A319,_xlfn.AGGREGATE(16,6,FIND({0,1,2,3,4,5,6,7,8,9},A319,ROW(INDIRECT("1:"&amp;LEN(A319)))),1))," ",REPT(" ",LEN(A319))),LEN(A319)))), ROW(INDIRECT("1:"&amp;LEN((--TRIM(RIGHT(SUBSTITUTE(LEFT(A319,_xlfn.AGGREGATE(16,6,FIND({0,1,2,3,4,5,6,7,8,9},A319,ROW(INDIRECT("1:"&amp;LEN(A319)))),1))," ",REPT(" ",LEN(A319))),LEN(A319))))))), 1)) * ROW(INDIRECT("1:"&amp;LEN((--TRIM(RIGHT(SUBSTITUTE(LEFT(A319,_xlfn.AGGREGATE(16,6,FIND({0,1,2,3,4,5,6,7,8,9},A319,ROW(INDIRECT("1:"&amp;LEN(A319)))),1))," ",REPT(" ",LEN(A319))),LEN(A319))))))), 0), ROW(INDIRECT("1:"&amp;LEN((--TRIM(RIGHT(SUBSTITUTE(LEFT(A319,_xlfn.AGGREGATE(16,6,FIND({0,1,2,3,4,5,6,7,8,9},A319,ROW(INDIRECT("1:"&amp;LEN(A319)))),1))," ",REPT(" ",LEN(A319))),LEN(A319))))))))+1, 1) * 10^ROW(INDIRECT("1:"&amp;LEN((--TRIM(RIGHT(SUBSTITUTE(LEFT(A319,_xlfn.AGGREGATE(16,6,FIND({0,1,2,3,4,5,6,7,8,9},A319,ROW(INDIRECT("1:"&amp;LEN(A319)))),1))," ",REPT(" ",LEN(A319))),LEN(A319)))))))/10))*1+1</f>
        <v>305 ,.., 1505</v>
      </c>
      <c r="B320" s="108"/>
      <c r="C320" s="42"/>
      <c r="D320" s="42"/>
      <c r="E320" s="53">
        <v>0</v>
      </c>
      <c r="F320" s="53">
        <f>D320+E320</f>
        <v>0</v>
      </c>
      <c r="G320" s="53">
        <v>0</v>
      </c>
      <c r="H320" s="53">
        <f>F320*(($H$303)+1)+(IF(G320&lt;101,G320,IF(G320&lt;201,G320/2,IF(G320&lt;=301,G320/3,G320/4))))</f>
        <v>0</v>
      </c>
      <c r="I320" s="36"/>
    </row>
    <row r="321" spans="1:20" s="37" customFormat="1" hidden="1" x14ac:dyDescent="0.35">
      <c r="A321" s="114" t="s">
        <v>145</v>
      </c>
      <c r="B321" s="115"/>
      <c r="C321" s="115"/>
      <c r="D321" s="115"/>
      <c r="E321" s="115"/>
      <c r="F321" s="115"/>
      <c r="G321" s="115"/>
      <c r="H321" s="116"/>
      <c r="I321" s="36"/>
    </row>
    <row r="322" spans="1:20" s="37" customFormat="1" ht="15.75" hidden="1" customHeight="1" x14ac:dyDescent="0.35">
      <c r="A322" s="107" t="str">
        <f ca="1">(SUMPRODUCT(MID(0&amp;(LEFT(A321,SUM(LEN(A321)-LEN(SUBSTITUTE(A321,{"0","1","2"},""))))), LARGE(INDEX(ISNUMBER(--MID((LEFT(A321,SUM(LEN(A321)-LEN(SUBSTITUTE(A321,{"0","1","2"},""))))), ROW(INDIRECT("1:"&amp;LEN((LEFT(A321,SUM(LEN(A321)-LEN(SUBSTITUTE(A321,{"0","1","2"},"")))))))), 1)) * ROW(INDIRECT("1:"&amp;LEN((LEFT(A321,SUM(LEN(A321)-LEN(SUBSTITUTE(A321,{"0","1","2"},"")))))))), 0), ROW(INDIRECT("1:"&amp;LEN((LEFT(A321,SUM(LEN(A321)-LEN(SUBSTITUTE(A321,{"0","1","2"},"")))))))))+1, 1) * 10^ROW(INDIRECT("1:"&amp;LEN((LEFT(A321,SUM(LEN(A321)-LEN(SUBSTITUTE(A321,{"0","1","2"},""))))))))/10))*100+1&amp;""&amp;" to "&amp;""&amp;(SUMPRODUCT(MID(0&amp;(--TRIM(RIGHT(SUBSTITUTE(LEFT(A321,_xlfn.AGGREGATE(16,6,FIND({0,1,2,3,4,5,6,7,8,9},A321,ROW(INDIRECT("1:"&amp;LEN(A321)))),1))," ",REPT(" ",LEN(A321))),LEN(A321)))), LARGE(INDEX(ISNUMBER(--MID((--TRIM(RIGHT(SUBSTITUTE(LEFT(A321,_xlfn.AGGREGATE(16,6,FIND({0,1,2,3,4,5,6,7,8,9},A321,ROW(INDIRECT("1:"&amp;LEN(A321)))),1))," ",REPT(" ",LEN(A321))),LEN(A321)))), ROW(INDIRECT("1:"&amp;LEN((--TRIM(RIGHT(SUBSTITUTE(LEFT(A321,_xlfn.AGGREGATE(16,6,FIND({0,1,2,3,4,5,6,7,8,9},A321,ROW(INDIRECT("1:"&amp;LEN(A321)))),1))," ",REPT(" ",LEN(A321))),LEN(A321))))))), 1)) * ROW(INDIRECT("1:"&amp;LEN((--TRIM(RIGHT(SUBSTITUTE(LEFT(A321,_xlfn.AGGREGATE(16,6,FIND({0,1,2,3,4,5,6,7,8,9},A321,ROW(INDIRECT("1:"&amp;LEN(A321)))),1))," ",REPT(" ",LEN(A321))),LEN(A321))))))), 0), ROW(INDIRECT("1:"&amp;LEN((--TRIM(RIGHT(SUBSTITUTE(LEFT(A321,_xlfn.AGGREGATE(16,6,FIND({0,1,2,3,4,5,6,7,8,9},A321,ROW(INDIRECT("1:"&amp;LEN(A321)))),1))," ",REPT(" ",LEN(A321))),LEN(A321))))))))+1, 1) * 10^ROW(INDIRECT("1:"&amp;LEN((--TRIM(RIGHT(SUBSTITUTE(LEFT(A321,_xlfn.AGGREGATE(16,6,FIND({0,1,2,3,4,5,6,7,8,9},A321,ROW(INDIRECT("1:"&amp;LEN(A321)))),1))," ",REPT(" ",LEN(A321))),LEN(A321)))))))/10))*100+1</f>
        <v>201 to 501</v>
      </c>
      <c r="B322" s="108"/>
      <c r="C322" s="42"/>
      <c r="D322" s="42"/>
      <c r="E322" s="53">
        <v>0</v>
      </c>
      <c r="F322" s="53">
        <f>D322+E322</f>
        <v>0</v>
      </c>
      <c r="G322" s="53">
        <v>0</v>
      </c>
      <c r="H322" s="53">
        <f>F322*(($H$303)+1)+(IF(G322&lt;101,G322,IF(G322&lt;201,G322/2,IF(G322&lt;=301,G322/3,G322/4))))</f>
        <v>0</v>
      </c>
      <c r="I322" s="36"/>
    </row>
    <row r="323" spans="1:20" s="37" customFormat="1" ht="15.75" hidden="1" customHeight="1" x14ac:dyDescent="0.35">
      <c r="A323" s="107" t="str">
        <f ca="1">(SUMPRODUCT(MID(0&amp;(LEFT(A322,SUM(LEN(A322)-LEN(SUBSTITUTE(A322,{"0","1","2"},""))))), LARGE(INDEX(ISNUMBER(--MID((LEFT(A322,SUM(LEN(A322)-LEN(SUBSTITUTE(A322,{"0","1","2"},""))))), ROW(INDIRECT("1:"&amp;LEN((LEFT(A322,SUM(LEN(A322)-LEN(SUBSTITUTE(A322,{"0","1","2"},"")))))))), 1)) * ROW(INDIRECT("1:"&amp;LEN((LEFT(A322,SUM(LEN(A322)-LEN(SUBSTITUTE(A322,{"0","1","2"},"")))))))), 0), ROW(INDIRECT("1:"&amp;LEN((LEFT(A322,SUM(LEN(A322)-LEN(SUBSTITUTE(A322,{"0","1","2"},"")))))))))+1, 1) * 10^ROW(INDIRECT("1:"&amp;LEN((LEFT(A322,SUM(LEN(A322)-LEN(SUBSTITUTE(A322,{"0","1","2"},""))))))))/10))*1+1&amp;""&amp;" to "&amp;""&amp;(SUMPRODUCT(MID(0&amp;(--TRIM(RIGHT(SUBSTITUTE(LEFT(A322,_xlfn.AGGREGATE(16,6,FIND({0,1,2,3,4,5,6,7,8,9},A322,ROW(INDIRECT("1:"&amp;LEN(A322)))),1))," ",REPT(" ",LEN(A322))),LEN(A322)))), LARGE(INDEX(ISNUMBER(--MID((--TRIM(RIGHT(SUBSTITUTE(LEFT(A322,_xlfn.AGGREGATE(16,6,FIND({0,1,2,3,4,5,6,7,8,9},A322,ROW(INDIRECT("1:"&amp;LEN(A322)))),1))," ",REPT(" ",LEN(A322))),LEN(A322)))), ROW(INDIRECT("1:"&amp;LEN((--TRIM(RIGHT(SUBSTITUTE(LEFT(A322,_xlfn.AGGREGATE(16,6,FIND({0,1,2,3,4,5,6,7,8,9},A322,ROW(INDIRECT("1:"&amp;LEN(A322)))),1))," ",REPT(" ",LEN(A322))),LEN(A322))))))), 1)) * ROW(INDIRECT("1:"&amp;LEN((--TRIM(RIGHT(SUBSTITUTE(LEFT(A322,_xlfn.AGGREGATE(16,6,FIND({0,1,2,3,4,5,6,7,8,9},A322,ROW(INDIRECT("1:"&amp;LEN(A322)))),1))," ",REPT(" ",LEN(A322))),LEN(A322))))))), 0), ROW(INDIRECT("1:"&amp;LEN((--TRIM(RIGHT(SUBSTITUTE(LEFT(A322,_xlfn.AGGREGATE(16,6,FIND({0,1,2,3,4,5,6,7,8,9},A322,ROW(INDIRECT("1:"&amp;LEN(A322)))),1))," ",REPT(" ",LEN(A322))),LEN(A322))))))))+1, 1) * 10^ROW(INDIRECT("1:"&amp;LEN((--TRIM(RIGHT(SUBSTITUTE(LEFT(A322,_xlfn.AGGREGATE(16,6,FIND({0,1,2,3,4,5,6,7,8,9},A322,ROW(INDIRECT("1:"&amp;LEN(A322)))),1))," ",REPT(" ",LEN(A322))),LEN(A322)))))))/10))*1+1</f>
        <v>202 to 502</v>
      </c>
      <c r="B323" s="108"/>
      <c r="C323" s="42"/>
      <c r="D323" s="42"/>
      <c r="E323" s="53">
        <v>0</v>
      </c>
      <c r="F323" s="53">
        <f>D323+E323</f>
        <v>0</v>
      </c>
      <c r="G323" s="53">
        <v>0</v>
      </c>
      <c r="H323" s="53">
        <f>F323*(($H$303)+1)+(IF(G323&lt;101,G323,IF(G323&lt;201,G323/2,IF(G323&lt;=301,G323/3,G323/4))))</f>
        <v>0</v>
      </c>
      <c r="I323" s="36"/>
    </row>
    <row r="324" spans="1:20" s="37" customFormat="1" ht="15.75" hidden="1" customHeight="1" x14ac:dyDescent="0.35">
      <c r="A324" s="107" t="str">
        <f ca="1">(SUMPRODUCT(MID(0&amp;(LEFT(A323,SUM(LEN(A323)-LEN(SUBSTITUTE(A323,{"0","1","2"},""))))), LARGE(INDEX(ISNUMBER(--MID((LEFT(A323,SUM(LEN(A323)-LEN(SUBSTITUTE(A323,{"0","1","2"},""))))), ROW(INDIRECT("1:"&amp;LEN((LEFT(A323,SUM(LEN(A323)-LEN(SUBSTITUTE(A323,{"0","1","2"},"")))))))), 1)) * ROW(INDIRECT("1:"&amp;LEN((LEFT(A323,SUM(LEN(A323)-LEN(SUBSTITUTE(A323,{"0","1","2"},"")))))))), 0), ROW(INDIRECT("1:"&amp;LEN((LEFT(A323,SUM(LEN(A323)-LEN(SUBSTITUTE(A323,{"0","1","2"},"")))))))))+1, 1) * 10^ROW(INDIRECT("1:"&amp;LEN((LEFT(A323,SUM(LEN(A323)-LEN(SUBSTITUTE(A323,{"0","1","2"},""))))))))/10))*1+1&amp;""&amp;" to "&amp;""&amp;(SUMPRODUCT(MID(0&amp;(--TRIM(RIGHT(SUBSTITUTE(LEFT(A323,_xlfn.AGGREGATE(16,6,FIND({0,1,2,3,4,5,6,7,8,9},A323,ROW(INDIRECT("1:"&amp;LEN(A323)))),1))," ",REPT(" ",LEN(A323))),LEN(A323)))), LARGE(INDEX(ISNUMBER(--MID((--TRIM(RIGHT(SUBSTITUTE(LEFT(A323,_xlfn.AGGREGATE(16,6,FIND({0,1,2,3,4,5,6,7,8,9},A323,ROW(INDIRECT("1:"&amp;LEN(A323)))),1))," ",REPT(" ",LEN(A323))),LEN(A323)))), ROW(INDIRECT("1:"&amp;LEN((--TRIM(RIGHT(SUBSTITUTE(LEFT(A323,_xlfn.AGGREGATE(16,6,FIND({0,1,2,3,4,5,6,7,8,9},A323,ROW(INDIRECT("1:"&amp;LEN(A323)))),1))," ",REPT(" ",LEN(A323))),LEN(A323))))))), 1)) * ROW(INDIRECT("1:"&amp;LEN((--TRIM(RIGHT(SUBSTITUTE(LEFT(A323,_xlfn.AGGREGATE(16,6,FIND({0,1,2,3,4,5,6,7,8,9},A323,ROW(INDIRECT("1:"&amp;LEN(A323)))),1))," ",REPT(" ",LEN(A323))),LEN(A323))))))), 0), ROW(INDIRECT("1:"&amp;LEN((--TRIM(RIGHT(SUBSTITUTE(LEFT(A323,_xlfn.AGGREGATE(16,6,FIND({0,1,2,3,4,5,6,7,8,9},A323,ROW(INDIRECT("1:"&amp;LEN(A323)))),1))," ",REPT(" ",LEN(A323))),LEN(A323))))))))+1, 1) * 10^ROW(INDIRECT("1:"&amp;LEN((--TRIM(RIGHT(SUBSTITUTE(LEFT(A323,_xlfn.AGGREGATE(16,6,FIND({0,1,2,3,4,5,6,7,8,9},A323,ROW(INDIRECT("1:"&amp;LEN(A323)))),1))," ",REPT(" ",LEN(A323))),LEN(A323)))))))/10))*1+1</f>
        <v>203 to 503</v>
      </c>
      <c r="B324" s="108"/>
      <c r="C324" s="42"/>
      <c r="D324" s="42"/>
      <c r="E324" s="53">
        <v>0</v>
      </c>
      <c r="F324" s="53">
        <f>D324+E324</f>
        <v>0</v>
      </c>
      <c r="G324" s="53">
        <v>0</v>
      </c>
      <c r="H324" s="53">
        <f>F324*(($H$303)+1)+(IF(G324&lt;101,G324,IF(G324&lt;201,G324/2,IF(G324&lt;=301,G324/3,G324/4))))</f>
        <v>0</v>
      </c>
      <c r="I324" s="36"/>
    </row>
    <row r="325" spans="1:20" s="37" customFormat="1" ht="15.75" hidden="1" customHeight="1" x14ac:dyDescent="0.35">
      <c r="A325" s="107" t="str">
        <f ca="1">(SUMPRODUCT(MID(0&amp;(LEFT(A324,SUM(LEN(A324)-LEN(SUBSTITUTE(A324,{"0","1","2"},""))))), LARGE(INDEX(ISNUMBER(--MID((LEFT(A324,SUM(LEN(A324)-LEN(SUBSTITUTE(A324,{"0","1","2"},""))))), ROW(INDIRECT("1:"&amp;LEN((LEFT(A324,SUM(LEN(A324)-LEN(SUBSTITUTE(A324,{"0","1","2"},"")))))))), 1)) * ROW(INDIRECT("1:"&amp;LEN((LEFT(A324,SUM(LEN(A324)-LEN(SUBSTITUTE(A324,{"0","1","2"},"")))))))), 0), ROW(INDIRECT("1:"&amp;LEN((LEFT(A324,SUM(LEN(A324)-LEN(SUBSTITUTE(A324,{"0","1","2"},"")))))))))+1, 1) * 10^ROW(INDIRECT("1:"&amp;LEN((LEFT(A324,SUM(LEN(A324)-LEN(SUBSTITUTE(A324,{"0","1","2"},""))))))))/10))*1+1&amp;""&amp;" to "&amp;""&amp;(SUMPRODUCT(MID(0&amp;(--TRIM(RIGHT(SUBSTITUTE(LEFT(A324,_xlfn.AGGREGATE(16,6,FIND({0,1,2,3,4,5,6,7,8,9},A324,ROW(INDIRECT("1:"&amp;LEN(A324)))),1))," ",REPT(" ",LEN(A324))),LEN(A324)))), LARGE(INDEX(ISNUMBER(--MID((--TRIM(RIGHT(SUBSTITUTE(LEFT(A324,_xlfn.AGGREGATE(16,6,FIND({0,1,2,3,4,5,6,7,8,9},A324,ROW(INDIRECT("1:"&amp;LEN(A324)))),1))," ",REPT(" ",LEN(A324))),LEN(A324)))), ROW(INDIRECT("1:"&amp;LEN((--TRIM(RIGHT(SUBSTITUTE(LEFT(A324,_xlfn.AGGREGATE(16,6,FIND({0,1,2,3,4,5,6,7,8,9},A324,ROW(INDIRECT("1:"&amp;LEN(A324)))),1))," ",REPT(" ",LEN(A324))),LEN(A324))))))), 1)) * ROW(INDIRECT("1:"&amp;LEN((--TRIM(RIGHT(SUBSTITUTE(LEFT(A324,_xlfn.AGGREGATE(16,6,FIND({0,1,2,3,4,5,6,7,8,9},A324,ROW(INDIRECT("1:"&amp;LEN(A324)))),1))," ",REPT(" ",LEN(A324))),LEN(A324))))))), 0), ROW(INDIRECT("1:"&amp;LEN((--TRIM(RIGHT(SUBSTITUTE(LEFT(A324,_xlfn.AGGREGATE(16,6,FIND({0,1,2,3,4,5,6,7,8,9},A324,ROW(INDIRECT("1:"&amp;LEN(A324)))),1))," ",REPT(" ",LEN(A324))),LEN(A324))))))))+1, 1) * 10^ROW(INDIRECT("1:"&amp;LEN((--TRIM(RIGHT(SUBSTITUTE(LEFT(A324,_xlfn.AGGREGATE(16,6,FIND({0,1,2,3,4,5,6,7,8,9},A324,ROW(INDIRECT("1:"&amp;LEN(A324)))),1))," ",REPT(" ",LEN(A324))),LEN(A324)))))))/10))*1+1</f>
        <v>204 to 504</v>
      </c>
      <c r="B325" s="108"/>
      <c r="C325" s="42"/>
      <c r="D325" s="42"/>
      <c r="E325" s="53">
        <v>0</v>
      </c>
      <c r="F325" s="53">
        <f>D325+E325</f>
        <v>0</v>
      </c>
      <c r="G325" s="53">
        <v>0</v>
      </c>
      <c r="H325" s="53">
        <f>F325*(($H$303)+1)+(IF(G325&lt;101,G325,IF(G325&lt;201,G325/2,IF(G325&lt;=301,G325/3,G325/4))))</f>
        <v>0</v>
      </c>
      <c r="I325" s="36"/>
    </row>
    <row r="326" spans="1:20" s="37" customFormat="1" ht="15.75" hidden="1" customHeight="1" x14ac:dyDescent="0.35">
      <c r="A326" s="107" t="str">
        <f ca="1">(SUMPRODUCT(MID(0&amp;(LEFT(A325,SUM(LEN(A325)-LEN(SUBSTITUTE(A325,{"0","1","2"},""))))), LARGE(INDEX(ISNUMBER(--MID((LEFT(A325,SUM(LEN(A325)-LEN(SUBSTITUTE(A325,{"0","1","2"},""))))), ROW(INDIRECT("1:"&amp;LEN((LEFT(A325,SUM(LEN(A325)-LEN(SUBSTITUTE(A325,{"0","1","2"},"")))))))), 1)) * ROW(INDIRECT("1:"&amp;LEN((LEFT(A325,SUM(LEN(A325)-LEN(SUBSTITUTE(A325,{"0","1","2"},"")))))))), 0), ROW(INDIRECT("1:"&amp;LEN((LEFT(A325,SUM(LEN(A325)-LEN(SUBSTITUTE(A325,{"0","1","2"},"")))))))))+1, 1) * 10^ROW(INDIRECT("1:"&amp;LEN((LEFT(A325,SUM(LEN(A325)-LEN(SUBSTITUTE(A325,{"0","1","2"},""))))))))/10))*1+1&amp;""&amp;" to "&amp;""&amp;(SUMPRODUCT(MID(0&amp;(--TRIM(RIGHT(SUBSTITUTE(LEFT(A325,_xlfn.AGGREGATE(16,6,FIND({0,1,2,3,4,5,6,7,8,9},A325,ROW(INDIRECT("1:"&amp;LEN(A325)))),1))," ",REPT(" ",LEN(A325))),LEN(A325)))), LARGE(INDEX(ISNUMBER(--MID((--TRIM(RIGHT(SUBSTITUTE(LEFT(A325,_xlfn.AGGREGATE(16,6,FIND({0,1,2,3,4,5,6,7,8,9},A325,ROW(INDIRECT("1:"&amp;LEN(A325)))),1))," ",REPT(" ",LEN(A325))),LEN(A325)))), ROW(INDIRECT("1:"&amp;LEN((--TRIM(RIGHT(SUBSTITUTE(LEFT(A325,_xlfn.AGGREGATE(16,6,FIND({0,1,2,3,4,5,6,7,8,9},A325,ROW(INDIRECT("1:"&amp;LEN(A325)))),1))," ",REPT(" ",LEN(A325))),LEN(A325))))))), 1)) * ROW(INDIRECT("1:"&amp;LEN((--TRIM(RIGHT(SUBSTITUTE(LEFT(A325,_xlfn.AGGREGATE(16,6,FIND({0,1,2,3,4,5,6,7,8,9},A325,ROW(INDIRECT("1:"&amp;LEN(A325)))),1))," ",REPT(" ",LEN(A325))),LEN(A325))))))), 0), ROW(INDIRECT("1:"&amp;LEN((--TRIM(RIGHT(SUBSTITUTE(LEFT(A325,_xlfn.AGGREGATE(16,6,FIND({0,1,2,3,4,5,6,7,8,9},A325,ROW(INDIRECT("1:"&amp;LEN(A325)))),1))," ",REPT(" ",LEN(A325))),LEN(A325))))))))+1, 1) * 10^ROW(INDIRECT("1:"&amp;LEN((--TRIM(RIGHT(SUBSTITUTE(LEFT(A325,_xlfn.AGGREGATE(16,6,FIND({0,1,2,3,4,5,6,7,8,9},A325,ROW(INDIRECT("1:"&amp;LEN(A325)))),1))," ",REPT(" ",LEN(A325))),LEN(A325)))))))/10))*1+1</f>
        <v>205 to 505</v>
      </c>
      <c r="B326" s="108"/>
      <c r="C326" s="42"/>
      <c r="D326" s="42"/>
      <c r="E326" s="53">
        <v>0</v>
      </c>
      <c r="F326" s="53">
        <f>D326+E326</f>
        <v>0</v>
      </c>
      <c r="G326" s="53">
        <v>0</v>
      </c>
      <c r="H326" s="53">
        <f>F326*(($H$303)+1)+(IF(G326&lt;101,G326,IF(G326&lt;201,G326/2,IF(G326&lt;=301,G326/3,G326/4))))</f>
        <v>0</v>
      </c>
      <c r="I326" s="36"/>
    </row>
    <row r="327" spans="1:20" s="37" customFormat="1" hidden="1" x14ac:dyDescent="0.35">
      <c r="A327" s="114" t="s">
        <v>146</v>
      </c>
      <c r="B327" s="115"/>
      <c r="C327" s="115"/>
      <c r="D327" s="115"/>
      <c r="E327" s="115"/>
      <c r="F327" s="115"/>
      <c r="G327" s="115"/>
      <c r="H327" s="116"/>
      <c r="I327" s="36"/>
    </row>
    <row r="328" spans="1:20" s="37" customFormat="1" ht="15.75" hidden="1" customHeight="1" x14ac:dyDescent="0.35">
      <c r="A328" s="107" t="str">
        <f ca="1">(SUMPRODUCT(MID(0&amp;(LEFT(A327,SUM(LEN(A327)-LEN(SUBSTITUTE(A327,{"0","1","2"},""))))), LARGE(INDEX(ISNUMBER(--MID((LEFT(A327,SUM(LEN(A327)-LEN(SUBSTITUTE(A327,{"0","1","2"},""))))), ROW(INDIRECT("1:"&amp;LEN((LEFT(A327,SUM(LEN(A327)-LEN(SUBSTITUTE(A327,{"0","1","2"},"")))))))), 1)) * ROW(INDIRECT("1:"&amp;LEN((LEFT(A327,SUM(LEN(A327)-LEN(SUBSTITUTE(A327,{"0","1","2"},"")))))))), 0), ROW(INDIRECT("1:"&amp;LEN((LEFT(A327,SUM(LEN(A327)-LEN(SUBSTITUTE(A327,{"0","1","2"},"")))))))))+1, 1) * 10^ROW(INDIRECT("1:"&amp;LEN((LEFT(A327,SUM(LEN(A327)-LEN(SUBSTITUTE(A327,{"0","1","2"},""))))))))/10))*100+1&amp;""&amp;" &amp; "&amp;""&amp;(SUMPRODUCT(MID(0&amp;(--TRIM(RIGHT(SUBSTITUTE(LEFT(A327,_xlfn.AGGREGATE(16,6,FIND({0,1,2,3,4,5,6,7,8,9},A327,ROW(INDIRECT("1:"&amp;LEN(A327)))),1))," ",REPT(" ",LEN(A327))),LEN(A327)))), LARGE(INDEX(ISNUMBER(--MID((--TRIM(RIGHT(SUBSTITUTE(LEFT(A327,_xlfn.AGGREGATE(16,6,FIND({0,1,2,3,4,5,6,7,8,9},A327,ROW(INDIRECT("1:"&amp;LEN(A327)))),1))," ",REPT(" ",LEN(A327))),LEN(A327)))), ROW(INDIRECT("1:"&amp;LEN((--TRIM(RIGHT(SUBSTITUTE(LEFT(A327,_xlfn.AGGREGATE(16,6,FIND({0,1,2,3,4,5,6,7,8,9},A327,ROW(INDIRECT("1:"&amp;LEN(A327)))),1))," ",REPT(" ",LEN(A327))),LEN(A327))))))), 1)) * ROW(INDIRECT("1:"&amp;LEN((--TRIM(RIGHT(SUBSTITUTE(LEFT(A327,_xlfn.AGGREGATE(16,6,FIND({0,1,2,3,4,5,6,7,8,9},A327,ROW(INDIRECT("1:"&amp;LEN(A327)))),1))," ",REPT(" ",LEN(A327))),LEN(A327))))))), 0), ROW(INDIRECT("1:"&amp;LEN((--TRIM(RIGHT(SUBSTITUTE(LEFT(A327,_xlfn.AGGREGATE(16,6,FIND({0,1,2,3,4,5,6,7,8,9},A327,ROW(INDIRECT("1:"&amp;LEN(A327)))),1))," ",REPT(" ",LEN(A327))),LEN(A327))))))))+1, 1) * 10^ROW(INDIRECT("1:"&amp;LEN((--TRIM(RIGHT(SUBSTITUTE(LEFT(A327,_xlfn.AGGREGATE(16,6,FIND({0,1,2,3,4,5,6,7,8,9},A327,ROW(INDIRECT("1:"&amp;LEN(A327)))),1))," ",REPT(" ",LEN(A327))),LEN(A327)))))))/10))*100+1</f>
        <v>201 &amp; 501</v>
      </c>
      <c r="B328" s="108"/>
      <c r="C328" s="42"/>
      <c r="D328" s="42"/>
      <c r="E328" s="53">
        <v>0</v>
      </c>
      <c r="F328" s="53">
        <f>D328+E328</f>
        <v>0</v>
      </c>
      <c r="G328" s="53">
        <v>0</v>
      </c>
      <c r="H328" s="53">
        <f>F328*(($H$303)+1)+(IF(G328&lt;101,G328,IF(G328&lt;201,G328/2,IF(G328&lt;=301,G328/3,G328/4))))</f>
        <v>0</v>
      </c>
      <c r="I328" s="36"/>
    </row>
    <row r="329" spans="1:20" s="37" customFormat="1" ht="15.75" hidden="1" customHeight="1" x14ac:dyDescent="0.35">
      <c r="A329" s="107" t="str">
        <f ca="1">(SUMPRODUCT(MID(0&amp;(LEFT(A328,SUM(LEN(A328)-LEN(SUBSTITUTE(A328,{"0","1","2"},""))))), LARGE(INDEX(ISNUMBER(--MID((LEFT(A328,SUM(LEN(A328)-LEN(SUBSTITUTE(A328,{"0","1","2"},""))))), ROW(INDIRECT("1:"&amp;LEN((LEFT(A328,SUM(LEN(A328)-LEN(SUBSTITUTE(A328,{"0","1","2"},"")))))))), 1)) * ROW(INDIRECT("1:"&amp;LEN((LEFT(A328,SUM(LEN(A328)-LEN(SUBSTITUTE(A328,{"0","1","2"},"")))))))), 0), ROW(INDIRECT("1:"&amp;LEN((LEFT(A328,SUM(LEN(A328)-LEN(SUBSTITUTE(A328,{"0","1","2"},"")))))))))+1, 1) * 10^ROW(INDIRECT("1:"&amp;LEN((LEFT(A328,SUM(LEN(A328)-LEN(SUBSTITUTE(A328,{"0","1","2"},""))))))))/10))*1+1&amp;""&amp;" &amp; "&amp;""&amp;(SUMPRODUCT(MID(0&amp;(--TRIM(RIGHT(SUBSTITUTE(LEFT(A328,_xlfn.AGGREGATE(16,6,FIND({0,1,2,3,4,5,6,7,8,9},A328,ROW(INDIRECT("1:"&amp;LEN(A328)))),1))," ",REPT(" ",LEN(A328))),LEN(A328)))), LARGE(INDEX(ISNUMBER(--MID((--TRIM(RIGHT(SUBSTITUTE(LEFT(A328,_xlfn.AGGREGATE(16,6,FIND({0,1,2,3,4,5,6,7,8,9},A328,ROW(INDIRECT("1:"&amp;LEN(A328)))),1))," ",REPT(" ",LEN(A328))),LEN(A328)))), ROW(INDIRECT("1:"&amp;LEN((--TRIM(RIGHT(SUBSTITUTE(LEFT(A328,_xlfn.AGGREGATE(16,6,FIND({0,1,2,3,4,5,6,7,8,9},A328,ROW(INDIRECT("1:"&amp;LEN(A328)))),1))," ",REPT(" ",LEN(A328))),LEN(A328))))))), 1)) * ROW(INDIRECT("1:"&amp;LEN((--TRIM(RIGHT(SUBSTITUTE(LEFT(A328,_xlfn.AGGREGATE(16,6,FIND({0,1,2,3,4,5,6,7,8,9},A328,ROW(INDIRECT("1:"&amp;LEN(A328)))),1))," ",REPT(" ",LEN(A328))),LEN(A328))))))), 0), ROW(INDIRECT("1:"&amp;LEN((--TRIM(RIGHT(SUBSTITUTE(LEFT(A328,_xlfn.AGGREGATE(16,6,FIND({0,1,2,3,4,5,6,7,8,9},A328,ROW(INDIRECT("1:"&amp;LEN(A328)))),1))," ",REPT(" ",LEN(A328))),LEN(A328))))))))+1, 1) * 10^ROW(INDIRECT("1:"&amp;LEN((--TRIM(RIGHT(SUBSTITUTE(LEFT(A328,_xlfn.AGGREGATE(16,6,FIND({0,1,2,3,4,5,6,7,8,9},A328,ROW(INDIRECT("1:"&amp;LEN(A328)))),1))," ",REPT(" ",LEN(A328))),LEN(A328)))))))/10))*1+1</f>
        <v>202 &amp; 502</v>
      </c>
      <c r="B329" s="108"/>
      <c r="C329" s="42"/>
      <c r="D329" s="42"/>
      <c r="E329" s="53">
        <v>0</v>
      </c>
      <c r="F329" s="53">
        <f>D329+E329</f>
        <v>0</v>
      </c>
      <c r="G329" s="53">
        <v>0</v>
      </c>
      <c r="H329" s="53">
        <f>F329*(($H$303)+1)+(IF(G329&lt;101,G329,IF(G329&lt;201,G329/2,IF(G329&lt;=301,G329/3,G329/4))))</f>
        <v>0</v>
      </c>
      <c r="I329" s="36"/>
    </row>
    <row r="330" spans="1:20" s="37" customFormat="1" ht="15.75" hidden="1" customHeight="1" x14ac:dyDescent="0.35">
      <c r="A330" s="107" t="str">
        <f ca="1">(SUMPRODUCT(MID(0&amp;(LEFT(A329,SUM(LEN(A329)-LEN(SUBSTITUTE(A329,{"0","1","2"},""))))), LARGE(INDEX(ISNUMBER(--MID((LEFT(A329,SUM(LEN(A329)-LEN(SUBSTITUTE(A329,{"0","1","2"},""))))), ROW(INDIRECT("1:"&amp;LEN((LEFT(A329,SUM(LEN(A329)-LEN(SUBSTITUTE(A329,{"0","1","2"},"")))))))), 1)) * ROW(INDIRECT("1:"&amp;LEN((LEFT(A329,SUM(LEN(A329)-LEN(SUBSTITUTE(A329,{"0","1","2"},"")))))))), 0), ROW(INDIRECT("1:"&amp;LEN((LEFT(A329,SUM(LEN(A329)-LEN(SUBSTITUTE(A329,{"0","1","2"},"")))))))))+1, 1) * 10^ROW(INDIRECT("1:"&amp;LEN((LEFT(A329,SUM(LEN(A329)-LEN(SUBSTITUTE(A329,{"0","1","2"},""))))))))/10))*1+1&amp;""&amp;" &amp; "&amp;""&amp;(SUMPRODUCT(MID(0&amp;(--TRIM(RIGHT(SUBSTITUTE(LEFT(A329,_xlfn.AGGREGATE(16,6,FIND({0,1,2,3,4,5,6,7,8,9},A329,ROW(INDIRECT("1:"&amp;LEN(A329)))),1))," ",REPT(" ",LEN(A329))),LEN(A329)))), LARGE(INDEX(ISNUMBER(--MID((--TRIM(RIGHT(SUBSTITUTE(LEFT(A329,_xlfn.AGGREGATE(16,6,FIND({0,1,2,3,4,5,6,7,8,9},A329,ROW(INDIRECT("1:"&amp;LEN(A329)))),1))," ",REPT(" ",LEN(A329))),LEN(A329)))), ROW(INDIRECT("1:"&amp;LEN((--TRIM(RIGHT(SUBSTITUTE(LEFT(A329,_xlfn.AGGREGATE(16,6,FIND({0,1,2,3,4,5,6,7,8,9},A329,ROW(INDIRECT("1:"&amp;LEN(A329)))),1))," ",REPT(" ",LEN(A329))),LEN(A329))))))), 1)) * ROW(INDIRECT("1:"&amp;LEN((--TRIM(RIGHT(SUBSTITUTE(LEFT(A329,_xlfn.AGGREGATE(16,6,FIND({0,1,2,3,4,5,6,7,8,9},A329,ROW(INDIRECT("1:"&amp;LEN(A329)))),1))," ",REPT(" ",LEN(A329))),LEN(A329))))))), 0), ROW(INDIRECT("1:"&amp;LEN((--TRIM(RIGHT(SUBSTITUTE(LEFT(A329,_xlfn.AGGREGATE(16,6,FIND({0,1,2,3,4,5,6,7,8,9},A329,ROW(INDIRECT("1:"&amp;LEN(A329)))),1))," ",REPT(" ",LEN(A329))),LEN(A329))))))))+1, 1) * 10^ROW(INDIRECT("1:"&amp;LEN((--TRIM(RIGHT(SUBSTITUTE(LEFT(A329,_xlfn.AGGREGATE(16,6,FIND({0,1,2,3,4,5,6,7,8,9},A329,ROW(INDIRECT("1:"&amp;LEN(A329)))),1))," ",REPT(" ",LEN(A329))),LEN(A329)))))))/10))*1+1</f>
        <v>203 &amp; 503</v>
      </c>
      <c r="B330" s="108"/>
      <c r="C330" s="42"/>
      <c r="D330" s="42"/>
      <c r="E330" s="53">
        <v>0</v>
      </c>
      <c r="F330" s="53">
        <f>D330+E330</f>
        <v>0</v>
      </c>
      <c r="G330" s="53">
        <v>0</v>
      </c>
      <c r="H330" s="53">
        <f>F330*(($H$303)+1)+(IF(G330&lt;101,G330,IF(G330&lt;201,G330/2,IF(G330&lt;=301,G330/3,G330/4))))</f>
        <v>0</v>
      </c>
      <c r="I330" s="36"/>
    </row>
    <row r="331" spans="1:20" s="37" customFormat="1" ht="15.75" hidden="1" customHeight="1" x14ac:dyDescent="0.35">
      <c r="A331" s="107" t="str">
        <f ca="1">(SUMPRODUCT(MID(0&amp;(LEFT(A330,SUM(LEN(A330)-LEN(SUBSTITUTE(A330,{"0","1","2"},""))))), LARGE(INDEX(ISNUMBER(--MID((LEFT(A330,SUM(LEN(A330)-LEN(SUBSTITUTE(A330,{"0","1","2"},""))))), ROW(INDIRECT("1:"&amp;LEN((LEFT(A330,SUM(LEN(A330)-LEN(SUBSTITUTE(A330,{"0","1","2"},"")))))))), 1)) * ROW(INDIRECT("1:"&amp;LEN((LEFT(A330,SUM(LEN(A330)-LEN(SUBSTITUTE(A330,{"0","1","2"},"")))))))), 0), ROW(INDIRECT("1:"&amp;LEN((LEFT(A330,SUM(LEN(A330)-LEN(SUBSTITUTE(A330,{"0","1","2"},"")))))))))+1, 1) * 10^ROW(INDIRECT("1:"&amp;LEN((LEFT(A330,SUM(LEN(A330)-LEN(SUBSTITUTE(A330,{"0","1","2"},""))))))))/10))*1+1&amp;""&amp;" &amp; "&amp;""&amp;(SUMPRODUCT(MID(0&amp;(--TRIM(RIGHT(SUBSTITUTE(LEFT(A330,_xlfn.AGGREGATE(16,6,FIND({0,1,2,3,4,5,6,7,8,9},A330,ROW(INDIRECT("1:"&amp;LEN(A330)))),1))," ",REPT(" ",LEN(A330))),LEN(A330)))), LARGE(INDEX(ISNUMBER(--MID((--TRIM(RIGHT(SUBSTITUTE(LEFT(A330,_xlfn.AGGREGATE(16,6,FIND({0,1,2,3,4,5,6,7,8,9},A330,ROW(INDIRECT("1:"&amp;LEN(A330)))),1))," ",REPT(" ",LEN(A330))),LEN(A330)))), ROW(INDIRECT("1:"&amp;LEN((--TRIM(RIGHT(SUBSTITUTE(LEFT(A330,_xlfn.AGGREGATE(16,6,FIND({0,1,2,3,4,5,6,7,8,9},A330,ROW(INDIRECT("1:"&amp;LEN(A330)))),1))," ",REPT(" ",LEN(A330))),LEN(A330))))))), 1)) * ROW(INDIRECT("1:"&amp;LEN((--TRIM(RIGHT(SUBSTITUTE(LEFT(A330,_xlfn.AGGREGATE(16,6,FIND({0,1,2,3,4,5,6,7,8,9},A330,ROW(INDIRECT("1:"&amp;LEN(A330)))),1))," ",REPT(" ",LEN(A330))),LEN(A330))))))), 0), ROW(INDIRECT("1:"&amp;LEN((--TRIM(RIGHT(SUBSTITUTE(LEFT(A330,_xlfn.AGGREGATE(16,6,FIND({0,1,2,3,4,5,6,7,8,9},A330,ROW(INDIRECT("1:"&amp;LEN(A330)))),1))," ",REPT(" ",LEN(A330))),LEN(A330))))))))+1, 1) * 10^ROW(INDIRECT("1:"&amp;LEN((--TRIM(RIGHT(SUBSTITUTE(LEFT(A330,_xlfn.AGGREGATE(16,6,FIND({0,1,2,3,4,5,6,7,8,9},A330,ROW(INDIRECT("1:"&amp;LEN(A330)))),1))," ",REPT(" ",LEN(A330))),LEN(A330)))))))/10))*1+1</f>
        <v>204 &amp; 504</v>
      </c>
      <c r="B331" s="108"/>
      <c r="C331" s="42"/>
      <c r="D331" s="42"/>
      <c r="E331" s="53">
        <v>0</v>
      </c>
      <c r="F331" s="53">
        <f>D331+E331</f>
        <v>0</v>
      </c>
      <c r="G331" s="53">
        <v>0</v>
      </c>
      <c r="H331" s="53">
        <f>F331*(($H$303)+1)+(IF(G331&lt;101,G331,IF(G331&lt;201,G331/2,IF(G331&lt;=301,G331/3,G331/4))))</f>
        <v>0</v>
      </c>
      <c r="I331" s="36"/>
    </row>
    <row r="332" spans="1:20" s="37" customFormat="1" ht="15.75" hidden="1" customHeight="1" x14ac:dyDescent="0.35">
      <c r="A332" s="107" t="str">
        <f ca="1">(SUMPRODUCT(MID(0&amp;(LEFT(A331,SUM(LEN(A331)-LEN(SUBSTITUTE(A331,{"0","1","2"},""))))), LARGE(INDEX(ISNUMBER(--MID((LEFT(A331,SUM(LEN(A331)-LEN(SUBSTITUTE(A331,{"0","1","2"},""))))), ROW(INDIRECT("1:"&amp;LEN((LEFT(A331,SUM(LEN(A331)-LEN(SUBSTITUTE(A331,{"0","1","2"},"")))))))), 1)) * ROW(INDIRECT("1:"&amp;LEN((LEFT(A331,SUM(LEN(A331)-LEN(SUBSTITUTE(A331,{"0","1","2"},"")))))))), 0), ROW(INDIRECT("1:"&amp;LEN((LEFT(A331,SUM(LEN(A331)-LEN(SUBSTITUTE(A331,{"0","1","2"},"")))))))))+1, 1) * 10^ROW(INDIRECT("1:"&amp;LEN((LEFT(A331,SUM(LEN(A331)-LEN(SUBSTITUTE(A331,{"0","1","2"},""))))))))/10))*1+1&amp;""&amp;" &amp; "&amp;""&amp;(SUMPRODUCT(MID(0&amp;(--TRIM(RIGHT(SUBSTITUTE(LEFT(A331,_xlfn.AGGREGATE(16,6,FIND({0,1,2,3,4,5,6,7,8,9},A331,ROW(INDIRECT("1:"&amp;LEN(A331)))),1))," ",REPT(" ",LEN(A331))),LEN(A331)))), LARGE(INDEX(ISNUMBER(--MID((--TRIM(RIGHT(SUBSTITUTE(LEFT(A331,_xlfn.AGGREGATE(16,6,FIND({0,1,2,3,4,5,6,7,8,9},A331,ROW(INDIRECT("1:"&amp;LEN(A331)))),1))," ",REPT(" ",LEN(A331))),LEN(A331)))), ROW(INDIRECT("1:"&amp;LEN((--TRIM(RIGHT(SUBSTITUTE(LEFT(A331,_xlfn.AGGREGATE(16,6,FIND({0,1,2,3,4,5,6,7,8,9},A331,ROW(INDIRECT("1:"&amp;LEN(A331)))),1))," ",REPT(" ",LEN(A331))),LEN(A331))))))), 1)) * ROW(INDIRECT("1:"&amp;LEN((--TRIM(RIGHT(SUBSTITUTE(LEFT(A331,_xlfn.AGGREGATE(16,6,FIND({0,1,2,3,4,5,6,7,8,9},A331,ROW(INDIRECT("1:"&amp;LEN(A331)))),1))," ",REPT(" ",LEN(A331))),LEN(A331))))))), 0), ROW(INDIRECT("1:"&amp;LEN((--TRIM(RIGHT(SUBSTITUTE(LEFT(A331,_xlfn.AGGREGATE(16,6,FIND({0,1,2,3,4,5,6,7,8,9},A331,ROW(INDIRECT("1:"&amp;LEN(A331)))),1))," ",REPT(" ",LEN(A331))),LEN(A331))))))))+1, 1) * 10^ROW(INDIRECT("1:"&amp;LEN((--TRIM(RIGHT(SUBSTITUTE(LEFT(A331,_xlfn.AGGREGATE(16,6,FIND({0,1,2,3,4,5,6,7,8,9},A331,ROW(INDIRECT("1:"&amp;LEN(A331)))),1))," ",REPT(" ",LEN(A331))),LEN(A331)))))))/10))*1+1</f>
        <v>205 &amp; 505</v>
      </c>
      <c r="B332" s="108"/>
      <c r="C332" s="42"/>
      <c r="D332" s="42"/>
      <c r="E332" s="53">
        <v>0</v>
      </c>
      <c r="F332" s="53">
        <f>D332+E332</f>
        <v>0</v>
      </c>
      <c r="G332" s="53">
        <v>0</v>
      </c>
      <c r="H332" s="53">
        <f>F332*(($H$303)+1)+(IF(G332&lt;101,G332,IF(G332&lt;201,G332/2,IF(G332&lt;=301,G332/3,G332/4))))</f>
        <v>0</v>
      </c>
      <c r="I332" s="36"/>
    </row>
    <row r="333" spans="1:20" s="35" customFormat="1" x14ac:dyDescent="0.35">
      <c r="A333" s="238" t="s">
        <v>65</v>
      </c>
      <c r="B333" s="238"/>
      <c r="C333" s="238"/>
      <c r="D333" s="238"/>
      <c r="E333" s="238"/>
      <c r="F333" s="238"/>
      <c r="G333" s="238"/>
      <c r="H333" s="238"/>
      <c r="T333" s="37"/>
    </row>
    <row r="334" spans="1:20" s="98" customFormat="1" x14ac:dyDescent="0.35">
      <c r="A334" s="93" t="s">
        <v>155</v>
      </c>
      <c r="B334" s="104" t="s">
        <v>387</v>
      </c>
      <c r="C334" s="105"/>
      <c r="D334" s="105"/>
      <c r="E334" s="105"/>
      <c r="F334" s="105"/>
      <c r="G334" s="105"/>
      <c r="H334" s="106"/>
      <c r="T334" s="99"/>
    </row>
    <row r="335" spans="1:20" s="35" customFormat="1" hidden="1" x14ac:dyDescent="0.35">
      <c r="A335" s="97" t="s">
        <v>155</v>
      </c>
      <c r="B335" s="126" t="str">
        <f>(IF(H302="Saleable area Loading :","We have considered Saleable area of Flats as per our Calculation.","We considered Saleable area of Flat as per Builder area Sheet."))</f>
        <v>We have considered Saleable area of Flats as per our Calculation.</v>
      </c>
      <c r="C335" s="127"/>
      <c r="D335" s="127"/>
      <c r="E335" s="127"/>
      <c r="F335" s="127"/>
      <c r="G335" s="127"/>
      <c r="H335" s="128"/>
      <c r="T335" s="37"/>
    </row>
    <row r="336" spans="1:20" s="35" customFormat="1" x14ac:dyDescent="0.35">
      <c r="A336" s="44" t="s">
        <v>155</v>
      </c>
      <c r="B336" s="104" t="str">
        <f>(IF(H128="Saleable area Loading :","We have considered Saleable area of Commercial as per our Calculation.","We considered Saleable area of Commercial as per Builder area Sheet."))</f>
        <v>We have considered Saleable area of Commercial as per our Calculation.</v>
      </c>
      <c r="C336" s="105"/>
      <c r="D336" s="105"/>
      <c r="E336" s="105"/>
      <c r="F336" s="105"/>
      <c r="G336" s="105"/>
      <c r="H336" s="106"/>
      <c r="T336" s="37"/>
    </row>
    <row r="337" spans="1:20" s="35" customFormat="1" x14ac:dyDescent="0.35">
      <c r="A337" s="44" t="s">
        <v>155</v>
      </c>
      <c r="B337" s="129" t="s">
        <v>122</v>
      </c>
      <c r="C337" s="130"/>
      <c r="D337" s="130"/>
      <c r="E337" s="130"/>
      <c r="F337" s="130"/>
      <c r="G337" s="130"/>
      <c r="H337" s="131"/>
      <c r="T337" s="37"/>
    </row>
    <row r="338" spans="1:20" s="35" customFormat="1" x14ac:dyDescent="0.35">
      <c r="A338" s="44" t="s">
        <v>155</v>
      </c>
      <c r="B338" s="129" t="s">
        <v>392</v>
      </c>
      <c r="C338" s="130"/>
      <c r="D338" s="130"/>
      <c r="E338" s="130"/>
      <c r="F338" s="130"/>
      <c r="G338" s="130"/>
      <c r="H338" s="131"/>
      <c r="T338" s="37"/>
    </row>
    <row r="339" spans="1:20" s="35" customFormat="1" x14ac:dyDescent="0.35">
      <c r="A339" s="44" t="s">
        <v>155</v>
      </c>
      <c r="B339" s="129" t="s">
        <v>154</v>
      </c>
      <c r="C339" s="130"/>
      <c r="D339" s="130"/>
      <c r="E339" s="130"/>
      <c r="F339" s="130"/>
      <c r="G339" s="130"/>
      <c r="H339" s="131"/>
    </row>
    <row r="340" spans="1:20" s="35" customFormat="1" x14ac:dyDescent="0.35">
      <c r="A340" s="44" t="s">
        <v>155</v>
      </c>
      <c r="B340" s="129" t="s">
        <v>123</v>
      </c>
      <c r="C340" s="130"/>
      <c r="D340" s="130"/>
      <c r="E340" s="130"/>
      <c r="F340" s="130"/>
      <c r="G340" s="130"/>
      <c r="H340" s="131"/>
    </row>
    <row r="341" spans="1:20" s="35" customFormat="1" ht="34.5" customHeight="1" x14ac:dyDescent="0.35">
      <c r="A341" s="44" t="s">
        <v>155</v>
      </c>
      <c r="B341" s="129" t="s">
        <v>156</v>
      </c>
      <c r="C341" s="130"/>
      <c r="D341" s="130"/>
      <c r="E341" s="130"/>
      <c r="F341" s="130"/>
      <c r="G341" s="130"/>
      <c r="H341" s="131"/>
    </row>
    <row r="342" spans="1:20" s="35" customFormat="1" x14ac:dyDescent="0.35">
      <c r="A342" s="44" t="s">
        <v>155</v>
      </c>
      <c r="B342" s="104" t="s">
        <v>124</v>
      </c>
      <c r="C342" s="105"/>
      <c r="D342" s="105"/>
      <c r="E342" s="105"/>
      <c r="F342" s="105"/>
      <c r="G342" s="105"/>
      <c r="H342" s="106"/>
    </row>
    <row r="343" spans="1:20" s="94" customFormat="1" ht="47.25" customHeight="1" x14ac:dyDescent="0.35">
      <c r="A343" s="93" t="s">
        <v>155</v>
      </c>
      <c r="B343" s="104" t="s">
        <v>396</v>
      </c>
      <c r="C343" s="105"/>
      <c r="D343" s="105"/>
      <c r="E343" s="105"/>
      <c r="F343" s="105"/>
      <c r="G343" s="105"/>
      <c r="H343" s="106"/>
    </row>
    <row r="344" spans="1:20" s="35" customFormat="1" ht="15.75" customHeight="1" x14ac:dyDescent="0.35">
      <c r="A344" s="54" t="s">
        <v>155</v>
      </c>
      <c r="B344" s="104" t="s">
        <v>368</v>
      </c>
      <c r="C344" s="105"/>
      <c r="D344" s="105"/>
      <c r="E344" s="105"/>
      <c r="F344" s="105"/>
      <c r="G344" s="105"/>
      <c r="H344" s="106"/>
      <c r="I344" s="104" t="s">
        <v>368</v>
      </c>
      <c r="J344" s="105"/>
      <c r="K344" s="105"/>
      <c r="L344" s="105"/>
      <c r="M344" s="105"/>
      <c r="N344" s="105"/>
      <c r="O344" s="106"/>
    </row>
    <row r="345" spans="1:20" x14ac:dyDescent="0.35">
      <c r="A345" s="224" t="s">
        <v>58</v>
      </c>
      <c r="B345" s="224"/>
      <c r="C345" s="224"/>
      <c r="D345" s="224"/>
      <c r="E345" s="224"/>
      <c r="F345" s="224"/>
      <c r="G345" s="224"/>
      <c r="H345" s="224"/>
      <c r="T345" s="35"/>
    </row>
    <row r="346" spans="1:20" x14ac:dyDescent="0.35">
      <c r="A346" s="168" t="s">
        <v>59</v>
      </c>
      <c r="B346" s="168"/>
      <c r="C346" s="168"/>
      <c r="D346" s="168"/>
      <c r="E346" s="168"/>
      <c r="F346" s="168"/>
      <c r="G346" s="168"/>
      <c r="H346" s="168"/>
      <c r="T346" s="35"/>
    </row>
    <row r="347" spans="1:20" ht="15.75" customHeight="1" x14ac:dyDescent="0.35">
      <c r="A347" s="242" t="s">
        <v>60</v>
      </c>
      <c r="B347" s="242"/>
      <c r="C347" s="242"/>
      <c r="D347" s="242"/>
      <c r="E347" s="242"/>
      <c r="F347" s="242"/>
      <c r="G347" s="242"/>
      <c r="H347" s="242"/>
      <c r="T347" s="35"/>
    </row>
    <row r="348" spans="1:20" x14ac:dyDescent="0.35">
      <c r="A348" s="168" t="s">
        <v>61</v>
      </c>
      <c r="B348" s="168"/>
      <c r="C348" s="168"/>
      <c r="D348" s="168"/>
      <c r="E348" s="168"/>
      <c r="F348" s="168"/>
      <c r="G348" s="168"/>
      <c r="H348" s="168"/>
      <c r="T348" s="35"/>
    </row>
    <row r="349" spans="1:20" x14ac:dyDescent="0.35">
      <c r="A349" s="168" t="s">
        <v>62</v>
      </c>
      <c r="B349" s="168"/>
      <c r="C349" s="168"/>
      <c r="D349" s="168"/>
      <c r="E349" s="168"/>
      <c r="F349" s="168"/>
      <c r="G349" s="168"/>
      <c r="H349" s="168"/>
      <c r="T349" s="35"/>
    </row>
    <row r="350" spans="1:20" x14ac:dyDescent="0.35">
      <c r="A350" s="168" t="s">
        <v>125</v>
      </c>
      <c r="B350" s="168"/>
      <c r="C350" s="168"/>
      <c r="D350" s="168"/>
      <c r="E350" s="168"/>
      <c r="F350" s="168"/>
      <c r="G350" s="168"/>
      <c r="H350" s="168"/>
      <c r="T350" s="35"/>
    </row>
    <row r="351" spans="1:20" ht="34" customHeight="1" x14ac:dyDescent="0.35">
      <c r="A351" s="148" t="s">
        <v>126</v>
      </c>
      <c r="B351" s="148"/>
      <c r="C351" s="148"/>
      <c r="D351" s="148"/>
      <c r="E351" s="148"/>
      <c r="F351" s="148"/>
      <c r="G351" s="148"/>
      <c r="H351" s="148"/>
    </row>
    <row r="352" spans="1:20" x14ac:dyDescent="0.35">
      <c r="A352" s="211" t="s">
        <v>74</v>
      </c>
      <c r="B352" s="211"/>
      <c r="C352" s="211" t="s">
        <v>393</v>
      </c>
      <c r="D352" s="211"/>
      <c r="E352" s="211" t="s">
        <v>104</v>
      </c>
      <c r="F352" s="211"/>
      <c r="G352" s="211" t="s">
        <v>397</v>
      </c>
      <c r="H352" s="211"/>
    </row>
    <row r="353" spans="1:8" x14ac:dyDescent="0.35">
      <c r="A353" s="210" t="s">
        <v>76</v>
      </c>
      <c r="B353" s="210"/>
      <c r="C353" s="210"/>
      <c r="D353" s="210"/>
      <c r="E353" s="210"/>
      <c r="F353" s="210"/>
      <c r="G353" s="210"/>
      <c r="H353" s="210"/>
    </row>
    <row r="354" spans="1:8" x14ac:dyDescent="0.35">
      <c r="A354" s="210"/>
      <c r="B354" s="210"/>
      <c r="C354" s="210"/>
      <c r="D354" s="210"/>
      <c r="E354" s="210"/>
      <c r="F354" s="210"/>
      <c r="G354" s="210"/>
      <c r="H354" s="210"/>
    </row>
    <row r="355" spans="1:8" x14ac:dyDescent="0.35">
      <c r="A355" s="210"/>
      <c r="B355" s="210"/>
      <c r="C355" s="210"/>
      <c r="D355" s="210"/>
      <c r="E355" s="210"/>
      <c r="F355" s="210"/>
      <c r="G355" s="210"/>
      <c r="H355" s="210"/>
    </row>
    <row r="356" spans="1:8" x14ac:dyDescent="0.35">
      <c r="A356" s="210"/>
      <c r="B356" s="210"/>
      <c r="C356" s="210"/>
      <c r="D356" s="210"/>
      <c r="E356" s="210"/>
      <c r="F356" s="210"/>
      <c r="G356" s="210"/>
      <c r="H356" s="210"/>
    </row>
    <row r="357" spans="1:8" x14ac:dyDescent="0.35">
      <c r="A357" s="38" t="s">
        <v>63</v>
      </c>
      <c r="B357" s="39"/>
      <c r="C357" s="39"/>
      <c r="D357" s="38" t="str">
        <f>E9</f>
        <v>One Wagle</v>
      </c>
      <c r="F357" s="39"/>
      <c r="G357" s="39"/>
      <c r="H357" s="39"/>
    </row>
    <row r="358" spans="1:8" x14ac:dyDescent="0.35">
      <c r="A358" s="39"/>
      <c r="B358" s="39"/>
      <c r="C358" s="39"/>
      <c r="D358" s="39"/>
      <c r="E358" s="39"/>
      <c r="F358" s="39"/>
      <c r="G358" s="39"/>
      <c r="H358" s="39"/>
    </row>
    <row r="359" spans="1:8" x14ac:dyDescent="0.35">
      <c r="A359" s="39"/>
      <c r="B359" s="39"/>
      <c r="C359" s="39"/>
      <c r="D359" s="39"/>
      <c r="E359" s="39"/>
      <c r="F359" s="39"/>
      <c r="G359" s="39"/>
      <c r="H359" s="39"/>
    </row>
    <row r="360" spans="1:8" ht="15" customHeight="1" x14ac:dyDescent="0.35"/>
    <row r="395" spans="1:1" x14ac:dyDescent="0.35">
      <c r="A395" s="41" t="s">
        <v>164</v>
      </c>
    </row>
    <row r="438" spans="1:1" x14ac:dyDescent="0.35">
      <c r="A438" s="41" t="s">
        <v>64</v>
      </c>
    </row>
  </sheetData>
  <mergeCells count="682">
    <mergeCell ref="A192:B192"/>
    <mergeCell ref="L192:M192"/>
    <mergeCell ref="L190:M190"/>
    <mergeCell ref="A191:B191"/>
    <mergeCell ref="L191:M191"/>
    <mergeCell ref="A182:B182"/>
    <mergeCell ref="L182:M182"/>
    <mergeCell ref="L174:M174"/>
    <mergeCell ref="A175:B175"/>
    <mergeCell ref="L175:M175"/>
    <mergeCell ref="A176:B176"/>
    <mergeCell ref="L178:M178"/>
    <mergeCell ref="L183:M183"/>
    <mergeCell ref="L184:M184"/>
    <mergeCell ref="A185:B185"/>
    <mergeCell ref="L185:M185"/>
    <mergeCell ref="L188:M188"/>
    <mergeCell ref="A189:B189"/>
    <mergeCell ref="L189:M189"/>
    <mergeCell ref="A177:B177"/>
    <mergeCell ref="L177:M177"/>
    <mergeCell ref="A179:B179"/>
    <mergeCell ref="A190:B190"/>
    <mergeCell ref="A188:B188"/>
    <mergeCell ref="I50:K50"/>
    <mergeCell ref="I51:K51"/>
    <mergeCell ref="L166:M166"/>
    <mergeCell ref="A186:B186"/>
    <mergeCell ref="L186:M186"/>
    <mergeCell ref="L179:M179"/>
    <mergeCell ref="L181:M181"/>
    <mergeCell ref="A187:B187"/>
    <mergeCell ref="L187:M187"/>
    <mergeCell ref="L168:M168"/>
    <mergeCell ref="L169:M169"/>
    <mergeCell ref="A170:B170"/>
    <mergeCell ref="L170:M170"/>
    <mergeCell ref="A171:B171"/>
    <mergeCell ref="L171:M171"/>
    <mergeCell ref="A172:B172"/>
    <mergeCell ref="L172:M172"/>
    <mergeCell ref="A173:B173"/>
    <mergeCell ref="L173:M173"/>
    <mergeCell ref="C176:H176"/>
    <mergeCell ref="A180:H180"/>
    <mergeCell ref="A181:B181"/>
    <mergeCell ref="A183:B183"/>
    <mergeCell ref="L176:M176"/>
    <mergeCell ref="L160:M160"/>
    <mergeCell ref="L161:M161"/>
    <mergeCell ref="A162:B162"/>
    <mergeCell ref="L162:M162"/>
    <mergeCell ref="L163:M163"/>
    <mergeCell ref="A164:B164"/>
    <mergeCell ref="L164:M164"/>
    <mergeCell ref="A165:B165"/>
    <mergeCell ref="L165:M165"/>
    <mergeCell ref="A163:B163"/>
    <mergeCell ref="L153:M153"/>
    <mergeCell ref="L155:M155"/>
    <mergeCell ref="A156:B156"/>
    <mergeCell ref="L156:M156"/>
    <mergeCell ref="A157:B157"/>
    <mergeCell ref="L157:M157"/>
    <mergeCell ref="L158:M158"/>
    <mergeCell ref="A159:B159"/>
    <mergeCell ref="L159:M159"/>
    <mergeCell ref="A154:H154"/>
    <mergeCell ref="A158:B158"/>
    <mergeCell ref="L147:M147"/>
    <mergeCell ref="L148:M148"/>
    <mergeCell ref="A149:B149"/>
    <mergeCell ref="L149:M149"/>
    <mergeCell ref="A150:B150"/>
    <mergeCell ref="L150:M150"/>
    <mergeCell ref="A151:B151"/>
    <mergeCell ref="L151:M151"/>
    <mergeCell ref="L152:M152"/>
    <mergeCell ref="A148:B148"/>
    <mergeCell ref="A147:B147"/>
    <mergeCell ref="A152:B152"/>
    <mergeCell ref="L139:M139"/>
    <mergeCell ref="L142:M142"/>
    <mergeCell ref="A143:B143"/>
    <mergeCell ref="L143:M143"/>
    <mergeCell ref="A144:B144"/>
    <mergeCell ref="L144:M144"/>
    <mergeCell ref="A145:B145"/>
    <mergeCell ref="L145:M145"/>
    <mergeCell ref="L146:M146"/>
    <mergeCell ref="A140:H140"/>
    <mergeCell ref="A141:H141"/>
    <mergeCell ref="A142:B142"/>
    <mergeCell ref="A130:H130"/>
    <mergeCell ref="A131:B131"/>
    <mergeCell ref="L134:M134"/>
    <mergeCell ref="A135:B135"/>
    <mergeCell ref="L135:M135"/>
    <mergeCell ref="L136:M136"/>
    <mergeCell ref="A137:B137"/>
    <mergeCell ref="L137:M137"/>
    <mergeCell ref="A138:B138"/>
    <mergeCell ref="L138:M138"/>
    <mergeCell ref="A134:B134"/>
    <mergeCell ref="A136:B136"/>
    <mergeCell ref="L133:M133"/>
    <mergeCell ref="A193:H193"/>
    <mergeCell ref="A194:B194"/>
    <mergeCell ref="A199:B199"/>
    <mergeCell ref="A204:B204"/>
    <mergeCell ref="A210:B210"/>
    <mergeCell ref="I15:P15"/>
    <mergeCell ref="F110:H110"/>
    <mergeCell ref="F108:H108"/>
    <mergeCell ref="A317:B317"/>
    <mergeCell ref="A127:H127"/>
    <mergeCell ref="G114:H114"/>
    <mergeCell ref="A109:E109"/>
    <mergeCell ref="A298:B298"/>
    <mergeCell ref="A60:B60"/>
    <mergeCell ref="C60:E60"/>
    <mergeCell ref="D62:H62"/>
    <mergeCell ref="F109:H109"/>
    <mergeCell ref="E114:F114"/>
    <mergeCell ref="A114:B114"/>
    <mergeCell ref="A118:B118"/>
    <mergeCell ref="C121:D121"/>
    <mergeCell ref="D70:H70"/>
    <mergeCell ref="A71:C71"/>
    <mergeCell ref="E43:H43"/>
    <mergeCell ref="A350:H350"/>
    <mergeCell ref="A347:H347"/>
    <mergeCell ref="A310:B310"/>
    <mergeCell ref="A327:H327"/>
    <mergeCell ref="A332:B332"/>
    <mergeCell ref="A331:B331"/>
    <mergeCell ref="A349:H349"/>
    <mergeCell ref="A345:H345"/>
    <mergeCell ref="B339:H339"/>
    <mergeCell ref="B341:H341"/>
    <mergeCell ref="B344:H344"/>
    <mergeCell ref="A121:B121"/>
    <mergeCell ref="D302:D303"/>
    <mergeCell ref="E302:E303"/>
    <mergeCell ref="A325:B325"/>
    <mergeCell ref="A326:B326"/>
    <mergeCell ref="A321:H321"/>
    <mergeCell ref="A315:H315"/>
    <mergeCell ref="A346:H346"/>
    <mergeCell ref="A316:B316"/>
    <mergeCell ref="A297:B297"/>
    <mergeCell ref="B343:H343"/>
    <mergeCell ref="B338:H338"/>
    <mergeCell ref="A333:H333"/>
    <mergeCell ref="E125:F125"/>
    <mergeCell ref="B342:H342"/>
    <mergeCell ref="B340:H340"/>
    <mergeCell ref="A155:B155"/>
    <mergeCell ref="A161:B161"/>
    <mergeCell ref="A167:H167"/>
    <mergeCell ref="A168:B168"/>
    <mergeCell ref="A184:B184"/>
    <mergeCell ref="A302:A303"/>
    <mergeCell ref="F302:F303"/>
    <mergeCell ref="A330:B330"/>
    <mergeCell ref="C52:E52"/>
    <mergeCell ref="A65:C65"/>
    <mergeCell ref="D65:H65"/>
    <mergeCell ref="G52:H52"/>
    <mergeCell ref="A61:H61"/>
    <mergeCell ref="A62:C62"/>
    <mergeCell ref="A63:C63"/>
    <mergeCell ref="D63:H63"/>
    <mergeCell ref="G60:H60"/>
    <mergeCell ref="A54:B55"/>
    <mergeCell ref="C54:E54"/>
    <mergeCell ref="G54:H54"/>
    <mergeCell ref="A56:B57"/>
    <mergeCell ref="C56:E56"/>
    <mergeCell ref="C55:H55"/>
    <mergeCell ref="C53:H53"/>
    <mergeCell ref="C114:D114"/>
    <mergeCell ref="C124:D124"/>
    <mergeCell ref="A304:H304"/>
    <mergeCell ref="A319:B319"/>
    <mergeCell ref="A70:C70"/>
    <mergeCell ref="D71:H71"/>
    <mergeCell ref="A77:B77"/>
    <mergeCell ref="G76:H76"/>
    <mergeCell ref="A85:B85"/>
    <mergeCell ref="A86:B86"/>
    <mergeCell ref="A81:B81"/>
    <mergeCell ref="A78:B78"/>
    <mergeCell ref="A80:B80"/>
    <mergeCell ref="E76:F76"/>
    <mergeCell ref="A83:B83"/>
    <mergeCell ref="A75:B75"/>
    <mergeCell ref="A73:B73"/>
    <mergeCell ref="C73:H73"/>
    <mergeCell ref="C75:H75"/>
    <mergeCell ref="E77:F86"/>
    <mergeCell ref="A82:B82"/>
    <mergeCell ref="A89:B89"/>
    <mergeCell ref="A79:B79"/>
    <mergeCell ref="A94:B94"/>
    <mergeCell ref="F102:H102"/>
    <mergeCell ref="A102:E102"/>
    <mergeCell ref="D128:D129"/>
    <mergeCell ref="A104:E104"/>
    <mergeCell ref="A96:B96"/>
    <mergeCell ref="C302:C303"/>
    <mergeCell ref="G302:G303"/>
    <mergeCell ref="A296:H296"/>
    <mergeCell ref="A324:B324"/>
    <mergeCell ref="A313:B313"/>
    <mergeCell ref="A320:B320"/>
    <mergeCell ref="C128:C129"/>
    <mergeCell ref="G121:H121"/>
    <mergeCell ref="G128:G129"/>
    <mergeCell ref="A323:B323"/>
    <mergeCell ref="B302:B303"/>
    <mergeCell ref="D148:H148"/>
    <mergeCell ref="D161:H161"/>
    <mergeCell ref="D174:H174"/>
    <mergeCell ref="D187:H187"/>
    <mergeCell ref="A124:B124"/>
    <mergeCell ref="E124:F124"/>
    <mergeCell ref="A110:E110"/>
    <mergeCell ref="G124:H124"/>
    <mergeCell ref="A90:B90"/>
    <mergeCell ref="A95:B95"/>
    <mergeCell ref="A97:B97"/>
    <mergeCell ref="G115:H115"/>
    <mergeCell ref="A100:B100"/>
    <mergeCell ref="F107:H107"/>
    <mergeCell ref="G77:H86"/>
    <mergeCell ref="A353:H356"/>
    <mergeCell ref="A352:B352"/>
    <mergeCell ref="E352:F352"/>
    <mergeCell ref="C352:D352"/>
    <mergeCell ref="G352:H352"/>
    <mergeCell ref="A113:H113"/>
    <mergeCell ref="A111:E111"/>
    <mergeCell ref="F111:H111"/>
    <mergeCell ref="A112:E112"/>
    <mergeCell ref="F112:H112"/>
    <mergeCell ref="A309:H309"/>
    <mergeCell ref="A122:B122"/>
    <mergeCell ref="A318:B318"/>
    <mergeCell ref="A115:B115"/>
    <mergeCell ref="A348:H348"/>
    <mergeCell ref="A120:H120"/>
    <mergeCell ref="A351:H351"/>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30:D30"/>
    <mergeCell ref="E30:H30"/>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E20:F20"/>
    <mergeCell ref="G20:H20"/>
    <mergeCell ref="A21:B21"/>
    <mergeCell ref="C21:D21"/>
    <mergeCell ref="E21:F21"/>
    <mergeCell ref="G21:H21"/>
    <mergeCell ref="A22:B22"/>
    <mergeCell ref="C22:D22"/>
    <mergeCell ref="E22:F22"/>
    <mergeCell ref="G22:H22"/>
    <mergeCell ref="A20:B20"/>
    <mergeCell ref="C20:D20"/>
    <mergeCell ref="E27:H27"/>
    <mergeCell ref="A29:D29"/>
    <mergeCell ref="E29:H29"/>
    <mergeCell ref="A26:D26"/>
    <mergeCell ref="E26:H26"/>
    <mergeCell ref="A25:D25"/>
    <mergeCell ref="E25:H25"/>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72:C72"/>
    <mergeCell ref="D72:H72"/>
    <mergeCell ref="A48:H48"/>
    <mergeCell ref="D64:H64"/>
    <mergeCell ref="A64:C64"/>
    <mergeCell ref="A45:D45"/>
    <mergeCell ref="A49:B49"/>
    <mergeCell ref="C49:H49"/>
    <mergeCell ref="A47:D47"/>
    <mergeCell ref="D67:H67"/>
    <mergeCell ref="A40:B40"/>
    <mergeCell ref="C40:H40"/>
    <mergeCell ref="A38:H38"/>
    <mergeCell ref="A44:D44"/>
    <mergeCell ref="E44:H44"/>
    <mergeCell ref="E45:H45"/>
    <mergeCell ref="E46:H46"/>
    <mergeCell ref="E47:H47"/>
    <mergeCell ref="C57:H57"/>
    <mergeCell ref="C59:H59"/>
    <mergeCell ref="A68:C68"/>
    <mergeCell ref="D68:H68"/>
    <mergeCell ref="A37:B37"/>
    <mergeCell ref="C37:E37"/>
    <mergeCell ref="A42:D42"/>
    <mergeCell ref="E42:H42"/>
    <mergeCell ref="A41:H41"/>
    <mergeCell ref="A66:C66"/>
    <mergeCell ref="A67:C67"/>
    <mergeCell ref="D66:H66"/>
    <mergeCell ref="F37:H37"/>
    <mergeCell ref="C51:E51"/>
    <mergeCell ref="C50:E50"/>
    <mergeCell ref="G50:H50"/>
    <mergeCell ref="A51:B51"/>
    <mergeCell ref="G56:H56"/>
    <mergeCell ref="A58:B59"/>
    <mergeCell ref="C58:E58"/>
    <mergeCell ref="G58:H58"/>
    <mergeCell ref="G51:H51"/>
    <mergeCell ref="A52:B53"/>
    <mergeCell ref="A39:B39"/>
    <mergeCell ref="C39:H39"/>
    <mergeCell ref="A46:D46"/>
    <mergeCell ref="A43:D43"/>
    <mergeCell ref="A50:B50"/>
    <mergeCell ref="A69:C69"/>
    <mergeCell ref="D69:H69"/>
    <mergeCell ref="A125:B125"/>
    <mergeCell ref="C125:D125"/>
    <mergeCell ref="F128:F129"/>
    <mergeCell ref="C115:D115"/>
    <mergeCell ref="E115:F115"/>
    <mergeCell ref="B128:B129"/>
    <mergeCell ref="A128:A129"/>
    <mergeCell ref="G125:H125"/>
    <mergeCell ref="A76:B76"/>
    <mergeCell ref="A84:B84"/>
    <mergeCell ref="C122:D122"/>
    <mergeCell ref="E122:F122"/>
    <mergeCell ref="G122:H122"/>
    <mergeCell ref="A87:B87"/>
    <mergeCell ref="C87:H87"/>
    <mergeCell ref="E128:E129"/>
    <mergeCell ref="A91:B91"/>
    <mergeCell ref="C89:H89"/>
    <mergeCell ref="A92:B92"/>
    <mergeCell ref="A93:B93"/>
    <mergeCell ref="G91:H100"/>
    <mergeCell ref="A105:E105"/>
    <mergeCell ref="A123:B123"/>
    <mergeCell ref="C123:D123"/>
    <mergeCell ref="E123:F123"/>
    <mergeCell ref="G123:H123"/>
    <mergeCell ref="L300:M300"/>
    <mergeCell ref="L299:M299"/>
    <mergeCell ref="L298:M298"/>
    <mergeCell ref="L297:M297"/>
    <mergeCell ref="L131:M131"/>
    <mergeCell ref="A132:B132"/>
    <mergeCell ref="L132:M132"/>
    <mergeCell ref="A133:B133"/>
    <mergeCell ref="D134:H134"/>
    <mergeCell ref="A169:B169"/>
    <mergeCell ref="A174:B174"/>
    <mergeCell ref="A139:B139"/>
    <mergeCell ref="A146:B146"/>
    <mergeCell ref="A153:B153"/>
    <mergeCell ref="A160:B160"/>
    <mergeCell ref="A166:B166"/>
    <mergeCell ref="A178:B178"/>
    <mergeCell ref="A215:B215"/>
    <mergeCell ref="C215:H215"/>
    <mergeCell ref="A221:B221"/>
    <mergeCell ref="E90:F90"/>
    <mergeCell ref="E91:F100"/>
    <mergeCell ref="F104:H104"/>
    <mergeCell ref="G90:H90"/>
    <mergeCell ref="B334:H334"/>
    <mergeCell ref="B335:H335"/>
    <mergeCell ref="B337:H337"/>
    <mergeCell ref="F101:H101"/>
    <mergeCell ref="F105:H105"/>
    <mergeCell ref="A305:B305"/>
    <mergeCell ref="A300:B300"/>
    <mergeCell ref="A299:B299"/>
    <mergeCell ref="A106:E106"/>
    <mergeCell ref="F106:H106"/>
    <mergeCell ref="A108:E108"/>
    <mergeCell ref="F103:H103"/>
    <mergeCell ref="A107:E107"/>
    <mergeCell ref="A98:B98"/>
    <mergeCell ref="A99:B99"/>
    <mergeCell ref="A103:E103"/>
    <mergeCell ref="A101:E101"/>
    <mergeCell ref="A301:H301"/>
    <mergeCell ref="E121:F121"/>
    <mergeCell ref="A126:H126"/>
    <mergeCell ref="L194:M194"/>
    <mergeCell ref="A195:B195"/>
    <mergeCell ref="L195:M195"/>
    <mergeCell ref="A196:B196"/>
    <mergeCell ref="L196:M196"/>
    <mergeCell ref="A197:B197"/>
    <mergeCell ref="L197:M197"/>
    <mergeCell ref="A198:B198"/>
    <mergeCell ref="L198:M198"/>
    <mergeCell ref="L199:M199"/>
    <mergeCell ref="A200:B200"/>
    <mergeCell ref="D200:H200"/>
    <mergeCell ref="L200:M200"/>
    <mergeCell ref="A201:B201"/>
    <mergeCell ref="L201:M201"/>
    <mergeCell ref="A202:B202"/>
    <mergeCell ref="L202:M202"/>
    <mergeCell ref="A203:B203"/>
    <mergeCell ref="L203:M203"/>
    <mergeCell ref="L204:M204"/>
    <mergeCell ref="A205:B205"/>
    <mergeCell ref="L205:M205"/>
    <mergeCell ref="A206:H206"/>
    <mergeCell ref="A207:B207"/>
    <mergeCell ref="L207:M207"/>
    <mergeCell ref="A208:B208"/>
    <mergeCell ref="L208:M208"/>
    <mergeCell ref="A209:B209"/>
    <mergeCell ref="L209:M209"/>
    <mergeCell ref="L210:M210"/>
    <mergeCell ref="A211:B211"/>
    <mergeCell ref="L211:M211"/>
    <mergeCell ref="A212:B212"/>
    <mergeCell ref="L212:M212"/>
    <mergeCell ref="A213:B213"/>
    <mergeCell ref="D213:H213"/>
    <mergeCell ref="L213:M213"/>
    <mergeCell ref="A214:B214"/>
    <mergeCell ref="L214:M214"/>
    <mergeCell ref="L227:M227"/>
    <mergeCell ref="L215:M215"/>
    <mergeCell ref="A216:B216"/>
    <mergeCell ref="L216:M216"/>
    <mergeCell ref="A217:B217"/>
    <mergeCell ref="L217:M217"/>
    <mergeCell ref="A218:B218"/>
    <mergeCell ref="L218:M218"/>
    <mergeCell ref="A219:H219"/>
    <mergeCell ref="A220:B220"/>
    <mergeCell ref="L220:M220"/>
    <mergeCell ref="L231:M231"/>
    <mergeCell ref="A232:B232"/>
    <mergeCell ref="L232:M232"/>
    <mergeCell ref="A233:B233"/>
    <mergeCell ref="L233:M233"/>
    <mergeCell ref="A234:B234"/>
    <mergeCell ref="L234:M234"/>
    <mergeCell ref="L221:M221"/>
    <mergeCell ref="A222:B222"/>
    <mergeCell ref="L222:M222"/>
    <mergeCell ref="A223:B223"/>
    <mergeCell ref="L223:M223"/>
    <mergeCell ref="A228:B228"/>
    <mergeCell ref="L228:M228"/>
    <mergeCell ref="A229:B229"/>
    <mergeCell ref="L229:M229"/>
    <mergeCell ref="D225:H225"/>
    <mergeCell ref="A224:B224"/>
    <mergeCell ref="L224:M224"/>
    <mergeCell ref="A225:B225"/>
    <mergeCell ref="L225:M225"/>
    <mergeCell ref="A226:B226"/>
    <mergeCell ref="L226:M226"/>
    <mergeCell ref="A227:B227"/>
    <mergeCell ref="L239:M239"/>
    <mergeCell ref="A240:B240"/>
    <mergeCell ref="L240:M240"/>
    <mergeCell ref="A241:H241"/>
    <mergeCell ref="A242:B242"/>
    <mergeCell ref="L242:M242"/>
    <mergeCell ref="A243:B243"/>
    <mergeCell ref="L243:M243"/>
    <mergeCell ref="A235:B235"/>
    <mergeCell ref="L235:M235"/>
    <mergeCell ref="A236:B236"/>
    <mergeCell ref="D236:H236"/>
    <mergeCell ref="L236:M236"/>
    <mergeCell ref="A237:B237"/>
    <mergeCell ref="L237:M237"/>
    <mergeCell ref="A238:B238"/>
    <mergeCell ref="L238:M238"/>
    <mergeCell ref="L248:M248"/>
    <mergeCell ref="A249:B249"/>
    <mergeCell ref="L249:M249"/>
    <mergeCell ref="A250:B250"/>
    <mergeCell ref="L250:M250"/>
    <mergeCell ref="A251:B251"/>
    <mergeCell ref="L251:M251"/>
    <mergeCell ref="A252:H252"/>
    <mergeCell ref="A244:B244"/>
    <mergeCell ref="L244:M244"/>
    <mergeCell ref="A245:B245"/>
    <mergeCell ref="L245:M245"/>
    <mergeCell ref="A246:B246"/>
    <mergeCell ref="L246:M246"/>
    <mergeCell ref="A247:B247"/>
    <mergeCell ref="D247:H247"/>
    <mergeCell ref="L247:M247"/>
    <mergeCell ref="L253:M253"/>
    <mergeCell ref="A254:B254"/>
    <mergeCell ref="L254:M254"/>
    <mergeCell ref="A255:B255"/>
    <mergeCell ref="L255:M255"/>
    <mergeCell ref="A256:B256"/>
    <mergeCell ref="L256:M256"/>
    <mergeCell ref="A257:B257"/>
    <mergeCell ref="L257:M257"/>
    <mergeCell ref="L262:M262"/>
    <mergeCell ref="C260:H260"/>
    <mergeCell ref="A258:B258"/>
    <mergeCell ref="D258:H258"/>
    <mergeCell ref="L258:M258"/>
    <mergeCell ref="A259:B259"/>
    <mergeCell ref="L259:M259"/>
    <mergeCell ref="A260:B260"/>
    <mergeCell ref="L260:M260"/>
    <mergeCell ref="A261:B261"/>
    <mergeCell ref="L261:M261"/>
    <mergeCell ref="L271:M271"/>
    <mergeCell ref="A272:B272"/>
    <mergeCell ref="L272:M272"/>
    <mergeCell ref="A273:B273"/>
    <mergeCell ref="L273:M273"/>
    <mergeCell ref="A263:H263"/>
    <mergeCell ref="A264:B264"/>
    <mergeCell ref="L264:M264"/>
    <mergeCell ref="A265:B265"/>
    <mergeCell ref="L265:M265"/>
    <mergeCell ref="A266:B266"/>
    <mergeCell ref="L266:M266"/>
    <mergeCell ref="A267:B267"/>
    <mergeCell ref="L267:M267"/>
    <mergeCell ref="A268:B268"/>
    <mergeCell ref="L268:M268"/>
    <mergeCell ref="A269:B269"/>
    <mergeCell ref="D269:H269"/>
    <mergeCell ref="L269:M269"/>
    <mergeCell ref="A270:B270"/>
    <mergeCell ref="L270:M270"/>
    <mergeCell ref="L279:M279"/>
    <mergeCell ref="A280:B280"/>
    <mergeCell ref="D280:H280"/>
    <mergeCell ref="L280:M280"/>
    <mergeCell ref="A281:B281"/>
    <mergeCell ref="L281:M281"/>
    <mergeCell ref="A282:B282"/>
    <mergeCell ref="L282:M282"/>
    <mergeCell ref="A274:H274"/>
    <mergeCell ref="A275:B275"/>
    <mergeCell ref="L275:M275"/>
    <mergeCell ref="A276:B276"/>
    <mergeCell ref="L276:M276"/>
    <mergeCell ref="A277:B277"/>
    <mergeCell ref="L277:M277"/>
    <mergeCell ref="A278:B278"/>
    <mergeCell ref="L278:M278"/>
    <mergeCell ref="L288:M288"/>
    <mergeCell ref="A289:B289"/>
    <mergeCell ref="L289:M289"/>
    <mergeCell ref="A290:B290"/>
    <mergeCell ref="L290:M290"/>
    <mergeCell ref="A291:B291"/>
    <mergeCell ref="D291:H291"/>
    <mergeCell ref="L291:M291"/>
    <mergeCell ref="A283:B283"/>
    <mergeCell ref="L283:M283"/>
    <mergeCell ref="A284:B284"/>
    <mergeCell ref="L284:M284"/>
    <mergeCell ref="A285:H285"/>
    <mergeCell ref="A286:B286"/>
    <mergeCell ref="L286:M286"/>
    <mergeCell ref="A287:B287"/>
    <mergeCell ref="L287:M287"/>
    <mergeCell ref="A116:B116"/>
    <mergeCell ref="C116:D116"/>
    <mergeCell ref="E116:F116"/>
    <mergeCell ref="G116:H116"/>
    <mergeCell ref="A117:B117"/>
    <mergeCell ref="C117:D117"/>
    <mergeCell ref="E117:F117"/>
    <mergeCell ref="G117:H117"/>
    <mergeCell ref="A288:B288"/>
    <mergeCell ref="A279:B279"/>
    <mergeCell ref="A271:B271"/>
    <mergeCell ref="A262:B262"/>
    <mergeCell ref="A253:B253"/>
    <mergeCell ref="A248:B248"/>
    <mergeCell ref="A239:B239"/>
    <mergeCell ref="A230:H230"/>
    <mergeCell ref="A231:B231"/>
    <mergeCell ref="C118:D118"/>
    <mergeCell ref="E118:F118"/>
    <mergeCell ref="G118:H118"/>
    <mergeCell ref="A119:B119"/>
    <mergeCell ref="C119:D119"/>
    <mergeCell ref="E119:F119"/>
    <mergeCell ref="G119:H119"/>
    <mergeCell ref="I344:O344"/>
    <mergeCell ref="A292:B292"/>
    <mergeCell ref="L292:M292"/>
    <mergeCell ref="A293:B293"/>
    <mergeCell ref="L293:M293"/>
    <mergeCell ref="A294:B294"/>
    <mergeCell ref="L294:M294"/>
    <mergeCell ref="A295:B295"/>
    <mergeCell ref="L295:M295"/>
    <mergeCell ref="B336:H336"/>
    <mergeCell ref="L309:M309"/>
    <mergeCell ref="A314:B314"/>
    <mergeCell ref="A311:B311"/>
    <mergeCell ref="A312:B312"/>
    <mergeCell ref="A322:B322"/>
    <mergeCell ref="L308:M308"/>
    <mergeCell ref="L305:M305"/>
    <mergeCell ref="A306:B306"/>
    <mergeCell ref="L306:M306"/>
    <mergeCell ref="A307:B307"/>
    <mergeCell ref="L307:M307"/>
    <mergeCell ref="A308:B308"/>
    <mergeCell ref="A328:B328"/>
    <mergeCell ref="A329:B329"/>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8:E129">
      <formula1>"Attached Loft area,Attached Otla area,Attached Mezzanine area"</formula1>
    </dataValidation>
    <dataValidation type="list" allowBlank="1" showInputMessage="1" showErrorMessage="1" sqref="G352:H352">
      <formula1>"Kunal Kadam,Pranita Mhatre,Diptee Gotawade,Shruti Fule,Pooja Kawale,Gaurav Panchal,Shruti Tathare, Hitakshi Mhatre, Sachin Sawant"</formula1>
    </dataValidation>
    <dataValidation type="list" allowBlank="1" showInputMessage="1" showErrorMessage="1" sqref="F101:H101">
      <formula1>"On Saleable Area,On Builtup Area,On Carpet Area,On Plot Area"</formula1>
    </dataValidation>
    <dataValidation type="list" allowBlank="1" showInputMessage="1" showErrorMessage="1" sqref="F111:H111">
      <formula1>OFFSET($S$101,1,MATCH($G20,$S$101:$W$101,0)-1,15,1)</formula1>
    </dataValidation>
    <dataValidation type="list" allowBlank="1" showInputMessage="1" showErrorMessage="1" sqref="B128:B129">
      <formula1>"Shop No. (Sale Plan),Sale / Rehab,Sale / Mhada"</formula1>
    </dataValidation>
    <dataValidation type="list" allowBlank="1" showInputMessage="1" showErrorMessage="1" sqref="B302:B303">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302:E303">
      <formula1>"Fungible area,Balcony Area,Chajja Area,Cornice Area,AP Area,WS Area"</formula1>
    </dataValidation>
    <dataValidation type="list" allowBlank="1" showInputMessage="1" showErrorMessage="1" sqref="H303 H129">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C96">
      <formula1>0</formula1>
      <formula2>H74</formula2>
    </dataValidation>
    <dataValidation type="list" allowBlank="1" showInputMessage="1" showErrorMessage="1" sqref="H128 H302">
      <formula1>"Saleable area Loading :,Builder Saleable Area"</formula1>
    </dataValidation>
    <dataValidation type="list" allowBlank="1" showInputMessage="1" showErrorMessage="1" sqref="D302:D303 D128:D129">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2" max="7" man="1"/>
    <brk id="332" max="7" man="1"/>
    <brk id="356" max="16383" man="1"/>
    <brk id="394" max="16383" man="1"/>
    <brk id="437"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7" zoomScale="70" zoomScaleNormal="70" workbookViewId="0">
      <selection activeCell="B16" sqref="B16"/>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52" t="s">
        <v>105</v>
      </c>
      <c r="C3" s="252"/>
      <c r="D3" s="252"/>
      <c r="E3" s="252"/>
      <c r="F3" s="252"/>
      <c r="G3" s="252"/>
      <c r="H3" s="252"/>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1"/>
      <c r="C4" s="51" t="s">
        <v>11</v>
      </c>
      <c r="D4" s="52" t="s">
        <v>178</v>
      </c>
      <c r="E4" s="52" t="s">
        <v>188</v>
      </c>
      <c r="F4" s="52" t="s">
        <v>173</v>
      </c>
      <c r="G4" s="52" t="s">
        <v>193</v>
      </c>
      <c r="H4" s="52" t="s">
        <v>211</v>
      </c>
      <c r="J4" t="s">
        <v>193</v>
      </c>
      <c r="K4" t="s">
        <v>209</v>
      </c>
    </row>
    <row r="5" spans="2:11" x14ac:dyDescent="0.35">
      <c r="B5" s="51"/>
      <c r="C5" s="51"/>
      <c r="D5" s="52" t="s">
        <v>179</v>
      </c>
      <c r="E5" s="52" t="s">
        <v>186</v>
      </c>
      <c r="F5" s="52" t="s">
        <v>208</v>
      </c>
      <c r="G5" s="52" t="s">
        <v>194</v>
      </c>
      <c r="H5" s="52" t="s">
        <v>212</v>
      </c>
    </row>
    <row r="6" spans="2:11" x14ac:dyDescent="0.35">
      <c r="B6" s="51"/>
      <c r="C6" s="51"/>
      <c r="D6" s="52" t="s">
        <v>180</v>
      </c>
      <c r="E6" s="52" t="s">
        <v>187</v>
      </c>
      <c r="F6" s="52" t="s">
        <v>209</v>
      </c>
      <c r="G6" s="52" t="s">
        <v>195</v>
      </c>
      <c r="H6" s="52" t="s">
        <v>225</v>
      </c>
    </row>
    <row r="7" spans="2:11" x14ac:dyDescent="0.35">
      <c r="B7" s="51"/>
      <c r="C7" s="51"/>
      <c r="D7" s="52" t="s">
        <v>181</v>
      </c>
      <c r="E7" s="52" t="s">
        <v>189</v>
      </c>
      <c r="F7" s="52" t="s">
        <v>210</v>
      </c>
      <c r="G7" s="52" t="s">
        <v>196</v>
      </c>
      <c r="H7" s="52" t="s">
        <v>213</v>
      </c>
    </row>
    <row r="8" spans="2:11" x14ac:dyDescent="0.35">
      <c r="B8" s="51"/>
      <c r="C8" s="51"/>
      <c r="D8" s="52" t="s">
        <v>182</v>
      </c>
      <c r="E8" s="52" t="s">
        <v>190</v>
      </c>
      <c r="F8" s="52"/>
      <c r="G8" s="52" t="s">
        <v>197</v>
      </c>
      <c r="H8" s="52" t="s">
        <v>214</v>
      </c>
    </row>
    <row r="9" spans="2:11" x14ac:dyDescent="0.35">
      <c r="B9" s="51"/>
      <c r="C9" s="51"/>
      <c r="D9" s="52" t="s">
        <v>183</v>
      </c>
      <c r="E9" s="52" t="s">
        <v>188</v>
      </c>
      <c r="F9" s="52"/>
      <c r="G9" s="52" t="s">
        <v>198</v>
      </c>
      <c r="H9" s="52" t="s">
        <v>215</v>
      </c>
    </row>
    <row r="10" spans="2:11" x14ac:dyDescent="0.35">
      <c r="B10" s="51"/>
      <c r="C10" s="51"/>
      <c r="D10" s="52" t="s">
        <v>184</v>
      </c>
      <c r="E10" s="52" t="s">
        <v>191</v>
      </c>
      <c r="F10" s="52"/>
      <c r="G10" s="52" t="s">
        <v>199</v>
      </c>
      <c r="H10" s="52" t="s">
        <v>216</v>
      </c>
    </row>
    <row r="11" spans="2:11" x14ac:dyDescent="0.35">
      <c r="B11" s="51"/>
      <c r="C11" s="51"/>
      <c r="D11" s="52" t="s">
        <v>185</v>
      </c>
      <c r="E11" s="52" t="s">
        <v>192</v>
      </c>
      <c r="F11" s="52"/>
      <c r="G11" s="52" t="s">
        <v>200</v>
      </c>
      <c r="H11" s="52" t="s">
        <v>217</v>
      </c>
    </row>
    <row r="12" spans="2:11" x14ac:dyDescent="0.35">
      <c r="B12" s="51"/>
      <c r="C12" s="51"/>
      <c r="D12" s="52"/>
      <c r="E12" s="52"/>
      <c r="F12" s="52"/>
      <c r="G12" s="52" t="s">
        <v>201</v>
      </c>
      <c r="H12" s="52" t="s">
        <v>218</v>
      </c>
    </row>
    <row r="13" spans="2:11" x14ac:dyDescent="0.35">
      <c r="B13" s="51"/>
      <c r="C13" s="51"/>
      <c r="D13" s="52"/>
      <c r="E13" s="52"/>
      <c r="F13" s="52"/>
      <c r="G13" s="52" t="s">
        <v>202</v>
      </c>
      <c r="H13" s="52" t="s">
        <v>219</v>
      </c>
    </row>
    <row r="14" spans="2:11" x14ac:dyDescent="0.35">
      <c r="B14" s="51"/>
      <c r="C14" s="51"/>
      <c r="D14" s="52"/>
      <c r="E14" s="52"/>
      <c r="F14" s="52"/>
      <c r="G14" s="52" t="s">
        <v>203</v>
      </c>
      <c r="H14" s="52" t="s">
        <v>220</v>
      </c>
    </row>
    <row r="15" spans="2:11" x14ac:dyDescent="0.35">
      <c r="B15" s="51"/>
      <c r="C15" s="51"/>
      <c r="D15" s="52"/>
      <c r="E15" s="52"/>
      <c r="F15" s="52"/>
      <c r="G15" s="52" t="s">
        <v>204</v>
      </c>
      <c r="H15" s="52" t="s">
        <v>221</v>
      </c>
    </row>
    <row r="16" spans="2:11" x14ac:dyDescent="0.35">
      <c r="B16" s="51"/>
      <c r="C16" s="51"/>
      <c r="D16" s="52"/>
      <c r="E16" s="52"/>
      <c r="F16" s="52"/>
      <c r="G16" s="52" t="s">
        <v>205</v>
      </c>
      <c r="H16" s="52" t="s">
        <v>222</v>
      </c>
    </row>
    <row r="17" spans="2:8" x14ac:dyDescent="0.35">
      <c r="B17" s="51"/>
      <c r="C17" s="51"/>
      <c r="D17" s="52"/>
      <c r="E17" s="52"/>
      <c r="F17" s="52"/>
      <c r="G17" s="52" t="s">
        <v>206</v>
      </c>
      <c r="H17" s="52" t="s">
        <v>223</v>
      </c>
    </row>
    <row r="18" spans="2:8" x14ac:dyDescent="0.35">
      <c r="B18" s="51"/>
      <c r="C18" s="51"/>
      <c r="D18" s="52"/>
      <c r="E18" s="52"/>
      <c r="F18" s="52"/>
      <c r="G18" s="52" t="s">
        <v>207</v>
      </c>
      <c r="H18" s="52" t="s">
        <v>224</v>
      </c>
    </row>
    <row r="24" spans="2:8" x14ac:dyDescent="0.35">
      <c r="C24" t="s">
        <v>170</v>
      </c>
    </row>
    <row r="25" spans="2:8" x14ac:dyDescent="0.35">
      <c r="C25" t="s">
        <v>226</v>
      </c>
    </row>
    <row r="26" spans="2:8" x14ac:dyDescent="0.35">
      <c r="C26" t="s">
        <v>227</v>
      </c>
    </row>
    <row r="27" spans="2:8" x14ac:dyDescent="0.35">
      <c r="C27" t="s">
        <v>228</v>
      </c>
    </row>
    <row r="28" spans="2:8" x14ac:dyDescent="0.35">
      <c r="C28" t="s">
        <v>229</v>
      </c>
    </row>
    <row r="29" spans="2:8" x14ac:dyDescent="0.35">
      <c r="C29" t="s">
        <v>230</v>
      </c>
    </row>
    <row r="30" spans="2:8" x14ac:dyDescent="0.35">
      <c r="C30" t="s">
        <v>170</v>
      </c>
    </row>
    <row r="33" spans="3:11" x14ac:dyDescent="0.35">
      <c r="J33">
        <v>1</v>
      </c>
      <c r="K33">
        <v>2</v>
      </c>
    </row>
    <row r="34" spans="3:11" x14ac:dyDescent="0.35">
      <c r="C34" s="56" t="s">
        <v>236</v>
      </c>
      <c r="D34" s="52" t="s">
        <v>234</v>
      </c>
      <c r="E34" s="52" t="s">
        <v>239</v>
      </c>
      <c r="F34" s="52" t="s">
        <v>237</v>
      </c>
      <c r="G34" s="52" t="s">
        <v>238</v>
      </c>
      <c r="H34" s="52" t="s">
        <v>240</v>
      </c>
      <c r="J34" t="s">
        <v>193</v>
      </c>
      <c r="K34" t="s">
        <v>209</v>
      </c>
    </row>
    <row r="35" spans="3:11" x14ac:dyDescent="0.35">
      <c r="C35" s="51" t="s">
        <v>235</v>
      </c>
      <c r="D35" s="52" t="s">
        <v>171</v>
      </c>
      <c r="E35" s="52" t="s">
        <v>244</v>
      </c>
      <c r="F35" s="52" t="s">
        <v>246</v>
      </c>
      <c r="G35" s="52" t="s">
        <v>248</v>
      </c>
      <c r="H35" s="52"/>
    </row>
    <row r="36" spans="3:11" x14ac:dyDescent="0.35">
      <c r="C36" s="51"/>
      <c r="D36" s="52" t="s">
        <v>241</v>
      </c>
      <c r="E36" s="52" t="s">
        <v>245</v>
      </c>
      <c r="F36" s="52" t="s">
        <v>247</v>
      </c>
      <c r="G36" s="52" t="s">
        <v>249</v>
      </c>
      <c r="H36" s="52"/>
    </row>
    <row r="37" spans="3:11" x14ac:dyDescent="0.35">
      <c r="C37" s="51"/>
      <c r="D37" s="52" t="s">
        <v>242</v>
      </c>
      <c r="E37" s="52"/>
      <c r="F37" s="52"/>
      <c r="G37" s="52" t="s">
        <v>250</v>
      </c>
      <c r="H37" s="52"/>
    </row>
    <row r="38" spans="3:11" x14ac:dyDescent="0.35">
      <c r="C38" s="51"/>
      <c r="D38" s="52" t="s">
        <v>243</v>
      </c>
      <c r="E38" s="52"/>
      <c r="F38" s="52"/>
      <c r="G38" s="52" t="s">
        <v>250</v>
      </c>
      <c r="H38" s="52"/>
    </row>
    <row r="39" spans="3:11" x14ac:dyDescent="0.35">
      <c r="C39" s="51"/>
      <c r="D39" s="52"/>
      <c r="E39" s="52"/>
      <c r="F39" s="52"/>
      <c r="G39" s="52" t="s">
        <v>251</v>
      </c>
      <c r="H39" s="52"/>
    </row>
    <row r="40" spans="3:11" x14ac:dyDescent="0.35">
      <c r="C40" s="51"/>
      <c r="D40" s="52"/>
      <c r="E40" s="52"/>
      <c r="F40" s="52"/>
      <c r="G40" s="52" t="s">
        <v>252</v>
      </c>
      <c r="H40" s="52"/>
    </row>
    <row r="41" spans="3:11" x14ac:dyDescent="0.35">
      <c r="C41" s="51"/>
      <c r="D41" s="52"/>
      <c r="E41" s="52"/>
      <c r="F41" s="52"/>
      <c r="G41" s="52"/>
      <c r="H41" s="52"/>
    </row>
    <row r="43" spans="3:11" x14ac:dyDescent="0.35">
      <c r="C43" t="s">
        <v>253</v>
      </c>
    </row>
    <row r="44" spans="3:11" x14ac:dyDescent="0.35">
      <c r="C44" t="s">
        <v>173</v>
      </c>
      <c r="D44" t="s">
        <v>254</v>
      </c>
    </row>
    <row r="45" spans="3:11" x14ac:dyDescent="0.35">
      <c r="D45" t="s">
        <v>255</v>
      </c>
    </row>
    <row r="46" spans="3:11" x14ac:dyDescent="0.35">
      <c r="D46" t="s">
        <v>256</v>
      </c>
    </row>
    <row r="47" spans="3:11" x14ac:dyDescent="0.35">
      <c r="D47" t="s">
        <v>257</v>
      </c>
    </row>
    <row r="48" spans="3:11" x14ac:dyDescent="0.35">
      <c r="D48" t="s">
        <v>258</v>
      </c>
    </row>
    <row r="49" spans="3:4" x14ac:dyDescent="0.35">
      <c r="C49" t="s">
        <v>178</v>
      </c>
      <c r="D49" t="s">
        <v>259</v>
      </c>
    </row>
    <row r="50" spans="3:4" x14ac:dyDescent="0.35">
      <c r="D50" t="s">
        <v>260</v>
      </c>
    </row>
    <row r="51" spans="3:4" x14ac:dyDescent="0.35">
      <c r="D51" t="s">
        <v>261</v>
      </c>
    </row>
    <row r="52" spans="3:4" x14ac:dyDescent="0.35">
      <c r="D52" t="s">
        <v>264</v>
      </c>
    </row>
    <row r="53" spans="3:4" x14ac:dyDescent="0.35">
      <c r="D53" t="s">
        <v>262</v>
      </c>
    </row>
    <row r="54" spans="3:4" x14ac:dyDescent="0.35">
      <c r="D54" t="s">
        <v>263</v>
      </c>
    </row>
    <row r="55" spans="3:4" x14ac:dyDescent="0.35">
      <c r="D55" t="s">
        <v>265</v>
      </c>
    </row>
    <row r="56" spans="3:4" x14ac:dyDescent="0.35">
      <c r="D56" t="s">
        <v>266</v>
      </c>
    </row>
    <row r="57" spans="3:4" x14ac:dyDescent="0.35">
      <c r="D57" t="s">
        <v>267</v>
      </c>
    </row>
    <row r="58" spans="3:4" x14ac:dyDescent="0.35">
      <c r="D58" t="s">
        <v>269</v>
      </c>
    </row>
    <row r="59" spans="3:4" x14ac:dyDescent="0.35">
      <c r="D59" t="s">
        <v>278</v>
      </c>
    </row>
    <row r="60" spans="3:4" x14ac:dyDescent="0.35">
      <c r="C60" t="s">
        <v>193</v>
      </c>
      <c r="D60" t="s">
        <v>270</v>
      </c>
    </row>
    <row r="61" spans="3:4" x14ac:dyDescent="0.35">
      <c r="D61" t="s">
        <v>268</v>
      </c>
    </row>
    <row r="62" spans="3:4" x14ac:dyDescent="0.35">
      <c r="D62" t="s">
        <v>258</v>
      </c>
    </row>
    <row r="63" spans="3:4" x14ac:dyDescent="0.35">
      <c r="D63" t="s">
        <v>271</v>
      </c>
    </row>
    <row r="64" spans="3:4" x14ac:dyDescent="0.35">
      <c r="D64" t="s">
        <v>272</v>
      </c>
    </row>
    <row r="65" spans="3:4" x14ac:dyDescent="0.35">
      <c r="D65" t="s">
        <v>273</v>
      </c>
    </row>
    <row r="66" spans="3:4" x14ac:dyDescent="0.35">
      <c r="D66" t="s">
        <v>274</v>
      </c>
    </row>
    <row r="67" spans="3:4" x14ac:dyDescent="0.35">
      <c r="C67" t="s">
        <v>188</v>
      </c>
      <c r="D67" t="s">
        <v>275</v>
      </c>
    </row>
    <row r="68" spans="3:4" x14ac:dyDescent="0.35">
      <c r="D68" t="s">
        <v>276</v>
      </c>
    </row>
    <row r="69" spans="3:4" x14ac:dyDescent="0.3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topLeftCell="A16" workbookViewId="0">
      <selection sqref="A1:XFD1048576"/>
    </sheetView>
  </sheetViews>
  <sheetFormatPr defaultRowHeight="14.5" x14ac:dyDescent="0.35"/>
  <cols>
    <col min="2" max="2" width="3" bestFit="1" customWidth="1"/>
    <col min="3" max="3" width="155.26953125" customWidth="1"/>
  </cols>
  <sheetData>
    <row r="2" spans="2:3" ht="15" customHeight="1" x14ac:dyDescent="0.35">
      <c r="B2" s="57">
        <v>1</v>
      </c>
      <c r="C2" s="60" t="s">
        <v>284</v>
      </c>
    </row>
    <row r="3" spans="2:3" x14ac:dyDescent="0.35">
      <c r="B3" s="57">
        <v>2</v>
      </c>
      <c r="C3" s="58" t="s">
        <v>285</v>
      </c>
    </row>
    <row r="4" spans="2:3" x14ac:dyDescent="0.35">
      <c r="B4" s="57">
        <v>3</v>
      </c>
      <c r="C4" s="59" t="s">
        <v>286</v>
      </c>
    </row>
    <row r="5" spans="2:3" x14ac:dyDescent="0.35">
      <c r="B5" s="57">
        <v>4</v>
      </c>
      <c r="C5" s="58" t="s">
        <v>287</v>
      </c>
    </row>
    <row r="6" spans="2:3" x14ac:dyDescent="0.35">
      <c r="B6" s="57">
        <v>5</v>
      </c>
      <c r="C6" s="59" t="s">
        <v>288</v>
      </c>
    </row>
    <row r="7" spans="2:3" ht="29" x14ac:dyDescent="0.35">
      <c r="B7" s="57">
        <v>6</v>
      </c>
      <c r="C7" s="58" t="s">
        <v>289</v>
      </c>
    </row>
    <row r="8" spans="2:3" ht="72.5" x14ac:dyDescent="0.35">
      <c r="B8" s="57">
        <v>7</v>
      </c>
      <c r="C8" s="58" t="s">
        <v>290</v>
      </c>
    </row>
    <row r="9" spans="2:3" x14ac:dyDescent="0.35">
      <c r="B9" s="57">
        <v>8</v>
      </c>
      <c r="C9" s="59" t="s">
        <v>291</v>
      </c>
    </row>
    <row r="10" spans="2:3" x14ac:dyDescent="0.35">
      <c r="B10" s="57">
        <v>9</v>
      </c>
      <c r="C10" s="59" t="s">
        <v>292</v>
      </c>
    </row>
    <row r="11" spans="2:3" x14ac:dyDescent="0.35">
      <c r="B11" s="57">
        <v>10</v>
      </c>
      <c r="C11" s="59" t="s">
        <v>293</v>
      </c>
    </row>
    <row r="12" spans="2:3" x14ac:dyDescent="0.35">
      <c r="B12" s="57">
        <v>11</v>
      </c>
      <c r="C12" s="59" t="s">
        <v>294</v>
      </c>
    </row>
    <row r="13" spans="2:3" x14ac:dyDescent="0.35">
      <c r="B13" s="57">
        <v>12</v>
      </c>
      <c r="C13" s="59" t="s">
        <v>295</v>
      </c>
    </row>
    <row r="14" spans="2:3" x14ac:dyDescent="0.35">
      <c r="B14" s="57">
        <v>13</v>
      </c>
      <c r="C14" s="59" t="s">
        <v>296</v>
      </c>
    </row>
    <row r="15" spans="2:3" x14ac:dyDescent="0.35">
      <c r="B15" s="57">
        <v>14</v>
      </c>
      <c r="C15" s="59" t="s">
        <v>286</v>
      </c>
    </row>
    <row r="16" spans="2:3" x14ac:dyDescent="0.35">
      <c r="B16" s="57">
        <v>15</v>
      </c>
      <c r="C16" s="59" t="s">
        <v>298</v>
      </c>
    </row>
    <row r="17" spans="2:3" ht="31.5" customHeight="1" x14ac:dyDescent="0.35">
      <c r="B17" s="84">
        <v>16</v>
      </c>
      <c r="C17" s="66" t="s">
        <v>299</v>
      </c>
    </row>
    <row r="18" spans="2:3" x14ac:dyDescent="0.35">
      <c r="B18" s="65">
        <v>17</v>
      </c>
      <c r="C18" s="66" t="s">
        <v>300</v>
      </c>
    </row>
    <row r="19" spans="2:3" x14ac:dyDescent="0.35">
      <c r="B19" s="64">
        <v>18</v>
      </c>
      <c r="C19" s="57" t="s">
        <v>301</v>
      </c>
    </row>
    <row r="20" spans="2:3" x14ac:dyDescent="0.35">
      <c r="B20" s="65">
        <v>19</v>
      </c>
      <c r="C20" s="57" t="s">
        <v>337</v>
      </c>
    </row>
    <row r="21" spans="2:3" x14ac:dyDescent="0.35">
      <c r="B21" s="67">
        <v>20</v>
      </c>
      <c r="C21" s="57" t="s">
        <v>302</v>
      </c>
    </row>
    <row r="22" spans="2:3" x14ac:dyDescent="0.35">
      <c r="B22" s="65">
        <v>21</v>
      </c>
      <c r="C22" s="57" t="s">
        <v>301</v>
      </c>
    </row>
    <row r="23" spans="2:3" s="76" customFormat="1" ht="29.25" customHeight="1" x14ac:dyDescent="0.35">
      <c r="B23" s="75">
        <v>22</v>
      </c>
      <c r="C23" s="60" t="s">
        <v>329</v>
      </c>
    </row>
    <row r="24" spans="2:3" s="76" customFormat="1" ht="30.75" customHeight="1" x14ac:dyDescent="0.35">
      <c r="B24" s="77">
        <v>23</v>
      </c>
      <c r="C24" s="60" t="s">
        <v>330</v>
      </c>
    </row>
    <row r="25" spans="2:3" x14ac:dyDescent="0.35">
      <c r="B25" s="67">
        <v>24</v>
      </c>
      <c r="C25" s="57" t="s">
        <v>333</v>
      </c>
    </row>
    <row r="26" spans="2:3" x14ac:dyDescent="0.35">
      <c r="B26" s="65">
        <v>25</v>
      </c>
      <c r="C26" s="57" t="s">
        <v>331</v>
      </c>
    </row>
    <row r="27" spans="2:3" x14ac:dyDescent="0.35">
      <c r="B27" s="77">
        <v>26</v>
      </c>
      <c r="C27" s="67" t="s">
        <v>332</v>
      </c>
    </row>
    <row r="28" spans="2:3" x14ac:dyDescent="0.35">
      <c r="B28" s="78">
        <v>27</v>
      </c>
      <c r="C28" s="57" t="s">
        <v>334</v>
      </c>
    </row>
    <row r="29" spans="2:3" ht="43.5" x14ac:dyDescent="0.35">
      <c r="B29" s="83">
        <v>28</v>
      </c>
      <c r="C29" s="58" t="s">
        <v>335</v>
      </c>
    </row>
    <row r="30" spans="2:3" x14ac:dyDescent="0.35">
      <c r="B30" s="77">
        <v>29</v>
      </c>
      <c r="C30" s="57" t="s">
        <v>336</v>
      </c>
    </row>
    <row r="31" spans="2:3" x14ac:dyDescent="0.35">
      <c r="B31" s="85">
        <v>30</v>
      </c>
      <c r="C31" s="57"/>
    </row>
    <row r="32" spans="2:3" x14ac:dyDescent="0.35">
      <c r="B32" s="77">
        <v>31</v>
      </c>
      <c r="C32" s="57"/>
    </row>
    <row r="33" spans="2:3" x14ac:dyDescent="0.35">
      <c r="B33" s="77">
        <v>32</v>
      </c>
      <c r="C33" s="57"/>
    </row>
    <row r="34" spans="2:3" x14ac:dyDescent="0.35">
      <c r="B34" s="85">
        <v>33</v>
      </c>
      <c r="C34" s="57"/>
    </row>
    <row r="35" spans="2:3" x14ac:dyDescent="0.35">
      <c r="B35" s="77">
        <v>34</v>
      </c>
      <c r="C35" s="57"/>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51"/>
    <col min="2" max="2" width="12.26953125" style="51" customWidth="1"/>
    <col min="3" max="16384" width="9.1796875" style="51"/>
  </cols>
  <sheetData>
    <row r="2" spans="1:12" x14ac:dyDescent="0.35">
      <c r="B2" s="69" t="s">
        <v>303</v>
      </c>
      <c r="C2" s="253"/>
      <c r="D2" s="253"/>
    </row>
    <row r="3" spans="1:12" x14ac:dyDescent="0.35">
      <c r="D3" s="70"/>
      <c r="E3" s="70"/>
      <c r="F3" s="70"/>
      <c r="G3" s="70"/>
      <c r="H3" s="70"/>
      <c r="I3" s="70"/>
    </row>
    <row r="4" spans="1:12" x14ac:dyDescent="0.35">
      <c r="A4" s="69" t="s">
        <v>66</v>
      </c>
      <c r="B4" s="71" t="s">
        <v>304</v>
      </c>
      <c r="C4" s="254" t="s">
        <v>305</v>
      </c>
      <c r="D4" s="254"/>
      <c r="E4" s="254"/>
      <c r="F4" s="71"/>
      <c r="G4" s="255" t="s">
        <v>306</v>
      </c>
      <c r="H4" s="255"/>
      <c r="I4" s="255"/>
      <c r="J4" s="256" t="s">
        <v>307</v>
      </c>
      <c r="K4" s="256"/>
      <c r="L4" s="256"/>
    </row>
    <row r="5" spans="1:12" x14ac:dyDescent="0.35">
      <c r="A5" s="69"/>
      <c r="B5" s="71"/>
      <c r="C5" s="71" t="s">
        <v>308</v>
      </c>
      <c r="D5" s="71" t="s">
        <v>309</v>
      </c>
      <c r="E5" s="71" t="s">
        <v>310</v>
      </c>
      <c r="F5" s="71"/>
      <c r="G5" s="71" t="s">
        <v>308</v>
      </c>
      <c r="H5" s="71" t="s">
        <v>309</v>
      </c>
      <c r="I5" s="71" t="s">
        <v>310</v>
      </c>
      <c r="J5" s="71" t="s">
        <v>308</v>
      </c>
      <c r="K5" s="71" t="s">
        <v>309</v>
      </c>
      <c r="L5" s="71" t="s">
        <v>310</v>
      </c>
    </row>
    <row r="6" spans="1:12" x14ac:dyDescent="0.35">
      <c r="B6" s="52" t="s">
        <v>311</v>
      </c>
      <c r="C6" s="52"/>
      <c r="D6" s="52"/>
      <c r="E6" s="52">
        <f>C6*D6</f>
        <v>0</v>
      </c>
      <c r="F6" s="52" t="s">
        <v>328</v>
      </c>
      <c r="G6" s="52"/>
      <c r="H6" s="52"/>
      <c r="I6" s="52">
        <f>G6*H6</f>
        <v>0</v>
      </c>
      <c r="J6" s="52"/>
      <c r="K6" s="52"/>
      <c r="L6" s="52">
        <f>J6*K6</f>
        <v>0</v>
      </c>
    </row>
    <row r="7" spans="1:12" x14ac:dyDescent="0.35">
      <c r="B7" s="52"/>
      <c r="C7" s="52"/>
      <c r="D7" s="52"/>
      <c r="E7" s="52">
        <f t="shared" ref="E7:E41" si="0">C7*D7</f>
        <v>0</v>
      </c>
      <c r="F7" s="52" t="s">
        <v>328</v>
      </c>
      <c r="G7" s="52"/>
      <c r="H7" s="52"/>
      <c r="I7" s="52">
        <f t="shared" ref="I7:I35" si="1">G7*H7</f>
        <v>0</v>
      </c>
      <c r="J7" s="52"/>
      <c r="K7" s="52"/>
      <c r="L7" s="52">
        <f t="shared" ref="L7:L35" si="2">J7*K7</f>
        <v>0</v>
      </c>
    </row>
    <row r="8" spans="1:12" x14ac:dyDescent="0.35">
      <c r="B8" s="52"/>
      <c r="C8" s="52"/>
      <c r="D8" s="52"/>
      <c r="E8" s="52">
        <f t="shared" si="0"/>
        <v>0</v>
      </c>
      <c r="F8" s="52"/>
      <c r="G8" s="52"/>
      <c r="H8" s="52"/>
      <c r="I8" s="52">
        <f t="shared" si="1"/>
        <v>0</v>
      </c>
      <c r="J8" s="52"/>
      <c r="K8" s="52"/>
      <c r="L8" s="52">
        <f t="shared" si="2"/>
        <v>0</v>
      </c>
    </row>
    <row r="9" spans="1:12" x14ac:dyDescent="0.35">
      <c r="B9" s="52"/>
      <c r="C9" s="52"/>
      <c r="D9" s="52"/>
      <c r="E9" s="52">
        <f t="shared" si="0"/>
        <v>0</v>
      </c>
      <c r="F9" s="52" t="s">
        <v>312</v>
      </c>
      <c r="G9" s="52"/>
      <c r="H9" s="52"/>
      <c r="I9" s="52">
        <f t="shared" si="1"/>
        <v>0</v>
      </c>
      <c r="J9" s="52"/>
      <c r="K9" s="52"/>
      <c r="L9" s="52">
        <f t="shared" si="2"/>
        <v>0</v>
      </c>
    </row>
    <row r="10" spans="1:12" x14ac:dyDescent="0.35">
      <c r="B10" s="52" t="s">
        <v>313</v>
      </c>
      <c r="C10" s="52"/>
      <c r="D10" s="52"/>
      <c r="E10" s="52">
        <f t="shared" si="0"/>
        <v>0</v>
      </c>
      <c r="F10" s="52" t="s">
        <v>312</v>
      </c>
      <c r="G10" s="52"/>
      <c r="H10" s="52"/>
      <c r="I10" s="52">
        <f t="shared" si="1"/>
        <v>0</v>
      </c>
      <c r="J10" s="52"/>
      <c r="K10" s="52"/>
      <c r="L10" s="52">
        <f t="shared" si="2"/>
        <v>0</v>
      </c>
    </row>
    <row r="11" spans="1:12" x14ac:dyDescent="0.35">
      <c r="B11" s="52"/>
      <c r="C11" s="52"/>
      <c r="D11" s="52"/>
      <c r="E11" s="52">
        <f t="shared" si="0"/>
        <v>0</v>
      </c>
      <c r="F11" s="52" t="s">
        <v>314</v>
      </c>
      <c r="G11" s="52"/>
      <c r="H11" s="52"/>
      <c r="I11" s="52">
        <f t="shared" si="1"/>
        <v>0</v>
      </c>
      <c r="J11" s="52"/>
      <c r="K11" s="52"/>
      <c r="L11" s="52">
        <f t="shared" si="2"/>
        <v>0</v>
      </c>
    </row>
    <row r="12" spans="1:12" x14ac:dyDescent="0.35">
      <c r="B12" s="52"/>
      <c r="C12" s="52"/>
      <c r="D12" s="52"/>
      <c r="E12" s="52">
        <f t="shared" si="0"/>
        <v>0</v>
      </c>
      <c r="F12" s="52"/>
      <c r="G12" s="52"/>
      <c r="H12" s="52"/>
      <c r="I12" s="52">
        <f t="shared" si="1"/>
        <v>0</v>
      </c>
      <c r="J12" s="52"/>
      <c r="K12" s="52"/>
      <c r="L12" s="52">
        <f t="shared" si="2"/>
        <v>0</v>
      </c>
    </row>
    <row r="13" spans="1:12" x14ac:dyDescent="0.35">
      <c r="B13" s="52"/>
      <c r="C13" s="52"/>
      <c r="D13" s="52"/>
      <c r="E13" s="52">
        <f t="shared" si="0"/>
        <v>0</v>
      </c>
      <c r="F13" s="52"/>
      <c r="G13" s="52"/>
      <c r="H13" s="52"/>
      <c r="I13" s="52">
        <f t="shared" si="1"/>
        <v>0</v>
      </c>
      <c r="J13" s="52"/>
      <c r="K13" s="52"/>
      <c r="L13" s="52">
        <f t="shared" si="2"/>
        <v>0</v>
      </c>
    </row>
    <row r="14" spans="1:12" x14ac:dyDescent="0.35">
      <c r="B14" s="52" t="s">
        <v>315</v>
      </c>
      <c r="C14" s="52"/>
      <c r="D14" s="52"/>
      <c r="E14" s="52">
        <f t="shared" si="0"/>
        <v>0</v>
      </c>
      <c r="F14" s="52" t="s">
        <v>312</v>
      </c>
      <c r="G14" s="52"/>
      <c r="H14" s="52"/>
      <c r="I14" s="52">
        <f t="shared" si="1"/>
        <v>0</v>
      </c>
      <c r="J14" s="52"/>
      <c r="K14" s="52"/>
      <c r="L14" s="52">
        <f t="shared" si="2"/>
        <v>0</v>
      </c>
    </row>
    <row r="15" spans="1:12" x14ac:dyDescent="0.35">
      <c r="B15" s="52"/>
      <c r="C15" s="52"/>
      <c r="D15" s="52"/>
      <c r="E15" s="52">
        <f t="shared" si="0"/>
        <v>0</v>
      </c>
      <c r="F15" s="52" t="s">
        <v>314</v>
      </c>
      <c r="G15" s="52"/>
      <c r="H15" s="52"/>
      <c r="I15" s="52">
        <f t="shared" si="1"/>
        <v>0</v>
      </c>
      <c r="J15" s="52"/>
      <c r="K15" s="52"/>
      <c r="L15" s="52">
        <f t="shared" si="2"/>
        <v>0</v>
      </c>
    </row>
    <row r="16" spans="1:12" x14ac:dyDescent="0.35">
      <c r="B16" s="52"/>
      <c r="C16" s="52"/>
      <c r="D16" s="52"/>
      <c r="E16" s="52">
        <f t="shared" si="0"/>
        <v>0</v>
      </c>
      <c r="F16" s="52"/>
      <c r="G16" s="52"/>
      <c r="H16" s="52"/>
      <c r="I16" s="52">
        <f t="shared" si="1"/>
        <v>0</v>
      </c>
      <c r="J16" s="52"/>
      <c r="K16" s="52"/>
      <c r="L16" s="52">
        <f t="shared" si="2"/>
        <v>0</v>
      </c>
    </row>
    <row r="17" spans="2:12" x14ac:dyDescent="0.35">
      <c r="B17" s="52"/>
      <c r="C17" s="52"/>
      <c r="D17" s="52"/>
      <c r="E17" s="52">
        <f t="shared" si="0"/>
        <v>0</v>
      </c>
      <c r="F17" s="52"/>
      <c r="G17" s="52"/>
      <c r="H17" s="52"/>
      <c r="I17" s="52">
        <f t="shared" si="1"/>
        <v>0</v>
      </c>
      <c r="J17" s="52"/>
      <c r="K17" s="52"/>
      <c r="L17" s="52">
        <f t="shared" si="2"/>
        <v>0</v>
      </c>
    </row>
    <row r="18" spans="2:12" x14ac:dyDescent="0.35">
      <c r="B18" s="52" t="s">
        <v>316</v>
      </c>
      <c r="C18" s="52"/>
      <c r="D18" s="52"/>
      <c r="E18" s="52">
        <f t="shared" si="0"/>
        <v>0</v>
      </c>
      <c r="F18" s="52" t="s">
        <v>312</v>
      </c>
      <c r="G18" s="52"/>
      <c r="H18" s="52"/>
      <c r="I18" s="52">
        <f t="shared" si="1"/>
        <v>0</v>
      </c>
      <c r="J18" s="52"/>
      <c r="K18" s="52"/>
      <c r="L18" s="52">
        <f t="shared" si="2"/>
        <v>0</v>
      </c>
    </row>
    <row r="19" spans="2:12" x14ac:dyDescent="0.35">
      <c r="B19" s="52"/>
      <c r="C19" s="52"/>
      <c r="D19" s="52"/>
      <c r="E19" s="52">
        <f t="shared" si="0"/>
        <v>0</v>
      </c>
      <c r="F19" s="52" t="s">
        <v>314</v>
      </c>
      <c r="G19" s="52"/>
      <c r="H19" s="52"/>
      <c r="I19" s="52">
        <f t="shared" si="1"/>
        <v>0</v>
      </c>
      <c r="J19" s="52"/>
      <c r="K19" s="52"/>
      <c r="L19" s="52">
        <f t="shared" si="2"/>
        <v>0</v>
      </c>
    </row>
    <row r="20" spans="2:12" x14ac:dyDescent="0.35">
      <c r="B20" s="52"/>
      <c r="C20" s="52"/>
      <c r="D20" s="52"/>
      <c r="E20" s="52">
        <f t="shared" si="0"/>
        <v>0</v>
      </c>
      <c r="F20" s="52"/>
      <c r="G20" s="52"/>
      <c r="H20" s="52"/>
      <c r="I20" s="52">
        <f t="shared" si="1"/>
        <v>0</v>
      </c>
      <c r="J20" s="52"/>
      <c r="K20" s="52"/>
      <c r="L20" s="52">
        <f t="shared" si="2"/>
        <v>0</v>
      </c>
    </row>
    <row r="21" spans="2:12" x14ac:dyDescent="0.35">
      <c r="B21" s="52" t="s">
        <v>317</v>
      </c>
      <c r="C21" s="52"/>
      <c r="D21" s="52"/>
      <c r="E21" s="52">
        <f t="shared" si="0"/>
        <v>0</v>
      </c>
      <c r="F21" s="52" t="s">
        <v>312</v>
      </c>
      <c r="G21" s="52"/>
      <c r="H21" s="52"/>
      <c r="I21" s="52">
        <f t="shared" si="1"/>
        <v>0</v>
      </c>
      <c r="J21" s="52"/>
      <c r="K21" s="52"/>
      <c r="L21" s="52">
        <f t="shared" si="2"/>
        <v>0</v>
      </c>
    </row>
    <row r="22" spans="2:12" x14ac:dyDescent="0.35">
      <c r="B22" s="52"/>
      <c r="C22" s="52"/>
      <c r="D22" s="52"/>
      <c r="E22" s="52">
        <f t="shared" si="0"/>
        <v>0</v>
      </c>
      <c r="F22" s="52" t="s">
        <v>314</v>
      </c>
      <c r="G22" s="52"/>
      <c r="H22" s="52"/>
      <c r="I22" s="52">
        <f t="shared" si="1"/>
        <v>0</v>
      </c>
      <c r="J22" s="52"/>
      <c r="K22" s="52"/>
      <c r="L22" s="52">
        <f t="shared" si="2"/>
        <v>0</v>
      </c>
    </row>
    <row r="23" spans="2:12" x14ac:dyDescent="0.35">
      <c r="B23" s="52"/>
      <c r="C23" s="52"/>
      <c r="D23" s="52"/>
      <c r="E23" s="52">
        <f t="shared" si="0"/>
        <v>0</v>
      </c>
      <c r="F23" s="52"/>
      <c r="G23" s="52"/>
      <c r="H23" s="52"/>
      <c r="I23" s="52">
        <f t="shared" si="1"/>
        <v>0</v>
      </c>
      <c r="J23" s="52"/>
      <c r="K23" s="52"/>
      <c r="L23" s="52">
        <f t="shared" si="2"/>
        <v>0</v>
      </c>
    </row>
    <row r="24" spans="2:12" x14ac:dyDescent="0.35">
      <c r="B24" s="52" t="s">
        <v>318</v>
      </c>
      <c r="C24" s="52"/>
      <c r="D24" s="52"/>
      <c r="E24" s="52">
        <f t="shared" si="0"/>
        <v>0</v>
      </c>
      <c r="F24" s="52" t="s">
        <v>319</v>
      </c>
      <c r="G24" s="52"/>
      <c r="H24" s="52"/>
      <c r="I24" s="52">
        <f t="shared" si="1"/>
        <v>0</v>
      </c>
      <c r="J24" s="52"/>
      <c r="K24" s="52"/>
      <c r="L24" s="52">
        <f t="shared" si="2"/>
        <v>0</v>
      </c>
    </row>
    <row r="25" spans="2:12" x14ac:dyDescent="0.35">
      <c r="B25" s="52"/>
      <c r="C25" s="52"/>
      <c r="D25" s="52"/>
      <c r="E25" s="52">
        <f t="shared" ref="E25:E27" si="3">C25*D25</f>
        <v>0</v>
      </c>
      <c r="F25" s="52" t="s">
        <v>319</v>
      </c>
      <c r="G25" s="52"/>
      <c r="H25" s="52"/>
      <c r="I25" s="52">
        <f t="shared" ref="I25:I27" si="4">G25*H25</f>
        <v>0</v>
      </c>
      <c r="J25" s="52"/>
      <c r="K25" s="52"/>
      <c r="L25" s="52">
        <f t="shared" ref="L25:L27" si="5">J25*K25</f>
        <v>0</v>
      </c>
    </row>
    <row r="26" spans="2:12" x14ac:dyDescent="0.35">
      <c r="B26" s="52"/>
      <c r="C26" s="52"/>
      <c r="D26" s="52"/>
      <c r="E26" s="52">
        <f t="shared" si="3"/>
        <v>0</v>
      </c>
      <c r="F26" s="52" t="s">
        <v>319</v>
      </c>
      <c r="G26" s="52"/>
      <c r="H26" s="52"/>
      <c r="I26" s="52">
        <f t="shared" si="4"/>
        <v>0</v>
      </c>
      <c r="J26" s="52"/>
      <c r="K26" s="52"/>
      <c r="L26" s="52">
        <f t="shared" si="5"/>
        <v>0</v>
      </c>
    </row>
    <row r="27" spans="2:12" x14ac:dyDescent="0.35">
      <c r="B27" s="52"/>
      <c r="C27" s="52"/>
      <c r="D27" s="52"/>
      <c r="E27" s="52">
        <f t="shared" si="3"/>
        <v>0</v>
      </c>
      <c r="F27" s="52" t="s">
        <v>319</v>
      </c>
      <c r="G27" s="52"/>
      <c r="H27" s="52"/>
      <c r="I27" s="52">
        <f t="shared" si="4"/>
        <v>0</v>
      </c>
      <c r="J27" s="52"/>
      <c r="K27" s="52"/>
      <c r="L27" s="52">
        <f t="shared" si="5"/>
        <v>0</v>
      </c>
    </row>
    <row r="28" spans="2:12" x14ac:dyDescent="0.35">
      <c r="B28" s="52" t="s">
        <v>320</v>
      </c>
      <c r="C28" s="52"/>
      <c r="D28" s="52"/>
      <c r="E28" s="52">
        <f t="shared" si="0"/>
        <v>0</v>
      </c>
      <c r="F28" s="52" t="s">
        <v>319</v>
      </c>
      <c r="G28" s="52"/>
      <c r="H28" s="52"/>
      <c r="I28" s="52">
        <f t="shared" si="1"/>
        <v>0</v>
      </c>
      <c r="J28" s="52"/>
      <c r="K28" s="52"/>
      <c r="L28" s="52">
        <f t="shared" si="2"/>
        <v>0</v>
      </c>
    </row>
    <row r="29" spans="2:12" x14ac:dyDescent="0.35">
      <c r="B29" s="52" t="s">
        <v>321</v>
      </c>
      <c r="C29" s="52"/>
      <c r="D29" s="52"/>
      <c r="E29" s="52">
        <f t="shared" si="0"/>
        <v>0</v>
      </c>
      <c r="F29" s="52" t="s">
        <v>319</v>
      </c>
      <c r="G29" s="52"/>
      <c r="H29" s="52"/>
      <c r="I29" s="52">
        <f t="shared" si="1"/>
        <v>0</v>
      </c>
      <c r="J29" s="52"/>
      <c r="K29" s="52"/>
      <c r="L29" s="52">
        <f t="shared" si="2"/>
        <v>0</v>
      </c>
    </row>
    <row r="30" spans="2:12" x14ac:dyDescent="0.35">
      <c r="B30" s="52" t="s">
        <v>325</v>
      </c>
      <c r="C30" s="52"/>
      <c r="D30" s="52"/>
      <c r="E30" s="52">
        <f t="shared" si="0"/>
        <v>0</v>
      </c>
      <c r="F30" s="52"/>
      <c r="G30" s="52"/>
      <c r="H30" s="52"/>
      <c r="I30" s="52">
        <f t="shared" si="1"/>
        <v>0</v>
      </c>
      <c r="J30" s="52"/>
      <c r="K30" s="52"/>
      <c r="L30" s="52">
        <f t="shared" si="2"/>
        <v>0</v>
      </c>
    </row>
    <row r="31" spans="2:12" x14ac:dyDescent="0.35">
      <c r="B31" s="52"/>
      <c r="C31" s="52"/>
      <c r="D31" s="52"/>
      <c r="E31" s="52">
        <f t="shared" ref="E31:E32" si="6">C31*D31</f>
        <v>0</v>
      </c>
      <c r="F31" s="52"/>
      <c r="G31" s="52"/>
      <c r="H31" s="52"/>
      <c r="I31" s="52">
        <f t="shared" ref="I31:I32" si="7">G31*H31</f>
        <v>0</v>
      </c>
      <c r="J31" s="52"/>
      <c r="K31" s="52"/>
      <c r="L31" s="52">
        <f t="shared" ref="L31:L32" si="8">J31*K31</f>
        <v>0</v>
      </c>
    </row>
    <row r="32" spans="2:12" x14ac:dyDescent="0.35">
      <c r="B32" s="52"/>
      <c r="C32" s="52"/>
      <c r="D32" s="52"/>
      <c r="E32" s="52">
        <f t="shared" si="6"/>
        <v>0</v>
      </c>
      <c r="F32" s="52"/>
      <c r="G32" s="52"/>
      <c r="H32" s="52"/>
      <c r="I32" s="52">
        <f t="shared" si="7"/>
        <v>0</v>
      </c>
      <c r="J32" s="52"/>
      <c r="K32" s="52"/>
      <c r="L32" s="52">
        <f t="shared" si="8"/>
        <v>0</v>
      </c>
    </row>
    <row r="33" spans="2:12" x14ac:dyDescent="0.35">
      <c r="B33" s="52" t="s">
        <v>322</v>
      </c>
      <c r="C33" s="52"/>
      <c r="D33" s="52"/>
      <c r="E33" s="52">
        <f t="shared" si="0"/>
        <v>0</v>
      </c>
      <c r="F33" s="52"/>
      <c r="G33" s="52"/>
      <c r="H33" s="52"/>
      <c r="I33" s="52">
        <f t="shared" si="1"/>
        <v>0</v>
      </c>
      <c r="J33" s="52"/>
      <c r="K33" s="52"/>
      <c r="L33" s="52">
        <f t="shared" si="2"/>
        <v>0</v>
      </c>
    </row>
    <row r="34" spans="2:12" x14ac:dyDescent="0.35">
      <c r="B34" s="52" t="s">
        <v>326</v>
      </c>
      <c r="C34" s="52"/>
      <c r="D34" s="52"/>
      <c r="E34" s="52">
        <f t="shared" si="0"/>
        <v>0</v>
      </c>
      <c r="F34" s="52"/>
      <c r="G34" s="52"/>
      <c r="H34" s="52"/>
      <c r="I34" s="52">
        <f t="shared" si="1"/>
        <v>0</v>
      </c>
      <c r="J34" s="52"/>
      <c r="K34" s="52"/>
      <c r="L34" s="52">
        <f t="shared" si="2"/>
        <v>0</v>
      </c>
    </row>
    <row r="35" spans="2:12" x14ac:dyDescent="0.35">
      <c r="B35" s="52" t="s">
        <v>323</v>
      </c>
      <c r="C35" s="52"/>
      <c r="D35" s="52"/>
      <c r="E35" s="52">
        <f t="shared" si="0"/>
        <v>0</v>
      </c>
      <c r="F35" s="52"/>
      <c r="G35" s="52"/>
      <c r="H35" s="52"/>
      <c r="I35" s="52">
        <f t="shared" si="1"/>
        <v>0</v>
      </c>
      <c r="J35" s="52"/>
      <c r="K35" s="52"/>
      <c r="L35" s="52">
        <f t="shared" si="2"/>
        <v>0</v>
      </c>
    </row>
    <row r="36" spans="2:12" x14ac:dyDescent="0.35">
      <c r="B36" s="52" t="s">
        <v>324</v>
      </c>
      <c r="C36" s="52"/>
      <c r="D36" s="52"/>
      <c r="E36" s="52">
        <f t="shared" si="0"/>
        <v>0</v>
      </c>
      <c r="F36" s="52"/>
      <c r="G36" s="52"/>
      <c r="H36" s="52"/>
      <c r="I36" s="52">
        <f>G36*H36</f>
        <v>0</v>
      </c>
      <c r="J36" s="52"/>
      <c r="K36" s="52"/>
      <c r="L36" s="52">
        <f>J36*K36</f>
        <v>0</v>
      </c>
    </row>
    <row r="37" spans="2:12" x14ac:dyDescent="0.35">
      <c r="B37" s="52"/>
      <c r="C37" s="52"/>
      <c r="D37" s="52"/>
      <c r="E37" s="52">
        <f t="shared" ref="E37:E38" si="9">C37*D37</f>
        <v>0</v>
      </c>
      <c r="F37" s="52"/>
      <c r="G37" s="52"/>
      <c r="H37" s="52"/>
      <c r="I37" s="52">
        <f t="shared" ref="I37:I38" si="10">G37*H37</f>
        <v>0</v>
      </c>
      <c r="J37" s="52"/>
      <c r="K37" s="52"/>
      <c r="L37" s="52">
        <f t="shared" ref="L37:L38" si="11">J37*K37</f>
        <v>0</v>
      </c>
    </row>
    <row r="38" spans="2:12" x14ac:dyDescent="0.35">
      <c r="B38" s="52" t="s">
        <v>327</v>
      </c>
      <c r="C38" s="52"/>
      <c r="D38" s="52"/>
      <c r="E38" s="52">
        <f t="shared" si="9"/>
        <v>0</v>
      </c>
      <c r="F38" s="52"/>
      <c r="G38" s="52"/>
      <c r="H38" s="52"/>
      <c r="I38" s="52">
        <f t="shared" si="10"/>
        <v>0</v>
      </c>
      <c r="J38" s="52"/>
      <c r="K38" s="52"/>
      <c r="L38" s="52">
        <f t="shared" si="11"/>
        <v>0</v>
      </c>
    </row>
    <row r="39" spans="2:12" x14ac:dyDescent="0.35">
      <c r="B39" s="52"/>
      <c r="C39" s="52"/>
      <c r="D39" s="52"/>
      <c r="E39" s="52">
        <f t="shared" si="0"/>
        <v>0</v>
      </c>
      <c r="F39" s="52"/>
      <c r="G39" s="52"/>
      <c r="H39" s="52"/>
      <c r="I39" s="52">
        <f>G39*H39</f>
        <v>0</v>
      </c>
      <c r="J39" s="52"/>
      <c r="K39" s="52"/>
      <c r="L39" s="52">
        <f>J39*K39</f>
        <v>0</v>
      </c>
    </row>
    <row r="40" spans="2:12" x14ac:dyDescent="0.35">
      <c r="B40" s="52"/>
      <c r="C40" s="52"/>
      <c r="D40" s="52"/>
      <c r="E40" s="52">
        <f t="shared" si="0"/>
        <v>0</v>
      </c>
      <c r="F40" s="52"/>
      <c r="G40" s="52"/>
      <c r="H40" s="52"/>
      <c r="I40" s="52">
        <f>G40*H40</f>
        <v>0</v>
      </c>
      <c r="J40" s="52"/>
      <c r="K40" s="52"/>
      <c r="L40" s="52">
        <f>J40*K40</f>
        <v>0</v>
      </c>
    </row>
    <row r="41" spans="2:12" x14ac:dyDescent="0.35">
      <c r="B41" s="52"/>
      <c r="C41" s="52"/>
      <c r="D41" s="52"/>
      <c r="E41" s="52">
        <f t="shared" si="0"/>
        <v>0</v>
      </c>
      <c r="F41" s="52"/>
      <c r="G41" s="52"/>
      <c r="H41" s="52"/>
      <c r="I41" s="52">
        <f>G41*H41</f>
        <v>0</v>
      </c>
      <c r="J41" s="52"/>
      <c r="K41" s="52"/>
      <c r="L41" s="52">
        <f>J41*K41</f>
        <v>0</v>
      </c>
    </row>
    <row r="42" spans="2:12" x14ac:dyDescent="0.35">
      <c r="B42" s="52" t="s">
        <v>152</v>
      </c>
      <c r="C42" s="52"/>
      <c r="D42" s="52">
        <f>E42*10.764</f>
        <v>0</v>
      </c>
      <c r="E42" s="74">
        <f>SUM(E6:E41)</f>
        <v>0</v>
      </c>
      <c r="F42" s="52"/>
      <c r="G42" s="52"/>
      <c r="H42" s="52">
        <f>I42*10.764</f>
        <v>0</v>
      </c>
      <c r="I42" s="73">
        <f>SUM(I6:I41)</f>
        <v>0</v>
      </c>
      <c r="J42" s="52"/>
      <c r="K42" s="52">
        <f>L42*10.764</f>
        <v>0</v>
      </c>
      <c r="L42" s="72">
        <f>SUM(L6:L41)</f>
        <v>0</v>
      </c>
    </row>
    <row r="44" spans="2:12" x14ac:dyDescent="0.35">
      <c r="D44" s="51">
        <f>D42+H42</f>
        <v>0</v>
      </c>
      <c r="E44" s="51">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2025-10-04T11:45:32Z</cp:lastPrinted>
  <dcterms:created xsi:type="dcterms:W3CDTF">2019-07-16T09:29:46Z</dcterms:created>
  <dcterms:modified xsi:type="dcterms:W3CDTF">2025-10-04T11:46:01Z</dcterms:modified>
</cp:coreProperties>
</file>