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Report!$A$1:$H$927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1" l="1"/>
  <c r="C132" i="1"/>
  <c r="C147" i="1"/>
  <c r="C146" i="1"/>
  <c r="C145" i="1"/>
  <c r="D383" i="1" l="1"/>
  <c r="D382" i="1"/>
  <c r="D381" i="1"/>
  <c r="D380" i="1"/>
  <c r="D397" i="1"/>
  <c r="D396" i="1"/>
  <c r="D395" i="1"/>
  <c r="F395" i="1" s="1"/>
  <c r="H395" i="1" s="1"/>
  <c r="D394" i="1"/>
  <c r="D418" i="1"/>
  <c r="D417" i="1"/>
  <c r="F417" i="1" s="1"/>
  <c r="H417" i="1" s="1"/>
  <c r="D416" i="1"/>
  <c r="D415" i="1"/>
  <c r="D413" i="1"/>
  <c r="D412" i="1"/>
  <c r="D411" i="1"/>
  <c r="F411" i="1" s="1"/>
  <c r="H411" i="1" s="1"/>
  <c r="D410" i="1"/>
  <c r="D409" i="1"/>
  <c r="D408" i="1"/>
  <c r="D406" i="1"/>
  <c r="D405" i="1"/>
  <c r="D404" i="1"/>
  <c r="D403" i="1"/>
  <c r="D402" i="1"/>
  <c r="D401" i="1"/>
  <c r="D392" i="1"/>
  <c r="D391" i="1"/>
  <c r="D390" i="1"/>
  <c r="F390" i="1" s="1"/>
  <c r="H390" i="1" s="1"/>
  <c r="D389" i="1"/>
  <c r="D388" i="1"/>
  <c r="D387" i="1"/>
  <c r="D378" i="1"/>
  <c r="D377" i="1"/>
  <c r="D376" i="1"/>
  <c r="F376" i="1" s="1"/>
  <c r="H376" i="1" s="1"/>
  <c r="D375" i="1"/>
  <c r="D374" i="1"/>
  <c r="D373" i="1"/>
  <c r="D371" i="1"/>
  <c r="D370" i="1"/>
  <c r="F370" i="1" s="1"/>
  <c r="H370" i="1" s="1"/>
  <c r="D369" i="1"/>
  <c r="D368" i="1"/>
  <c r="D367" i="1"/>
  <c r="D366" i="1"/>
  <c r="D364" i="1"/>
  <c r="D363" i="1"/>
  <c r="D362" i="1"/>
  <c r="F362" i="1" s="1"/>
  <c r="H362" i="1" s="1"/>
  <c r="D361" i="1"/>
  <c r="D360" i="1"/>
  <c r="D359" i="1"/>
  <c r="F361" i="1"/>
  <c r="H361" i="1" s="1"/>
  <c r="D354" i="1"/>
  <c r="G355" i="1"/>
  <c r="G357" i="1"/>
  <c r="G356" i="1"/>
  <c r="G353" i="1"/>
  <c r="G352" i="1"/>
  <c r="D357" i="1"/>
  <c r="D352" i="1"/>
  <c r="G435" i="1"/>
  <c r="G434" i="1"/>
  <c r="G433" i="1"/>
  <c r="G432" i="1"/>
  <c r="G431" i="1"/>
  <c r="G430" i="1"/>
  <c r="G429" i="1"/>
  <c r="G428" i="1"/>
  <c r="G290" i="1"/>
  <c r="G289" i="1"/>
  <c r="G288" i="1"/>
  <c r="G287" i="1"/>
  <c r="G286" i="1"/>
  <c r="G285" i="1"/>
  <c r="G284" i="1"/>
  <c r="G283" i="1"/>
  <c r="D509" i="1"/>
  <c r="D513" i="1"/>
  <c r="D512" i="1"/>
  <c r="D464" i="1"/>
  <c r="D467" i="1"/>
  <c r="F467" i="1" s="1"/>
  <c r="H467" i="1" s="1"/>
  <c r="D468" i="1"/>
  <c r="F468" i="1" s="1"/>
  <c r="H468" i="1" s="1"/>
  <c r="D482" i="1"/>
  <c r="D485" i="1"/>
  <c r="D486" i="1"/>
  <c r="D507" i="1"/>
  <c r="F507" i="1" s="1"/>
  <c r="H507" i="1" s="1"/>
  <c r="D506" i="1"/>
  <c r="F506" i="1" s="1"/>
  <c r="H506" i="1" s="1"/>
  <c r="D505" i="1"/>
  <c r="D504" i="1"/>
  <c r="F504" i="1" s="1"/>
  <c r="H504" i="1" s="1"/>
  <c r="D503" i="1"/>
  <c r="D502" i="1"/>
  <c r="D501" i="1"/>
  <c r="D500" i="1"/>
  <c r="D498" i="1"/>
  <c r="D497" i="1"/>
  <c r="F497" i="1" s="1"/>
  <c r="H497" i="1" s="1"/>
  <c r="D496" i="1"/>
  <c r="D495" i="1"/>
  <c r="D494" i="1"/>
  <c r="D493" i="1"/>
  <c r="D492" i="1"/>
  <c r="D491" i="1"/>
  <c r="F491" i="1" s="1"/>
  <c r="H491" i="1" s="1"/>
  <c r="D480" i="1"/>
  <c r="D479" i="1"/>
  <c r="F479" i="1" s="1"/>
  <c r="H479" i="1" s="1"/>
  <c r="D478" i="1"/>
  <c r="D477" i="1"/>
  <c r="D476" i="1"/>
  <c r="D475" i="1"/>
  <c r="D474" i="1"/>
  <c r="D473" i="1"/>
  <c r="D462" i="1"/>
  <c r="D461" i="1"/>
  <c r="D460" i="1"/>
  <c r="D459" i="1"/>
  <c r="D458" i="1"/>
  <c r="D457" i="1"/>
  <c r="D456" i="1"/>
  <c r="D455" i="1"/>
  <c r="D453" i="1"/>
  <c r="D452" i="1"/>
  <c r="D451" i="1"/>
  <c r="D450" i="1"/>
  <c r="D449" i="1"/>
  <c r="D448" i="1"/>
  <c r="D447" i="1"/>
  <c r="D446" i="1"/>
  <c r="D444" i="1"/>
  <c r="D443" i="1"/>
  <c r="D442" i="1"/>
  <c r="D441" i="1"/>
  <c r="D440" i="1"/>
  <c r="D439" i="1"/>
  <c r="D438" i="1"/>
  <c r="F438" i="1" s="1"/>
  <c r="H438" i="1" s="1"/>
  <c r="D437" i="1"/>
  <c r="F437" i="1" s="1"/>
  <c r="D344" i="1"/>
  <c r="F344" i="1" s="1"/>
  <c r="H344" i="1" s="1"/>
  <c r="D340" i="1"/>
  <c r="F340" i="1" s="1"/>
  <c r="H340" i="1" s="1"/>
  <c r="D339" i="1"/>
  <c r="D338" i="1"/>
  <c r="D337" i="1"/>
  <c r="D335" i="1"/>
  <c r="D334" i="1"/>
  <c r="D333" i="1"/>
  <c r="D332" i="1"/>
  <c r="D331" i="1"/>
  <c r="D330" i="1"/>
  <c r="D329" i="1"/>
  <c r="D328" i="1"/>
  <c r="D322" i="1"/>
  <c r="D321" i="1"/>
  <c r="D320" i="1"/>
  <c r="D319" i="1"/>
  <c r="F319" i="1" s="1"/>
  <c r="H319" i="1" s="1"/>
  <c r="D317" i="1"/>
  <c r="D316" i="1"/>
  <c r="D315" i="1"/>
  <c r="D314" i="1"/>
  <c r="D313" i="1"/>
  <c r="D312" i="1"/>
  <c r="D311" i="1"/>
  <c r="D310" i="1"/>
  <c r="D308" i="1"/>
  <c r="D307" i="1"/>
  <c r="F307" i="1" s="1"/>
  <c r="H307" i="1" s="1"/>
  <c r="D306" i="1"/>
  <c r="D305" i="1"/>
  <c r="D304" i="1"/>
  <c r="D303" i="1"/>
  <c r="D302" i="1"/>
  <c r="D301" i="1"/>
  <c r="D299" i="1"/>
  <c r="F299" i="1" s="1"/>
  <c r="H299" i="1" s="1"/>
  <c r="D298" i="1"/>
  <c r="D297" i="1"/>
  <c r="D296" i="1"/>
  <c r="D295" i="1"/>
  <c r="D294" i="1"/>
  <c r="D293" i="1"/>
  <c r="D292" i="1"/>
  <c r="D435" i="1"/>
  <c r="D432" i="1"/>
  <c r="D431" i="1"/>
  <c r="D428" i="1"/>
  <c r="D290" i="1"/>
  <c r="D287" i="1"/>
  <c r="D286" i="1"/>
  <c r="F286" i="1" s="1"/>
  <c r="H286" i="1" s="1"/>
  <c r="D283" i="1"/>
  <c r="D227" i="1"/>
  <c r="D211" i="1"/>
  <c r="J149" i="1"/>
  <c r="J148" i="1"/>
  <c r="J147" i="1"/>
  <c r="J146" i="1"/>
  <c r="I186" i="1"/>
  <c r="A293" i="1"/>
  <c r="A294" i="1" s="1"/>
  <c r="A295" i="1" s="1"/>
  <c r="A296" i="1" s="1"/>
  <c r="A297" i="1" s="1"/>
  <c r="A298" i="1" s="1"/>
  <c r="A299" i="1" s="1"/>
  <c r="A284" i="1"/>
  <c r="A285" i="1" s="1"/>
  <c r="A286" i="1" s="1"/>
  <c r="A287" i="1" s="1"/>
  <c r="A288" i="1" s="1"/>
  <c r="A289" i="1" s="1"/>
  <c r="A290" i="1" s="1"/>
  <c r="D514" i="1"/>
  <c r="F514" i="1" s="1"/>
  <c r="H514" i="1" s="1"/>
  <c r="F512" i="1"/>
  <c r="H512" i="1" s="1"/>
  <c r="D511" i="1"/>
  <c r="D510" i="1"/>
  <c r="F509" i="1"/>
  <c r="H509" i="1" s="1"/>
  <c r="F505" i="1"/>
  <c r="H505" i="1" s="1"/>
  <c r="F500" i="1"/>
  <c r="H500" i="1" s="1"/>
  <c r="F498" i="1"/>
  <c r="H498" i="1" s="1"/>
  <c r="F496" i="1"/>
  <c r="H496" i="1" s="1"/>
  <c r="F494" i="1"/>
  <c r="H494" i="1" s="1"/>
  <c r="D487" i="1"/>
  <c r="F486" i="1"/>
  <c r="H486" i="1" s="1"/>
  <c r="F485" i="1"/>
  <c r="H485" i="1" s="1"/>
  <c r="D484" i="1"/>
  <c r="D483" i="1"/>
  <c r="F483" i="1" s="1"/>
  <c r="H483" i="1" s="1"/>
  <c r="F478" i="1"/>
  <c r="H478" i="1" s="1"/>
  <c r="F476" i="1"/>
  <c r="H476" i="1" s="1"/>
  <c r="F475" i="1"/>
  <c r="H475" i="1" s="1"/>
  <c r="D469" i="1"/>
  <c r="F469" i="1" s="1"/>
  <c r="H469" i="1" s="1"/>
  <c r="D466" i="1"/>
  <c r="F466" i="1" s="1"/>
  <c r="H466" i="1" s="1"/>
  <c r="D465" i="1"/>
  <c r="F465" i="1" s="1"/>
  <c r="H465" i="1" s="1"/>
  <c r="F464" i="1"/>
  <c r="H464" i="1" s="1"/>
  <c r="F459" i="1"/>
  <c r="H459" i="1" s="1"/>
  <c r="F457" i="1"/>
  <c r="H457" i="1" s="1"/>
  <c r="F456" i="1"/>
  <c r="H456" i="1" s="1"/>
  <c r="F450" i="1"/>
  <c r="H450" i="1" s="1"/>
  <c r="F449" i="1"/>
  <c r="H449" i="1" s="1"/>
  <c r="F448" i="1"/>
  <c r="H448" i="1" s="1"/>
  <c r="F446" i="1"/>
  <c r="H446" i="1" s="1"/>
  <c r="F444" i="1"/>
  <c r="H444" i="1" s="1"/>
  <c r="F441" i="1"/>
  <c r="H441" i="1" s="1"/>
  <c r="F440" i="1"/>
  <c r="H440" i="1" s="1"/>
  <c r="F439" i="1"/>
  <c r="H439" i="1" s="1"/>
  <c r="D434" i="1"/>
  <c r="D433" i="1"/>
  <c r="D430" i="1"/>
  <c r="F430" i="1" s="1"/>
  <c r="H430" i="1" s="1"/>
  <c r="D429" i="1"/>
  <c r="F418" i="1"/>
  <c r="H418" i="1" s="1"/>
  <c r="F416" i="1"/>
  <c r="H416" i="1" s="1"/>
  <c r="F415" i="1"/>
  <c r="H415" i="1" s="1"/>
  <c r="F413" i="1"/>
  <c r="H413" i="1" s="1"/>
  <c r="F412" i="1"/>
  <c r="H412" i="1" s="1"/>
  <c r="F410" i="1"/>
  <c r="H410" i="1" s="1"/>
  <c r="F405" i="1"/>
  <c r="H405" i="1" s="1"/>
  <c r="F404" i="1"/>
  <c r="H404" i="1" s="1"/>
  <c r="F403" i="1"/>
  <c r="H403" i="1" s="1"/>
  <c r="F402" i="1"/>
  <c r="H402" i="1" s="1"/>
  <c r="F401" i="1"/>
  <c r="H401" i="1" s="1"/>
  <c r="F397" i="1"/>
  <c r="H397" i="1" s="1"/>
  <c r="F394" i="1"/>
  <c r="H394" i="1" s="1"/>
  <c r="F392" i="1"/>
  <c r="H392" i="1" s="1"/>
  <c r="F389" i="1"/>
  <c r="H389" i="1" s="1"/>
  <c r="F388" i="1"/>
  <c r="H388" i="1" s="1"/>
  <c r="F382" i="1"/>
  <c r="H382" i="1" s="1"/>
  <c r="F381" i="1"/>
  <c r="H381" i="1" s="1"/>
  <c r="F380" i="1"/>
  <c r="H380" i="1" s="1"/>
  <c r="F377" i="1"/>
  <c r="H377" i="1" s="1"/>
  <c r="F373" i="1"/>
  <c r="H373" i="1" s="1"/>
  <c r="F371" i="1"/>
  <c r="H371" i="1" s="1"/>
  <c r="F369" i="1"/>
  <c r="H369" i="1" s="1"/>
  <c r="F367" i="1"/>
  <c r="H367" i="1" s="1"/>
  <c r="F363" i="1"/>
  <c r="H363" i="1" s="1"/>
  <c r="D356" i="1"/>
  <c r="D355" i="1"/>
  <c r="D353" i="1"/>
  <c r="D343" i="1"/>
  <c r="F343" i="1" s="1"/>
  <c r="H343" i="1" s="1"/>
  <c r="G180" i="1" s="1"/>
  <c r="F339" i="1"/>
  <c r="H339" i="1" s="1"/>
  <c r="F337" i="1"/>
  <c r="H337" i="1" s="1"/>
  <c r="F335" i="1"/>
  <c r="H335" i="1" s="1"/>
  <c r="F332" i="1"/>
  <c r="H332" i="1" s="1"/>
  <c r="F331" i="1"/>
  <c r="H331" i="1" s="1"/>
  <c r="F330" i="1"/>
  <c r="H330" i="1" s="1"/>
  <c r="F329" i="1"/>
  <c r="H329" i="1" s="1"/>
  <c r="D326" i="1"/>
  <c r="D325" i="1"/>
  <c r="F322" i="1"/>
  <c r="H322" i="1" s="1"/>
  <c r="F321" i="1"/>
  <c r="H321" i="1" s="1"/>
  <c r="F320" i="1"/>
  <c r="H320" i="1" s="1"/>
  <c r="F317" i="1"/>
  <c r="H317" i="1" s="1"/>
  <c r="F313" i="1"/>
  <c r="H313" i="1" s="1"/>
  <c r="F312" i="1"/>
  <c r="H312" i="1" s="1"/>
  <c r="F311" i="1"/>
  <c r="H311" i="1" s="1"/>
  <c r="F310" i="1"/>
  <c r="H310" i="1" s="1"/>
  <c r="F306" i="1"/>
  <c r="H306" i="1" s="1"/>
  <c r="F304" i="1"/>
  <c r="H304" i="1" s="1"/>
  <c r="F303" i="1"/>
  <c r="H303" i="1" s="1"/>
  <c r="F302" i="1"/>
  <c r="H302" i="1" s="1"/>
  <c r="F301" i="1"/>
  <c r="H301" i="1" s="1"/>
  <c r="F298" i="1"/>
  <c r="H298" i="1" s="1"/>
  <c r="F295" i="1"/>
  <c r="H295" i="1" s="1"/>
  <c r="F294" i="1"/>
  <c r="H294" i="1" s="1"/>
  <c r="F293" i="1"/>
  <c r="H293" i="1" s="1"/>
  <c r="F292" i="1"/>
  <c r="H292" i="1" s="1"/>
  <c r="D289" i="1"/>
  <c r="D288" i="1"/>
  <c r="D285" i="1"/>
  <c r="D284" i="1"/>
  <c r="D274" i="1"/>
  <c r="F274" i="1" s="1"/>
  <c r="H274" i="1" s="1"/>
  <c r="D273" i="1"/>
  <c r="F273" i="1" s="1"/>
  <c r="H273" i="1" s="1"/>
  <c r="D270" i="1"/>
  <c r="D268" i="1"/>
  <c r="D267" i="1"/>
  <c r="F267" i="1" s="1"/>
  <c r="H267" i="1" s="1"/>
  <c r="D266" i="1"/>
  <c r="F266" i="1" s="1"/>
  <c r="H266" i="1" s="1"/>
  <c r="D264" i="1"/>
  <c r="F264" i="1" s="1"/>
  <c r="H264" i="1" s="1"/>
  <c r="D262" i="1"/>
  <c r="F262" i="1" s="1"/>
  <c r="H262" i="1" s="1"/>
  <c r="D261" i="1"/>
  <c r="F261" i="1" s="1"/>
  <c r="H261" i="1" s="1"/>
  <c r="D260" i="1"/>
  <c r="D259" i="1"/>
  <c r="D258" i="1"/>
  <c r="D256" i="1"/>
  <c r="F256" i="1" s="1"/>
  <c r="H256" i="1" s="1"/>
  <c r="D255" i="1"/>
  <c r="F255" i="1" s="1"/>
  <c r="H255" i="1" s="1"/>
  <c r="D254" i="1"/>
  <c r="F254" i="1" s="1"/>
  <c r="H254" i="1" s="1"/>
  <c r="D253" i="1"/>
  <c r="F253" i="1" s="1"/>
  <c r="H253" i="1" s="1"/>
  <c r="D252" i="1"/>
  <c r="D249" i="1"/>
  <c r="F249" i="1" s="1"/>
  <c r="H249" i="1" s="1"/>
  <c r="D248" i="1"/>
  <c r="D245" i="1"/>
  <c r="D243" i="1"/>
  <c r="F243" i="1" s="1"/>
  <c r="H243" i="1" s="1"/>
  <c r="D242" i="1"/>
  <c r="F242" i="1" s="1"/>
  <c r="H242" i="1" s="1"/>
  <c r="D239" i="1"/>
  <c r="F239" i="1" s="1"/>
  <c r="H239" i="1" s="1"/>
  <c r="D237" i="1"/>
  <c r="F237" i="1" s="1"/>
  <c r="H237" i="1" s="1"/>
  <c r="D236" i="1"/>
  <c r="F236" i="1" s="1"/>
  <c r="H236" i="1" s="1"/>
  <c r="D235" i="1"/>
  <c r="F235" i="1" s="1"/>
  <c r="H235" i="1" s="1"/>
  <c r="D234" i="1"/>
  <c r="D233" i="1"/>
  <c r="F233" i="1" s="1"/>
  <c r="H233" i="1" s="1"/>
  <c r="D231" i="1"/>
  <c r="D230" i="1"/>
  <c r="F230" i="1" s="1"/>
  <c r="H230" i="1" s="1"/>
  <c r="D229" i="1"/>
  <c r="D228" i="1"/>
  <c r="F228" i="1" s="1"/>
  <c r="H228" i="1" s="1"/>
  <c r="F227" i="1"/>
  <c r="H227" i="1" s="1"/>
  <c r="G172" i="1" s="1"/>
  <c r="D216" i="1"/>
  <c r="F216" i="1" s="1"/>
  <c r="I216" i="1"/>
  <c r="D215" i="1"/>
  <c r="D214" i="1"/>
  <c r="D213" i="1"/>
  <c r="D212" i="1"/>
  <c r="C168" i="1"/>
  <c r="D210" i="1"/>
  <c r="D209" i="1"/>
  <c r="D208" i="1"/>
  <c r="D206" i="1"/>
  <c r="D207" i="1"/>
  <c r="D205" i="1"/>
  <c r="D204" i="1"/>
  <c r="D203" i="1"/>
  <c r="D202" i="1"/>
  <c r="D201" i="1"/>
  <c r="D200" i="1"/>
  <c r="D199" i="1"/>
  <c r="D198" i="1"/>
  <c r="D197" i="1"/>
  <c r="D196" i="1"/>
  <c r="A429" i="1"/>
  <c r="A430" i="1" s="1"/>
  <c r="A431" i="1" s="1"/>
  <c r="A432" i="1" s="1"/>
  <c r="A433" i="1" s="1"/>
  <c r="A434" i="1" s="1"/>
  <c r="A435" i="1" s="1"/>
  <c r="A360" i="1"/>
  <c r="A361" i="1" s="1"/>
  <c r="A362" i="1" s="1"/>
  <c r="A363" i="1" s="1"/>
  <c r="A364" i="1" s="1"/>
  <c r="A353" i="1"/>
  <c r="A354" i="1" s="1"/>
  <c r="A355" i="1" s="1"/>
  <c r="A356" i="1" s="1"/>
  <c r="A357" i="1" s="1"/>
  <c r="F513" i="1"/>
  <c r="H513" i="1" s="1"/>
  <c r="F511" i="1"/>
  <c r="H511" i="1" s="1"/>
  <c r="F510" i="1"/>
  <c r="H510" i="1" s="1"/>
  <c r="A510" i="1"/>
  <c r="A511" i="1" s="1"/>
  <c r="A512" i="1" s="1"/>
  <c r="A513" i="1" s="1"/>
  <c r="A514" i="1" s="1"/>
  <c r="A515" i="1" s="1"/>
  <c r="A516" i="1" s="1"/>
  <c r="A416" i="1"/>
  <c r="A417" i="1" s="1"/>
  <c r="A418" i="1" s="1"/>
  <c r="A419" i="1" s="1"/>
  <c r="A420" i="1" s="1"/>
  <c r="A410" i="1"/>
  <c r="A411" i="1" s="1"/>
  <c r="A412" i="1" s="1"/>
  <c r="A413" i="1" s="1"/>
  <c r="F409" i="1"/>
  <c r="H409" i="1" s="1"/>
  <c r="A409" i="1"/>
  <c r="F408" i="1"/>
  <c r="H408" i="1" s="1"/>
  <c r="F503" i="1"/>
  <c r="H503" i="1" s="1"/>
  <c r="F502" i="1"/>
  <c r="H502" i="1" s="1"/>
  <c r="F501" i="1"/>
  <c r="H501" i="1" s="1"/>
  <c r="A501" i="1"/>
  <c r="A502" i="1" s="1"/>
  <c r="A503" i="1" s="1"/>
  <c r="A504" i="1" s="1"/>
  <c r="A505" i="1" s="1"/>
  <c r="A506" i="1" s="1"/>
  <c r="A507" i="1" s="1"/>
  <c r="F495" i="1"/>
  <c r="H495" i="1" s="1"/>
  <c r="F493" i="1"/>
  <c r="H493" i="1" s="1"/>
  <c r="F492" i="1"/>
  <c r="H492" i="1" s="1"/>
  <c r="A492" i="1"/>
  <c r="A493" i="1" s="1"/>
  <c r="A494" i="1" s="1"/>
  <c r="A495" i="1" s="1"/>
  <c r="A496" i="1" s="1"/>
  <c r="A497" i="1" s="1"/>
  <c r="A498" i="1" s="1"/>
  <c r="F406" i="1"/>
  <c r="H406" i="1" s="1"/>
  <c r="A402" i="1"/>
  <c r="A403" i="1" s="1"/>
  <c r="A404" i="1" s="1"/>
  <c r="A405" i="1" s="1"/>
  <c r="A406" i="1" s="1"/>
  <c r="F487" i="1"/>
  <c r="H487" i="1" s="1"/>
  <c r="F484" i="1"/>
  <c r="H484" i="1" s="1"/>
  <c r="A483" i="1"/>
  <c r="A484" i="1" s="1"/>
  <c r="A485" i="1" s="1"/>
  <c r="A486" i="1" s="1"/>
  <c r="A487" i="1" s="1"/>
  <c r="A488" i="1" s="1"/>
  <c r="A489" i="1" s="1"/>
  <c r="F482" i="1"/>
  <c r="H482" i="1" s="1"/>
  <c r="F396" i="1"/>
  <c r="H396" i="1" s="1"/>
  <c r="A395" i="1"/>
  <c r="A396" i="1" s="1"/>
  <c r="A397" i="1" s="1"/>
  <c r="A398" i="1" s="1"/>
  <c r="A399" i="1" s="1"/>
  <c r="F338" i="1"/>
  <c r="H338" i="1" s="1"/>
  <c r="A338" i="1"/>
  <c r="A339" i="1" s="1"/>
  <c r="A340" i="1" s="1"/>
  <c r="A341" i="1" s="1"/>
  <c r="A342" i="1" s="1"/>
  <c r="A343" i="1" s="1"/>
  <c r="A344" i="1" s="1"/>
  <c r="F480" i="1"/>
  <c r="H480" i="1" s="1"/>
  <c r="F477" i="1"/>
  <c r="H477" i="1" s="1"/>
  <c r="F474" i="1"/>
  <c r="H474" i="1" s="1"/>
  <c r="A474" i="1"/>
  <c r="A475" i="1" s="1"/>
  <c r="A476" i="1" s="1"/>
  <c r="A477" i="1" s="1"/>
  <c r="A478" i="1" s="1"/>
  <c r="A479" i="1" s="1"/>
  <c r="A480" i="1" s="1"/>
  <c r="F473" i="1"/>
  <c r="H473" i="1" s="1"/>
  <c r="F391" i="1"/>
  <c r="H391" i="1" s="1"/>
  <c r="A388" i="1"/>
  <c r="A389" i="1" s="1"/>
  <c r="A390" i="1" s="1"/>
  <c r="A391" i="1" s="1"/>
  <c r="A392" i="1" s="1"/>
  <c r="F387" i="1"/>
  <c r="H387" i="1" s="1"/>
  <c r="F334" i="1"/>
  <c r="H334" i="1" s="1"/>
  <c r="F333" i="1"/>
  <c r="H333" i="1" s="1"/>
  <c r="A329" i="1"/>
  <c r="A330" i="1" s="1"/>
  <c r="A331" i="1" s="1"/>
  <c r="A332" i="1" s="1"/>
  <c r="A333" i="1" s="1"/>
  <c r="A334" i="1" s="1"/>
  <c r="A335" i="1" s="1"/>
  <c r="F328" i="1"/>
  <c r="H328" i="1" s="1"/>
  <c r="F326" i="1"/>
  <c r="H326" i="1" s="1"/>
  <c r="F325" i="1"/>
  <c r="H325" i="1" s="1"/>
  <c r="A320" i="1"/>
  <c r="A321" i="1" s="1"/>
  <c r="A322" i="1" s="1"/>
  <c r="A323" i="1" s="1"/>
  <c r="A324" i="1" s="1"/>
  <c r="A325" i="1" s="1"/>
  <c r="A326" i="1" s="1"/>
  <c r="F383" i="1"/>
  <c r="H383" i="1" s="1"/>
  <c r="A381" i="1"/>
  <c r="A382" i="1" s="1"/>
  <c r="A383" i="1" s="1"/>
  <c r="A384" i="1" s="1"/>
  <c r="A385" i="1" s="1"/>
  <c r="A465" i="1"/>
  <c r="A466" i="1" s="1"/>
  <c r="A467" i="1" s="1"/>
  <c r="A468" i="1" s="1"/>
  <c r="A469" i="1" s="1"/>
  <c r="A470" i="1" s="1"/>
  <c r="A471" i="1" s="1"/>
  <c r="F462" i="1"/>
  <c r="H462" i="1" s="1"/>
  <c r="F461" i="1"/>
  <c r="H461" i="1" s="1"/>
  <c r="F460" i="1"/>
  <c r="H460" i="1" s="1"/>
  <c r="F458" i="1"/>
  <c r="H458" i="1" s="1"/>
  <c r="A456" i="1"/>
  <c r="A457" i="1" s="1"/>
  <c r="A458" i="1" s="1"/>
  <c r="A459" i="1" s="1"/>
  <c r="A460" i="1" s="1"/>
  <c r="A461" i="1" s="1"/>
  <c r="A462" i="1" s="1"/>
  <c r="F455" i="1"/>
  <c r="H455" i="1" s="1"/>
  <c r="F378" i="1"/>
  <c r="H378" i="1" s="1"/>
  <c r="F375" i="1"/>
  <c r="H375" i="1" s="1"/>
  <c r="F374" i="1"/>
  <c r="H374" i="1" s="1"/>
  <c r="A374" i="1"/>
  <c r="A375" i="1" s="1"/>
  <c r="A376" i="1" s="1"/>
  <c r="A377" i="1" s="1"/>
  <c r="A378" i="1" s="1"/>
  <c r="F316" i="1"/>
  <c r="H316" i="1" s="1"/>
  <c r="F315" i="1"/>
  <c r="H315" i="1" s="1"/>
  <c r="F314" i="1"/>
  <c r="H314" i="1" s="1"/>
  <c r="A312" i="1"/>
  <c r="A313" i="1" s="1"/>
  <c r="A314" i="1" s="1"/>
  <c r="A315" i="1" s="1"/>
  <c r="A316" i="1" s="1"/>
  <c r="A317" i="1" s="1"/>
  <c r="A311" i="1"/>
  <c r="F308" i="1"/>
  <c r="H308" i="1" s="1"/>
  <c r="F305" i="1"/>
  <c r="H305" i="1" s="1"/>
  <c r="A302" i="1"/>
  <c r="A303" i="1" s="1"/>
  <c r="A304" i="1" s="1"/>
  <c r="A305" i="1" s="1"/>
  <c r="A306" i="1" s="1"/>
  <c r="A307" i="1" s="1"/>
  <c r="A308" i="1" s="1"/>
  <c r="F368" i="1"/>
  <c r="H368" i="1" s="1"/>
  <c r="A367" i="1"/>
  <c r="A368" i="1" s="1"/>
  <c r="A369" i="1" s="1"/>
  <c r="A370" i="1" s="1"/>
  <c r="A371" i="1" s="1"/>
  <c r="F366" i="1"/>
  <c r="H366" i="1" s="1"/>
  <c r="F453" i="1"/>
  <c r="H453" i="1" s="1"/>
  <c r="F452" i="1"/>
  <c r="H452" i="1" s="1"/>
  <c r="F451" i="1"/>
  <c r="H451" i="1" s="1"/>
  <c r="F447" i="1"/>
  <c r="H447" i="1" s="1"/>
  <c r="A447" i="1"/>
  <c r="A448" i="1" s="1"/>
  <c r="A449" i="1" s="1"/>
  <c r="A450" i="1" s="1"/>
  <c r="A451" i="1" s="1"/>
  <c r="A452" i="1" s="1"/>
  <c r="A453" i="1" s="1"/>
  <c r="F443" i="1"/>
  <c r="H443" i="1" s="1"/>
  <c r="F442" i="1"/>
  <c r="H442" i="1" s="1"/>
  <c r="A438" i="1"/>
  <c r="A439" i="1" s="1"/>
  <c r="A440" i="1" s="1"/>
  <c r="A441" i="1" s="1"/>
  <c r="A442" i="1" s="1"/>
  <c r="A443" i="1" s="1"/>
  <c r="A444" i="1" s="1"/>
  <c r="F364" i="1"/>
  <c r="H364" i="1" s="1"/>
  <c r="F360" i="1"/>
  <c r="H360" i="1" s="1"/>
  <c r="F359" i="1"/>
  <c r="H359" i="1" s="1"/>
  <c r="F297" i="1"/>
  <c r="H297" i="1" s="1"/>
  <c r="F296" i="1"/>
  <c r="H296" i="1" s="1"/>
  <c r="F435" i="1"/>
  <c r="H435" i="1" s="1"/>
  <c r="F289" i="1"/>
  <c r="H289" i="1" s="1"/>
  <c r="A271" i="1"/>
  <c r="A272" i="1" s="1"/>
  <c r="A273" i="1" s="1"/>
  <c r="A274" i="1" s="1"/>
  <c r="F270" i="1"/>
  <c r="H270" i="1" s="1"/>
  <c r="F248" i="1"/>
  <c r="H248" i="1" s="1"/>
  <c r="A246" i="1"/>
  <c r="A247" i="1" s="1"/>
  <c r="A248" i="1" s="1"/>
  <c r="A249" i="1" s="1"/>
  <c r="F245" i="1"/>
  <c r="H245" i="1" s="1"/>
  <c r="F268" i="1"/>
  <c r="H268" i="1" s="1"/>
  <c r="A265" i="1"/>
  <c r="A266" i="1" s="1"/>
  <c r="A267" i="1" s="1"/>
  <c r="A268" i="1" s="1"/>
  <c r="A240" i="1"/>
  <c r="A241" i="1" s="1"/>
  <c r="A242" i="1" s="1"/>
  <c r="A243" i="1" s="1"/>
  <c r="F260" i="1"/>
  <c r="H260" i="1" s="1"/>
  <c r="F259" i="1"/>
  <c r="H259" i="1" s="1"/>
  <c r="A259" i="1"/>
  <c r="A260" i="1" s="1"/>
  <c r="A261" i="1" s="1"/>
  <c r="A262" i="1" s="1"/>
  <c r="F258" i="1"/>
  <c r="H258" i="1" s="1"/>
  <c r="F234" i="1"/>
  <c r="H234" i="1" s="1"/>
  <c r="A234" i="1"/>
  <c r="A235" i="1" s="1"/>
  <c r="A236" i="1" s="1"/>
  <c r="A237" i="1" s="1"/>
  <c r="F252" i="1"/>
  <c r="H252" i="1" s="1"/>
  <c r="A253" i="1"/>
  <c r="A254" i="1" s="1"/>
  <c r="A255" i="1" s="1"/>
  <c r="A256" i="1" s="1"/>
  <c r="F231" i="1"/>
  <c r="H231" i="1" s="1"/>
  <c r="F229" i="1"/>
  <c r="H229" i="1" s="1"/>
  <c r="I228" i="1"/>
  <c r="I227" i="1"/>
  <c r="A228" i="1"/>
  <c r="A229" i="1" s="1"/>
  <c r="A230" i="1" s="1"/>
  <c r="A231" i="1" s="1"/>
  <c r="F432" i="1" l="1"/>
  <c r="H432" i="1" s="1"/>
  <c r="G181" i="1"/>
  <c r="H437" i="1"/>
  <c r="G185" i="1" s="1"/>
  <c r="C185" i="1"/>
  <c r="E185" i="1"/>
  <c r="G182" i="1"/>
  <c r="E180" i="1"/>
  <c r="E181" i="1"/>
  <c r="C167" i="1"/>
  <c r="C169" i="1" s="1"/>
  <c r="E182" i="1"/>
  <c r="C180" i="1"/>
  <c r="C181" i="1"/>
  <c r="C182" i="1"/>
  <c r="F428" i="1"/>
  <c r="G173" i="1"/>
  <c r="E173" i="1"/>
  <c r="E167" i="1"/>
  <c r="E169" i="1" s="1"/>
  <c r="C172" i="1"/>
  <c r="C173" i="1"/>
  <c r="E168" i="1"/>
  <c r="F429" i="1"/>
  <c r="H429" i="1" s="1"/>
  <c r="F433" i="1"/>
  <c r="E172" i="1"/>
  <c r="F288" i="1"/>
  <c r="H288" i="1" s="1"/>
  <c r="F431" i="1"/>
  <c r="H431" i="1" s="1"/>
  <c r="F434" i="1"/>
  <c r="H434" i="1" s="1"/>
  <c r="F357" i="1"/>
  <c r="H357" i="1" s="1"/>
  <c r="F353" i="1"/>
  <c r="H353" i="1" s="1"/>
  <c r="F285" i="1"/>
  <c r="H285" i="1" s="1"/>
  <c r="F287" i="1"/>
  <c r="H287" i="1" s="1"/>
  <c r="F290" i="1"/>
  <c r="H290" i="1" s="1"/>
  <c r="F356" i="1"/>
  <c r="H356" i="1" s="1"/>
  <c r="F355" i="1"/>
  <c r="H355" i="1" s="1"/>
  <c r="F354" i="1"/>
  <c r="H354" i="1" s="1"/>
  <c r="F352" i="1"/>
  <c r="F284" i="1"/>
  <c r="H284" i="1" s="1"/>
  <c r="F283" i="1"/>
  <c r="J93" i="1"/>
  <c r="J92" i="1"/>
  <c r="L91" i="1"/>
  <c r="J91" i="1"/>
  <c r="J90" i="1"/>
  <c r="H83" i="1"/>
  <c r="H428" i="1" l="1"/>
  <c r="G184" i="1" s="1"/>
  <c r="C184" i="1"/>
  <c r="E184" i="1"/>
  <c r="K180" i="1"/>
  <c r="H433" i="1"/>
  <c r="G186" i="1" s="1"/>
  <c r="C186" i="1"/>
  <c r="K182" i="1" s="1"/>
  <c r="E186" i="1"/>
  <c r="H352" i="1"/>
  <c r="G183" i="1" s="1"/>
  <c r="C183" i="1"/>
  <c r="E183" i="1"/>
  <c r="H283" i="1"/>
  <c r="G179" i="1" s="1"/>
  <c r="C179" i="1"/>
  <c r="E179" i="1"/>
  <c r="D91" i="1"/>
  <c r="D94" i="1"/>
  <c r="D90" i="1"/>
  <c r="J86" i="1"/>
  <c r="D93" i="1"/>
  <c r="D89" i="1"/>
  <c r="J85" i="1"/>
  <c r="D92" i="1"/>
  <c r="J88" i="1"/>
  <c r="J89" i="1" s="1"/>
  <c r="J94" i="1" s="1"/>
  <c r="J95" i="1" s="1"/>
  <c r="C87" i="1" s="1"/>
  <c r="D88" i="1"/>
  <c r="J82" i="1"/>
  <c r="J84" i="1" s="1"/>
  <c r="D95" i="1"/>
  <c r="J87" i="1"/>
  <c r="C86" i="1" s="1"/>
  <c r="D86" i="1" s="1"/>
  <c r="C110" i="1"/>
  <c r="C96" i="1"/>
  <c r="J121" i="1"/>
  <c r="J120" i="1"/>
  <c r="J119" i="1"/>
  <c r="J118" i="1"/>
  <c r="D698" i="1"/>
  <c r="D697" i="1"/>
  <c r="D696" i="1"/>
  <c r="D695" i="1"/>
  <c r="G187" i="1" l="1"/>
  <c r="K181" i="1"/>
  <c r="C187" i="1"/>
  <c r="E187" i="1"/>
  <c r="E86" i="1"/>
  <c r="D87" i="1"/>
  <c r="I83" i="1" s="1"/>
  <c r="I84" i="1" s="1"/>
  <c r="G86" i="1"/>
  <c r="J83" i="1"/>
  <c r="K646" i="1"/>
  <c r="J607" i="1"/>
  <c r="I187" i="1"/>
  <c r="I82" i="1" l="1"/>
  <c r="C84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804" i="1"/>
  <c r="B780" i="1"/>
  <c r="B779" i="1"/>
  <c r="F775" i="1"/>
  <c r="D773" i="1"/>
  <c r="F773" i="1" s="1"/>
  <c r="D772" i="1"/>
  <c r="F772" i="1" s="1"/>
  <c r="D771" i="1"/>
  <c r="F771" i="1" s="1"/>
  <c r="D770" i="1"/>
  <c r="F770" i="1" s="1"/>
  <c r="D769" i="1"/>
  <c r="F769" i="1" s="1"/>
  <c r="G768" i="1"/>
  <c r="D768" i="1"/>
  <c r="F768" i="1" s="1"/>
  <c r="D766" i="1"/>
  <c r="F766" i="1" s="1"/>
  <c r="D765" i="1"/>
  <c r="F765" i="1" s="1"/>
  <c r="D764" i="1"/>
  <c r="F764" i="1" s="1"/>
  <c r="D763" i="1"/>
  <c r="F763" i="1" s="1"/>
  <c r="D762" i="1"/>
  <c r="F762" i="1" s="1"/>
  <c r="D761" i="1"/>
  <c r="F761" i="1" s="1"/>
  <c r="D760" i="1"/>
  <c r="F760" i="1" s="1"/>
  <c r="G759" i="1"/>
  <c r="D759" i="1"/>
  <c r="F759" i="1" s="1"/>
  <c r="F757" i="1"/>
  <c r="D755" i="1"/>
  <c r="F755" i="1" s="1"/>
  <c r="D754" i="1"/>
  <c r="F754" i="1" s="1"/>
  <c r="D753" i="1"/>
  <c r="F753" i="1" s="1"/>
  <c r="D752" i="1"/>
  <c r="F752" i="1" s="1"/>
  <c r="D751" i="1"/>
  <c r="F751" i="1" s="1"/>
  <c r="G750" i="1"/>
  <c r="D750" i="1"/>
  <c r="F750" i="1" s="1"/>
  <c r="D748" i="1"/>
  <c r="F748" i="1" s="1"/>
  <c r="D747" i="1"/>
  <c r="F747" i="1" s="1"/>
  <c r="D746" i="1"/>
  <c r="F746" i="1" s="1"/>
  <c r="D745" i="1"/>
  <c r="F745" i="1" s="1"/>
  <c r="D744" i="1"/>
  <c r="F744" i="1" s="1"/>
  <c r="D743" i="1"/>
  <c r="F743" i="1" s="1"/>
  <c r="D742" i="1"/>
  <c r="F742" i="1" s="1"/>
  <c r="G741" i="1"/>
  <c r="D741" i="1"/>
  <c r="F741" i="1" s="1"/>
  <c r="D739" i="1"/>
  <c r="F739" i="1" s="1"/>
  <c r="D738" i="1"/>
  <c r="F738" i="1" s="1"/>
  <c r="D737" i="1"/>
  <c r="F737" i="1" s="1"/>
  <c r="D736" i="1"/>
  <c r="F736" i="1" s="1"/>
  <c r="D735" i="1"/>
  <c r="F735" i="1" s="1"/>
  <c r="D734" i="1"/>
  <c r="F734" i="1" s="1"/>
  <c r="D733" i="1"/>
  <c r="F733" i="1" s="1"/>
  <c r="G732" i="1"/>
  <c r="D732" i="1"/>
  <c r="F732" i="1" s="1"/>
  <c r="D730" i="1"/>
  <c r="F730" i="1" s="1"/>
  <c r="D729" i="1"/>
  <c r="F729" i="1" s="1"/>
  <c r="D728" i="1"/>
  <c r="F728" i="1" s="1"/>
  <c r="D727" i="1"/>
  <c r="F727" i="1" s="1"/>
  <c r="D726" i="1"/>
  <c r="F726" i="1" s="1"/>
  <c r="D725" i="1"/>
  <c r="F725" i="1" s="1"/>
  <c r="D724" i="1"/>
  <c r="F724" i="1" s="1"/>
  <c r="G723" i="1"/>
  <c r="D723" i="1"/>
  <c r="F723" i="1" s="1"/>
  <c r="D721" i="1"/>
  <c r="F721" i="1" s="1"/>
  <c r="D720" i="1"/>
  <c r="F720" i="1" s="1"/>
  <c r="D719" i="1"/>
  <c r="F719" i="1" s="1"/>
  <c r="D718" i="1"/>
  <c r="F718" i="1" s="1"/>
  <c r="D717" i="1"/>
  <c r="F717" i="1" s="1"/>
  <c r="D716" i="1"/>
  <c r="F716" i="1" s="1"/>
  <c r="D715" i="1"/>
  <c r="F715" i="1" s="1"/>
  <c r="G714" i="1"/>
  <c r="D714" i="1"/>
  <c r="F714" i="1" s="1"/>
  <c r="D712" i="1"/>
  <c r="F712" i="1" s="1"/>
  <c r="D711" i="1"/>
  <c r="F711" i="1" s="1"/>
  <c r="D710" i="1"/>
  <c r="D709" i="1"/>
  <c r="F709" i="1" s="1"/>
  <c r="D708" i="1"/>
  <c r="F708" i="1" s="1"/>
  <c r="D707" i="1"/>
  <c r="F707" i="1" s="1"/>
  <c r="D706" i="1"/>
  <c r="G705" i="1"/>
  <c r="D705" i="1"/>
  <c r="F705" i="1" s="1"/>
  <c r="F700" i="1"/>
  <c r="F698" i="1"/>
  <c r="F697" i="1"/>
  <c r="F696" i="1"/>
  <c r="G695" i="1"/>
  <c r="F695" i="1"/>
  <c r="D693" i="1"/>
  <c r="F693" i="1" s="1"/>
  <c r="D692" i="1"/>
  <c r="F692" i="1" s="1"/>
  <c r="D691" i="1"/>
  <c r="F691" i="1" s="1"/>
  <c r="D690" i="1"/>
  <c r="F690" i="1" s="1"/>
  <c r="D689" i="1"/>
  <c r="F689" i="1" s="1"/>
  <c r="G688" i="1"/>
  <c r="D688" i="1"/>
  <c r="F688" i="1" s="1"/>
  <c r="F686" i="1"/>
  <c r="D684" i="1"/>
  <c r="F684" i="1" s="1"/>
  <c r="D683" i="1"/>
  <c r="F683" i="1" s="1"/>
  <c r="D682" i="1"/>
  <c r="F682" i="1" s="1"/>
  <c r="G681" i="1"/>
  <c r="D681" i="1"/>
  <c r="F681" i="1" s="1"/>
  <c r="D679" i="1"/>
  <c r="F679" i="1" s="1"/>
  <c r="D678" i="1"/>
  <c r="F678" i="1" s="1"/>
  <c r="D677" i="1"/>
  <c r="F677" i="1" s="1"/>
  <c r="D676" i="1"/>
  <c r="F676" i="1" s="1"/>
  <c r="D675" i="1"/>
  <c r="F675" i="1" s="1"/>
  <c r="G674" i="1"/>
  <c r="D674" i="1"/>
  <c r="F674" i="1" s="1"/>
  <c r="D672" i="1"/>
  <c r="F672" i="1" s="1"/>
  <c r="D671" i="1"/>
  <c r="F671" i="1" s="1"/>
  <c r="D670" i="1"/>
  <c r="F670" i="1" s="1"/>
  <c r="I669" i="1"/>
  <c r="D669" i="1"/>
  <c r="F669" i="1" s="1"/>
  <c r="I668" i="1"/>
  <c r="D668" i="1"/>
  <c r="F668" i="1" s="1"/>
  <c r="G667" i="1"/>
  <c r="D667" i="1"/>
  <c r="F667" i="1" s="1"/>
  <c r="D665" i="1"/>
  <c r="F665" i="1" s="1"/>
  <c r="K665" i="1" s="1"/>
  <c r="D664" i="1"/>
  <c r="F664" i="1" s="1"/>
  <c r="K664" i="1" s="1"/>
  <c r="D663" i="1"/>
  <c r="F663" i="1" s="1"/>
  <c r="K663" i="1" s="1"/>
  <c r="D662" i="1"/>
  <c r="F662" i="1" s="1"/>
  <c r="K662" i="1" s="1"/>
  <c r="D661" i="1"/>
  <c r="F661" i="1" s="1"/>
  <c r="K661" i="1" s="1"/>
  <c r="G660" i="1"/>
  <c r="D660" i="1"/>
  <c r="F660" i="1" s="1"/>
  <c r="K660" i="1" s="1"/>
  <c r="D658" i="1"/>
  <c r="F658" i="1" s="1"/>
  <c r="D657" i="1"/>
  <c r="F657" i="1" s="1"/>
  <c r="D656" i="1"/>
  <c r="F656" i="1" s="1"/>
  <c r="D655" i="1"/>
  <c r="F655" i="1" s="1"/>
  <c r="D654" i="1"/>
  <c r="F654" i="1" s="1"/>
  <c r="G653" i="1"/>
  <c r="D653" i="1"/>
  <c r="F653" i="1" s="1"/>
  <c r="I651" i="1"/>
  <c r="D651" i="1"/>
  <c r="F651" i="1" s="1"/>
  <c r="I650" i="1"/>
  <c r="D650" i="1"/>
  <c r="F650" i="1" s="1"/>
  <c r="I649" i="1"/>
  <c r="D649" i="1"/>
  <c r="F649" i="1" s="1"/>
  <c r="I648" i="1"/>
  <c r="D648" i="1"/>
  <c r="F648" i="1" s="1"/>
  <c r="I647" i="1"/>
  <c r="D647" i="1"/>
  <c r="F647" i="1" s="1"/>
  <c r="I646" i="1"/>
  <c r="G646" i="1"/>
  <c r="D646" i="1"/>
  <c r="F646" i="1" s="1"/>
  <c r="L646" i="1" s="1"/>
  <c r="D640" i="1"/>
  <c r="F640" i="1" s="1"/>
  <c r="D639" i="1"/>
  <c r="F639" i="1" s="1"/>
  <c r="D638" i="1"/>
  <c r="F638" i="1" s="1"/>
  <c r="D637" i="1"/>
  <c r="F637" i="1" s="1"/>
  <c r="D636" i="1"/>
  <c r="F636" i="1" s="1"/>
  <c r="D635" i="1"/>
  <c r="F635" i="1" s="1"/>
  <c r="D634" i="1"/>
  <c r="F634" i="1" s="1"/>
  <c r="G633" i="1"/>
  <c r="D633" i="1"/>
  <c r="F633" i="1" s="1"/>
  <c r="D631" i="1"/>
  <c r="F631" i="1" s="1"/>
  <c r="D630" i="1"/>
  <c r="F630" i="1" s="1"/>
  <c r="D629" i="1"/>
  <c r="F629" i="1" s="1"/>
  <c r="D628" i="1"/>
  <c r="F628" i="1" s="1"/>
  <c r="D627" i="1"/>
  <c r="F627" i="1" s="1"/>
  <c r="D626" i="1"/>
  <c r="F626" i="1" s="1"/>
  <c r="D625" i="1"/>
  <c r="F625" i="1" s="1"/>
  <c r="G624" i="1"/>
  <c r="D624" i="1"/>
  <c r="F624" i="1" s="1"/>
  <c r="D622" i="1"/>
  <c r="F622" i="1" s="1"/>
  <c r="D621" i="1"/>
  <c r="F621" i="1" s="1"/>
  <c r="D620" i="1"/>
  <c r="F620" i="1" s="1"/>
  <c r="D619" i="1"/>
  <c r="F619" i="1" s="1"/>
  <c r="D618" i="1"/>
  <c r="F618" i="1" s="1"/>
  <c r="D617" i="1"/>
  <c r="F617" i="1" s="1"/>
  <c r="D616" i="1"/>
  <c r="F616" i="1" s="1"/>
  <c r="G615" i="1"/>
  <c r="D615" i="1"/>
  <c r="F615" i="1" s="1"/>
  <c r="D613" i="1"/>
  <c r="F613" i="1" s="1"/>
  <c r="D612" i="1"/>
  <c r="F612" i="1" s="1"/>
  <c r="D611" i="1"/>
  <c r="F611" i="1" s="1"/>
  <c r="D610" i="1"/>
  <c r="F610" i="1" s="1"/>
  <c r="D609" i="1"/>
  <c r="F609" i="1" s="1"/>
  <c r="J610" i="1" s="1"/>
  <c r="D608" i="1"/>
  <c r="F608" i="1" s="1"/>
  <c r="D607" i="1"/>
  <c r="F607" i="1" s="1"/>
  <c r="J608" i="1" s="1"/>
  <c r="G606" i="1"/>
  <c r="D606" i="1"/>
  <c r="F606" i="1" s="1"/>
  <c r="D599" i="1"/>
  <c r="F599" i="1" s="1"/>
  <c r="D598" i="1"/>
  <c r="F598" i="1" s="1"/>
  <c r="D597" i="1"/>
  <c r="F597" i="1" s="1"/>
  <c r="G596" i="1"/>
  <c r="D596" i="1"/>
  <c r="F596" i="1" s="1"/>
  <c r="D593" i="1"/>
  <c r="F593" i="1" s="1"/>
  <c r="D592" i="1"/>
  <c r="G591" i="1"/>
  <c r="D591" i="1"/>
  <c r="F591" i="1" s="1"/>
  <c r="D588" i="1"/>
  <c r="F588" i="1" s="1"/>
  <c r="D587" i="1"/>
  <c r="F587" i="1" s="1"/>
  <c r="G586" i="1"/>
  <c r="D586" i="1"/>
  <c r="F586" i="1" s="1"/>
  <c r="D584" i="1"/>
  <c r="F584" i="1" s="1"/>
  <c r="D583" i="1"/>
  <c r="F583" i="1" s="1"/>
  <c r="I582" i="1"/>
  <c r="D582" i="1"/>
  <c r="F582" i="1" s="1"/>
  <c r="G581" i="1"/>
  <c r="D581" i="1"/>
  <c r="F581" i="1" s="1"/>
  <c r="D576" i="1"/>
  <c r="F576" i="1" s="1"/>
  <c r="D575" i="1"/>
  <c r="F575" i="1" s="1"/>
  <c r="D574" i="1"/>
  <c r="F574" i="1" s="1"/>
  <c r="D573" i="1"/>
  <c r="F573" i="1" s="1"/>
  <c r="G572" i="1"/>
  <c r="D572" i="1"/>
  <c r="F572" i="1" s="1"/>
  <c r="D570" i="1"/>
  <c r="F570" i="1" s="1"/>
  <c r="D569" i="1"/>
  <c r="F569" i="1" s="1"/>
  <c r="D568" i="1"/>
  <c r="F568" i="1" s="1"/>
  <c r="D567" i="1"/>
  <c r="F567" i="1" s="1"/>
  <c r="G566" i="1"/>
  <c r="D566" i="1"/>
  <c r="F566" i="1" s="1"/>
  <c r="D564" i="1"/>
  <c r="F564" i="1" s="1"/>
  <c r="D563" i="1"/>
  <c r="F563" i="1" s="1"/>
  <c r="D562" i="1"/>
  <c r="F562" i="1" s="1"/>
  <c r="F561" i="1"/>
  <c r="G560" i="1"/>
  <c r="D560" i="1"/>
  <c r="F560" i="1" s="1"/>
  <c r="D558" i="1"/>
  <c r="F558" i="1" s="1"/>
  <c r="D557" i="1"/>
  <c r="F557" i="1" s="1"/>
  <c r="F556" i="1"/>
  <c r="G554" i="1"/>
  <c r="D554" i="1"/>
  <c r="F554" i="1" s="1"/>
  <c r="D552" i="1"/>
  <c r="F552" i="1" s="1"/>
  <c r="D551" i="1"/>
  <c r="F551" i="1" s="1"/>
  <c r="D550" i="1"/>
  <c r="F550" i="1" s="1"/>
  <c r="D549" i="1"/>
  <c r="F549" i="1" s="1"/>
  <c r="G548" i="1"/>
  <c r="D548" i="1"/>
  <c r="F548" i="1" s="1"/>
  <c r="D545" i="1"/>
  <c r="F545" i="1" s="1"/>
  <c r="D544" i="1"/>
  <c r="F544" i="1" s="1"/>
  <c r="D543" i="1"/>
  <c r="F543" i="1" s="1"/>
  <c r="D542" i="1"/>
  <c r="F542" i="1" s="1"/>
  <c r="G541" i="1"/>
  <c r="D541" i="1"/>
  <c r="F541" i="1" s="1"/>
  <c r="D539" i="1"/>
  <c r="F539" i="1" s="1"/>
  <c r="F538" i="1"/>
  <c r="D537" i="1"/>
  <c r="F537" i="1" s="1"/>
  <c r="D536" i="1"/>
  <c r="F536" i="1" s="1"/>
  <c r="A536" i="1"/>
  <c r="A537" i="1" s="1"/>
  <c r="A538" i="1" s="1"/>
  <c r="A539" i="1" s="1"/>
  <c r="G535" i="1"/>
  <c r="D535" i="1"/>
  <c r="F535" i="1" s="1"/>
  <c r="D533" i="1"/>
  <c r="F533" i="1" s="1"/>
  <c r="D531" i="1"/>
  <c r="F531" i="1" s="1"/>
  <c r="D530" i="1"/>
  <c r="F530" i="1" s="1"/>
  <c r="A530" i="1"/>
  <c r="A531" i="1" s="1"/>
  <c r="A532" i="1" s="1"/>
  <c r="A533" i="1" s="1"/>
  <c r="G529" i="1"/>
  <c r="D529" i="1"/>
  <c r="F529" i="1" s="1"/>
  <c r="D527" i="1"/>
  <c r="F527" i="1" s="1"/>
  <c r="I526" i="1"/>
  <c r="D526" i="1"/>
  <c r="F526" i="1" s="1"/>
  <c r="D525" i="1"/>
  <c r="D524" i="1"/>
  <c r="F524" i="1" s="1"/>
  <c r="A524" i="1"/>
  <c r="A525" i="1" s="1"/>
  <c r="A526" i="1" s="1"/>
  <c r="A527" i="1" s="1"/>
  <c r="I523" i="1"/>
  <c r="G523" i="1"/>
  <c r="D523" i="1"/>
  <c r="F523" i="1" s="1"/>
  <c r="I220" i="1"/>
  <c r="G220" i="1"/>
  <c r="I215" i="1"/>
  <c r="F215" i="1"/>
  <c r="F214" i="1"/>
  <c r="I213" i="1"/>
  <c r="F213" i="1"/>
  <c r="F212" i="1"/>
  <c r="F211" i="1"/>
  <c r="G168" i="1" s="1"/>
  <c r="F210" i="1"/>
  <c r="F209" i="1"/>
  <c r="F208" i="1"/>
  <c r="F207" i="1"/>
  <c r="F206" i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F205" i="1"/>
  <c r="F204" i="1"/>
  <c r="F203" i="1"/>
  <c r="F202" i="1"/>
  <c r="F201" i="1"/>
  <c r="F200" i="1"/>
  <c r="F199" i="1"/>
  <c r="F198" i="1"/>
  <c r="F197" i="1"/>
  <c r="A197" i="1"/>
  <c r="A198" i="1" s="1"/>
  <c r="A199" i="1" s="1"/>
  <c r="A200" i="1" s="1"/>
  <c r="A201" i="1" s="1"/>
  <c r="A202" i="1" s="1"/>
  <c r="A203" i="1" s="1"/>
  <c r="A204" i="1" s="1"/>
  <c r="G196" i="1"/>
  <c r="F196" i="1"/>
  <c r="I181" i="1"/>
  <c r="I178" i="1"/>
  <c r="I173" i="1"/>
  <c r="F164" i="1"/>
  <c r="J135" i="1"/>
  <c r="J134" i="1"/>
  <c r="J133" i="1"/>
  <c r="J132" i="1"/>
  <c r="J107" i="1"/>
  <c r="J106" i="1"/>
  <c r="J105" i="1"/>
  <c r="J104" i="1"/>
  <c r="J79" i="1"/>
  <c r="J78" i="1"/>
  <c r="L77" i="1"/>
  <c r="J77" i="1"/>
  <c r="J76" i="1"/>
  <c r="D62" i="1"/>
  <c r="D54" i="1"/>
  <c r="G49" i="1"/>
  <c r="C49" i="1"/>
  <c r="E42" i="1"/>
  <c r="E43" i="1" s="1"/>
  <c r="E29" i="1"/>
  <c r="E26" i="1"/>
  <c r="E24" i="1"/>
  <c r="C14" i="1"/>
  <c r="E7" i="1"/>
  <c r="E3" i="1"/>
  <c r="H125" i="1"/>
  <c r="H97" i="1"/>
  <c r="H69" i="1"/>
  <c r="G167" i="1" l="1"/>
  <c r="G169" i="1" s="1"/>
  <c r="K695" i="1"/>
  <c r="J695" i="1"/>
  <c r="E174" i="1"/>
  <c r="F710" i="1"/>
  <c r="C174" i="1"/>
  <c r="C175" i="1"/>
  <c r="F525" i="1"/>
  <c r="E175" i="1"/>
  <c r="F592" i="1"/>
  <c r="G174" i="1" s="1"/>
  <c r="F706" i="1"/>
  <c r="D136" i="1"/>
  <c r="D134" i="1"/>
  <c r="D132" i="1"/>
  <c r="D130" i="1"/>
  <c r="J127" i="1"/>
  <c r="D128" i="1" s="1"/>
  <c r="J129" i="1"/>
  <c r="D137" i="1"/>
  <c r="D135" i="1"/>
  <c r="D133" i="1"/>
  <c r="D131" i="1"/>
  <c r="J130" i="1"/>
  <c r="J131" i="1" s="1"/>
  <c r="J136" i="1" s="1"/>
  <c r="J128" i="1"/>
  <c r="J124" i="1"/>
  <c r="J126" i="1" s="1"/>
  <c r="J102" i="1"/>
  <c r="J103" i="1" s="1"/>
  <c r="J108" i="1" s="1"/>
  <c r="J100" i="1"/>
  <c r="J96" i="1"/>
  <c r="J98" i="1" s="1"/>
  <c r="D108" i="1"/>
  <c r="D106" i="1"/>
  <c r="D104" i="1"/>
  <c r="D102" i="1"/>
  <c r="J99" i="1"/>
  <c r="J101" i="1"/>
  <c r="C100" i="1" s="1"/>
  <c r="D109" i="1"/>
  <c r="D107" i="1"/>
  <c r="D105" i="1"/>
  <c r="D103" i="1"/>
  <c r="D81" i="1"/>
  <c r="D79" i="1"/>
  <c r="J73" i="1"/>
  <c r="C72" i="1" s="1"/>
  <c r="D76" i="1"/>
  <c r="J71" i="1"/>
  <c r="D77" i="1"/>
  <c r="D75" i="1"/>
  <c r="D80" i="1"/>
  <c r="D78" i="1"/>
  <c r="J74" i="1"/>
  <c r="J75" i="1" s="1"/>
  <c r="J80" i="1" s="1"/>
  <c r="J81" i="1" s="1"/>
  <c r="J72" i="1"/>
  <c r="J68" i="1"/>
  <c r="J70" i="1" s="1"/>
  <c r="D74" i="1"/>
  <c r="G175" i="1"/>
  <c r="H111" i="1"/>
  <c r="G176" i="1" l="1"/>
  <c r="C176" i="1"/>
  <c r="E176" i="1"/>
  <c r="C73" i="1"/>
  <c r="E72" i="1" s="1"/>
  <c r="J173" i="1"/>
  <c r="D72" i="1"/>
  <c r="J109" i="1"/>
  <c r="C101" i="1" s="1"/>
  <c r="G100" i="1" s="1"/>
  <c r="J116" i="1"/>
  <c r="J117" i="1" s="1"/>
  <c r="J122" i="1" s="1"/>
  <c r="C115" i="1" s="1"/>
  <c r="J114" i="1"/>
  <c r="J110" i="1"/>
  <c r="J112" i="1" s="1"/>
  <c r="D122" i="1"/>
  <c r="D120" i="1"/>
  <c r="D118" i="1"/>
  <c r="D116" i="1"/>
  <c r="J113" i="1"/>
  <c r="J115" i="1"/>
  <c r="D123" i="1"/>
  <c r="D121" i="1"/>
  <c r="D119" i="1"/>
  <c r="D117" i="1"/>
  <c r="J137" i="1"/>
  <c r="C129" i="1" s="1"/>
  <c r="G128" i="1" s="1"/>
  <c r="J176" i="1"/>
  <c r="D100" i="1"/>
  <c r="G72" i="1" l="1"/>
  <c r="D66" i="1" s="1"/>
  <c r="F67" i="1" s="1"/>
  <c r="D73" i="1"/>
  <c r="J69" i="1"/>
  <c r="E100" i="1"/>
  <c r="D101" i="1"/>
  <c r="I97" i="1" s="1"/>
  <c r="I98" i="1" s="1"/>
  <c r="J123" i="1"/>
  <c r="G114" i="1"/>
  <c r="D114" i="1"/>
  <c r="J125" i="1"/>
  <c r="E128" i="1"/>
  <c r="D129" i="1"/>
  <c r="I125" i="1" s="1"/>
  <c r="I126" i="1" s="1"/>
  <c r="J97" i="1"/>
  <c r="I69" i="1" l="1"/>
  <c r="I70" i="1" s="1"/>
  <c r="D67" i="1"/>
  <c r="I96" i="1"/>
  <c r="C98" i="1" s="1"/>
  <c r="D115" i="1"/>
  <c r="I111" i="1" s="1"/>
  <c r="I112" i="1" s="1"/>
  <c r="E114" i="1"/>
  <c r="J111" i="1"/>
  <c r="I124" i="1"/>
  <c r="C126" i="1" s="1"/>
  <c r="H139" i="1"/>
  <c r="D149" i="1" l="1"/>
  <c r="J144" i="1"/>
  <c r="J145" i="1" s="1"/>
  <c r="J150" i="1" s="1"/>
  <c r="J151" i="1" s="1"/>
  <c r="C143" i="1" s="1"/>
  <c r="D150" i="1"/>
  <c r="D146" i="1"/>
  <c r="J142" i="1"/>
  <c r="D145" i="1"/>
  <c r="D142" i="1"/>
  <c r="J138" i="1"/>
  <c r="J140" i="1" s="1"/>
  <c r="D148" i="1"/>
  <c r="D144" i="1"/>
  <c r="J141" i="1"/>
  <c r="J143" i="1"/>
  <c r="D151" i="1"/>
  <c r="D147" i="1"/>
  <c r="I68" i="1"/>
  <c r="C70" i="1" s="1"/>
  <c r="I110" i="1"/>
  <c r="C112" i="1" s="1"/>
  <c r="J139" i="1" l="1"/>
  <c r="E142" i="1"/>
  <c r="D143" i="1"/>
  <c r="I139" i="1" s="1"/>
  <c r="I140" i="1" s="1"/>
  <c r="G142" i="1"/>
  <c r="I138" i="1" l="1"/>
  <c r="C140" i="1" s="1"/>
</calcChain>
</file>

<file path=xl/comments1.xml><?xml version="1.0" encoding="utf-8"?>
<comments xmlns="http://schemas.openxmlformats.org/spreadsheetml/2006/main">
  <authors>
    <author>SACHIN</author>
  </authors>
  <commentList>
    <comment ref="H22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<sst xmlns="http://schemas.openxmlformats.org/spreadsheetml/2006/main" count="1502" uniqueCount="301">
  <si>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</si>
  <si>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</si>
  <si>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</si>
  <si>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</si>
  <si>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</si>
  <si>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</si>
  <si>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</si>
  <si>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</si>
  <si>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</si>
  <si>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</si>
  <si>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</si>
  <si>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</si>
  <si>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</si>
  <si>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</si>
  <si>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</si>
  <si>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</si>
  <si>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</si>
  <si>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</si>
  <si>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</si>
  <si>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</si>
  <si>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</si>
  <si>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</si>
  <si>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</si>
  <si>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</si>
  <si>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</si>
  <si>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</si>
  <si>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</si>
  <si>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</si>
  <si>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</si>
  <si>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</si>
  <si>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</si>
  <si>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</si>
  <si>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</si>
  <si>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</si>
  <si>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</si>
  <si>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</si>
  <si>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</si>
  <si>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</si>
  <si>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</si>
  <si>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</si>
  <si>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</si>
  <si>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</si>
  <si>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</si>
  <si>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</si>
  <si>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</si>
  <si>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</si>
  <si>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</si>
  <si>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</si>
  <si>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</si>
  <si>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</si>
  <si>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</si>
  <si>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</si>
  <si>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</si>
  <si>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</si>
  <si>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</si>
  <si>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</si>
  <si>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</si>
  <si>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</si>
  <si>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</si>
  <si>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</si>
  <si>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</si>
  <si>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</si>
  <si>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</si>
  <si>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</si>
  <si>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</si>
  <si>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</si>
  <si>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</si>
  <si>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</si>
  <si>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</si>
  <si>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</si>
  <si>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</si>
  <si>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</si>
  <si>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</si>
  <si>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</si>
  <si>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</si>
  <si>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</si>
  <si>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</si>
  <si>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</si>
  <si>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</si>
  <si>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</si>
  <si>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</si>
  <si>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</si>
  <si>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</si>
  <si>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</si>
  <si>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</si>
  <si>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</si>
  <si>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</si>
  <si>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</si>
  <si>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</si>
  <si>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</si>
  <si>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</si>
  <si>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</si>
  <si>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</si>
  <si>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</si>
  <si>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</si>
  <si>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</si>
  <si>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</si>
  <si>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</si>
  <si>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</si>
  <si>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</si>
  <si>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</si>
  <si>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</si>
  <si>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</si>
  <si>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</si>
  <si>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</si>
  <si>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</si>
  <si>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</si>
  <si>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</si>
  <si>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</si>
  <si>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</si>
  <si>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</si>
  <si>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</si>
  <si>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</si>
  <si>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</si>
  <si>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</si>
  <si>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</si>
  <si>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</si>
  <si>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</si>
  <si>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</si>
  <si>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</si>
  <si>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</si>
  <si>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</si>
  <si>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</si>
  <si>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</si>
  <si>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</si>
  <si>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</si>
  <si>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</si>
  <si>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</si>
  <si>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</si>
  <si>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</si>
  <si>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</si>
  <si>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</si>
  <si>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</si>
  <si>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</si>
  <si>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</si>
  <si>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</si>
  <si>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</si>
  <si>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</si>
  <si>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</si>
  <si>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</si>
  <si>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</si>
  <si>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</si>
  <si>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</si>
  <si>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</si>
  <si>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</si>
  <si>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</si>
  <si>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</si>
  <si>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</si>
  <si>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</si>
  <si>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</si>
  <si>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</si>
  <si>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</si>
  <si>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</si>
  <si>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</si>
  <si>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</si>
  <si>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</si>
  <si>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</si>
  <si>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</si>
  <si>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</si>
  <si>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</si>
  <si>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</si>
  <si>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</si>
  <si>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</si>
  <si>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</si>
  <si>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</si>
  <si>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</si>
  <si>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</si>
  <si>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</si>
  <si>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</si>
  <si>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</si>
  <si>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Ruparel Vivanza</t>
  </si>
  <si>
    <t>R R Builders</t>
  </si>
  <si>
    <t>P51900003595</t>
  </si>
  <si>
    <t>1D/716</t>
  </si>
  <si>
    <t>CTS  No</t>
  </si>
  <si>
    <t>Ward E</t>
  </si>
  <si>
    <t>Municipal Corporation Of Greater Mumbai (MCGM)</t>
  </si>
  <si>
    <t>EB/6738/E/A</t>
  </si>
  <si>
    <t>Mazgaon</t>
  </si>
  <si>
    <t>Building No. 1</t>
  </si>
  <si>
    <t>A Wing</t>
  </si>
  <si>
    <t>Ground Floor For Commercial &amp; Parking</t>
  </si>
  <si>
    <t>Shop</t>
  </si>
  <si>
    <t>Rehab</t>
  </si>
  <si>
    <t>Sale/Rehab</t>
  </si>
  <si>
    <t>1st to 7th, 9th to 14th &amp; 16th to 20th Floor For Residential</t>
  </si>
  <si>
    <t>Mumbai</t>
  </si>
  <si>
    <t>2BHK</t>
  </si>
  <si>
    <t>8th Floor (Part Refuge Area)</t>
  </si>
  <si>
    <t>15th Floor (Part Refuge Area)</t>
  </si>
  <si>
    <t>-</t>
  </si>
  <si>
    <t>Refuge Area</t>
  </si>
  <si>
    <t>21st, 22nd, 23rd Floor</t>
  </si>
  <si>
    <t>B Wing</t>
  </si>
  <si>
    <t>1st to 7th, 9th to 14th &amp; 16th to 19th Floor For Residential</t>
  </si>
  <si>
    <t>8th Floor For Residential &amp; Fitness Center (Part Refuge Area)</t>
  </si>
  <si>
    <t>Fitness Center</t>
  </si>
  <si>
    <t>20th Floor</t>
  </si>
  <si>
    <t>Basement Floor For Services</t>
  </si>
  <si>
    <t>C Wing</t>
  </si>
  <si>
    <t>Ground Floor For Society Office &amp; Parking</t>
  </si>
  <si>
    <t>1st to 7th, 9th to 14th Floor For Residential</t>
  </si>
  <si>
    <t>1BHK</t>
  </si>
  <si>
    <t>Mhada</t>
  </si>
  <si>
    <t>16th to 23rd Floor</t>
  </si>
  <si>
    <t>Building No. 2</t>
  </si>
  <si>
    <t>Commercial Area Details : Building No. 1</t>
  </si>
  <si>
    <t>Rehab Duplex Shop</t>
  </si>
  <si>
    <t>2nd to 10th Podium Floor For Parking</t>
  </si>
  <si>
    <t>Ground Floor + 1st Podium Floor For Commercial &amp; Parking</t>
  </si>
  <si>
    <t>11th Podium Floor For Fitness Center &amp; Parking (Part Refuge Area)</t>
  </si>
  <si>
    <t>12th Floor For Residential</t>
  </si>
  <si>
    <t>Sale</t>
  </si>
  <si>
    <t>13th Floor</t>
  </si>
  <si>
    <t>14th Floor</t>
  </si>
  <si>
    <t>15th, 16th Floor</t>
  </si>
  <si>
    <t>17th Floor</t>
  </si>
  <si>
    <t>19th to 24th, 26th to 31st, 33rd Floor</t>
  </si>
  <si>
    <t>18th, 25th Floor (Part Refuge Area)</t>
  </si>
  <si>
    <t>Residential Area Details : Building No. 2</t>
  </si>
  <si>
    <t>We considered Gross carpet area = Net carpet.</t>
  </si>
  <si>
    <t>Approved Plans, CC, Cost Sheet</t>
  </si>
  <si>
    <t>https://goo.gl/maps/ENNFJSqmFV6AeeEt5</t>
  </si>
  <si>
    <t>Harish Arjun Palay Marg</t>
  </si>
  <si>
    <t>Dhaku Prabhuchi Wadi</t>
  </si>
  <si>
    <t>2.4KM from Chinchpokli Railway Station</t>
  </si>
  <si>
    <t>New Patra Chawl</t>
  </si>
  <si>
    <t>Dadoji Konddeo Cross Lane</t>
  </si>
  <si>
    <t>Building No. 2 = C Wing = G + 11P + 12th to 40th Floor</t>
  </si>
  <si>
    <t>As per RERA - 31/03/2027</t>
  </si>
  <si>
    <t>06 Building</t>
  </si>
  <si>
    <t>Kach Building</t>
  </si>
  <si>
    <t>Basement Floor For UG tank</t>
  </si>
  <si>
    <t>15th &amp; 16th Floor</t>
  </si>
  <si>
    <t>18th &amp; 25th Floor (Part Refuge Area)</t>
  </si>
  <si>
    <t>32nd Floor (Part Refuge Area)</t>
  </si>
  <si>
    <t>Existing NR are considered as sale flats</t>
  </si>
  <si>
    <t>Kohinoor Nhada Society 4C</t>
  </si>
  <si>
    <t>Chinchpokli East</t>
  </si>
  <si>
    <t>Building No. 1 (Rehab Building)</t>
  </si>
  <si>
    <t>Building No. 2  (Sale Building)</t>
  </si>
  <si>
    <t>Latitude, Longitude</t>
  </si>
  <si>
    <t>19000 to 19500 &amp; OC</t>
  </si>
  <si>
    <t>Gaurav</t>
  </si>
  <si>
    <t>Cost sheet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</si>
  <si>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</si>
  <si>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18.982627,72.839052</t>
  </si>
  <si>
    <t>stage confirm by sachin Sir  25/04/2024.</t>
  </si>
  <si>
    <t>As per our observation, the construction work of ruparel projects (Ruparel Jewel, Ruparel Regalia, Ruparel Millennia, etc.) seems to be on a slow speed since last year.</t>
  </si>
  <si>
    <t>We have updated CC from MCGM site (On 18/10/2024).</t>
  </si>
  <si>
    <t>Mr.Shivendra singh 8879846939</t>
  </si>
  <si>
    <t>Shivendra 8879531790</t>
  </si>
  <si>
    <t>Karan Misal</t>
  </si>
  <si>
    <t>Building No. 1 = Wing C = B + G + 1st to 23rd Floor</t>
  </si>
  <si>
    <t>Building No. 1 = Wing A &amp; B = B + G + 1st to 23rd Floor</t>
  </si>
  <si>
    <t>we maintain stage.</t>
  </si>
  <si>
    <t>Bldg No.2 (Wing A) = 1st slab work is partially completed.</t>
  </si>
  <si>
    <t>EB/6738/E/A/FCC/1/Amend</t>
  </si>
  <si>
    <t>This CC is extended for Rehab building No.01 having two wings i.e. wings A &amp; B comprising of Ground to 23rd upper floors with height 69.95 mt and Sale Building No.02 having three wings, i.e. wing A comprising of Ground (NR &amp; Stilt) + 11 podium floors + 12th to 25th upper floors with height 76.45 mt, wing B comprising of Ground (Stilt) + 11 podium floors + 12th to 27th upper floors as per last amended plans dated 27.06.2025 and also wing C comprising of Ground (Stilt) + 11 podium floors + 12th to 29th upper floors as per last amended plans dated 27.06.2025.</t>
  </si>
  <si>
    <t>Other Plot</t>
  </si>
  <si>
    <t>As per Layout</t>
  </si>
  <si>
    <t>12.19 M.W. Harish Arjun Palay Marg</t>
  </si>
  <si>
    <t>12.19 M.W. Keshavrao Borkar Marg</t>
  </si>
  <si>
    <t>Flat No. (Sale Plan)</t>
  </si>
  <si>
    <t>Carpet area</t>
  </si>
  <si>
    <t>Fungible area</t>
  </si>
  <si>
    <t>1st Floor for Residential</t>
  </si>
  <si>
    <t>2nd to 7th, 9th to 14th &amp; 16th to 23rd Floor</t>
  </si>
  <si>
    <t>15th Floor</t>
  </si>
  <si>
    <t>Void Area</t>
  </si>
  <si>
    <t>1st Podium Floor For Parking</t>
  </si>
  <si>
    <t>12th Floor for Residential</t>
  </si>
  <si>
    <t>15th to 17th, 19th to 23rd Floor</t>
  </si>
  <si>
    <t>18th Floor (Part Refuge Area)</t>
  </si>
  <si>
    <t>24th Floor</t>
  </si>
  <si>
    <t>25th Floor (Part Refuge Area)</t>
  </si>
  <si>
    <t>26th Floor</t>
  </si>
  <si>
    <t>27th to 31st, 33rd Floor</t>
  </si>
  <si>
    <r>
      <t xml:space="preserve">Flat No.
</t>
    </r>
    <r>
      <rPr>
        <b/>
        <sz val="11"/>
        <rFont val="Times New Roman"/>
        <family val="1"/>
      </rPr>
      <t>(Approved Plan)</t>
    </r>
  </si>
  <si>
    <t>11th Podium Floor For Fitness Center &amp; Part Refuge Area</t>
  </si>
  <si>
    <t>Rehab Shops</t>
  </si>
  <si>
    <t>Sale Shop</t>
  </si>
  <si>
    <t xml:space="preserve">Sale Flats </t>
  </si>
  <si>
    <t>Ground Floor For Parking</t>
  </si>
  <si>
    <t>A + B Wing</t>
  </si>
  <si>
    <t>Basement Floor for Services</t>
  </si>
  <si>
    <t>Building No. 2 = C Wing = B + G + 11P + 12th to 40th Floor</t>
  </si>
  <si>
    <t>Building No. 2 = B Wing = B + G + 11P + 12th to 40th Floor</t>
  </si>
  <si>
    <t>Bldg No.1 (Wing A &amp; B) = Construction work is in process at the time of visit.
Bldg No.2 (Wing A) = Construction work is in process.
Bldg No.2 (Wing B &amp; C) = Construction work is in process at the time of visit. Internal photos was not allowed.</t>
  </si>
  <si>
    <t>We have updated latest approved floor plans &amp; CC from MCGM site (On 26/08/2025).</t>
  </si>
  <si>
    <t>Dated
Valid Upto 
Date</t>
  </si>
  <si>
    <t>11/08/2025
14/02/2026</t>
  </si>
  <si>
    <t>Building No. 1 Wing A &amp; B = 1B + G + 1st to 23rd Floor
Building No. 2 A Wing = 1B +G + P1 to P11 + 12th to 25th Floor
Building No. 2 B Wing = 1B + G + P1 to P11 + 12th to 33rd Floor
Building No. 2 C Wing = 1B + G + P1 to P11 + 12th to 33rd Floor</t>
  </si>
  <si>
    <t>Building No. 1 Wing A &amp; B = B + G + 1st to 23rd Floor</t>
  </si>
  <si>
    <t>Building No. 2 A Wing = 1B + G + 11P + 12th to 40th Floor</t>
  </si>
  <si>
    <t>Building No. 2 B &amp; C Wing = B + G + 11P + 12th to 40th Floor</t>
  </si>
  <si>
    <t>Residential Area Details : Building No. 1 Rehab</t>
  </si>
  <si>
    <t>Sale Flats - 261, Rehab Flats - 385, Mhada Flats - 71, 
Rehab Shops - 20, Sale Shop - 1</t>
  </si>
  <si>
    <t>As per approved plans dtd 26/06/2025, Wing C is eliminated from Building No. 1 (rehab Building)</t>
  </si>
  <si>
    <t>Building No. 1 Wing A &amp; B (Rehab Building)
Building No. 2 Wing A, B &amp; C (Sale Building)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</si>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</sst>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0" xfId="0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2" fontId="7" fillId="0" borderId="0" xfId="1" applyNumberFormat="1" applyFont="1" applyAlignment="1">
      <alignment horizontal="center" vertical="center"/>
    </xf>
    <xf numFmtId="1" fontId="8" fillId="2" borderId="3" xfId="1" applyNumberFormat="1" applyFont="1" applyFill="1" applyBorder="1" applyAlignment="1" applyProtection="1">
      <alignment horizontal="center" vertical="top" wrapText="1"/>
      <protection locked="0"/>
    </xf>
    <xf numFmtId="9" fontId="8" fillId="2" borderId="16" xfId="8" applyFont="1" applyFill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vertical="center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2" borderId="3" xfId="1" applyNumberFormat="1" applyFont="1" applyFill="1" applyBorder="1" applyAlignment="1" applyProtection="1">
      <alignment horizontal="center" vertical="top" wrapText="1"/>
      <protection locked="0"/>
    </xf>
    <xf numFmtId="1" fontId="8" fillId="2" borderId="16" xfId="1" applyNumberFormat="1" applyFont="1" applyFill="1" applyBorder="1" applyAlignment="1" applyProtection="1">
      <alignment horizontal="center" vertical="top" wrapText="1"/>
      <protection locked="0"/>
    </xf>
    <xf numFmtId="1" fontId="4" fillId="2" borderId="3" xfId="1" applyNumberFormat="1" applyFont="1" applyFill="1" applyBorder="1" applyAlignment="1" applyProtection="1">
      <alignment horizontal="center" vertical="top" wrapText="1"/>
      <protection locked="0"/>
    </xf>
    <xf numFmtId="1" fontId="4" fillId="2" borderId="16" xfId="1" applyNumberFormat="1" applyFont="1" applyFill="1" applyBorder="1" applyAlignment="1" applyProtection="1">
      <alignment horizontal="center" vertical="top" wrapText="1"/>
      <protection locked="0"/>
    </xf>
    <xf numFmtId="1" fontId="8" fillId="2" borderId="17" xfId="1" applyNumberFormat="1" applyFont="1" applyFill="1" applyBorder="1" applyAlignment="1" applyProtection="1">
      <alignment horizontal="center" vertical="top" wrapText="1"/>
      <protection locked="0"/>
    </xf>
    <xf numFmtId="1" fontId="8" fillId="2" borderId="18" xfId="1" applyNumberFormat="1" applyFont="1" applyFill="1" applyBorder="1" applyAlignment="1" applyProtection="1">
      <alignment horizontal="center" vertical="top" wrapText="1"/>
      <protection locked="0"/>
    </xf>
    <xf numFmtId="1" fontId="8" fillId="2" borderId="19" xfId="1" applyNumberFormat="1" applyFont="1" applyFill="1" applyBorder="1" applyAlignment="1" applyProtection="1">
      <alignment horizontal="center" vertical="top" wrapText="1"/>
      <protection locked="0"/>
    </xf>
    <xf numFmtId="1" fontId="8" fillId="2" borderId="20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30" fillId="0" borderId="3" xfId="1" applyNumberFormat="1" applyFont="1" applyBorder="1" applyAlignment="1" applyProtection="1">
      <alignment horizontal="center" vertical="top" wrapText="1"/>
      <protection locked="0"/>
    </xf>
    <xf numFmtId="1" fontId="30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7" fillId="0" borderId="22" xfId="1" applyFont="1" applyBorder="1" applyAlignment="1" applyProtection="1">
      <alignment horizontal="left" vertical="top" wrapText="1"/>
      <protection locked="0"/>
    </xf>
    <xf numFmtId="0" fontId="27" fillId="0" borderId="15" xfId="1" applyFont="1" applyBorder="1" applyAlignment="1" applyProtection="1">
      <alignment horizontal="left" vertical="top" wrapText="1"/>
      <protection locked="0"/>
    </xf>
    <xf numFmtId="0" fontId="27" fillId="0" borderId="13" xfId="1" applyFont="1" applyBorder="1" applyAlignment="1" applyProtection="1">
      <alignment horizontal="left" vertical="top" wrapText="1"/>
      <protection locked="0"/>
    </xf>
    <xf numFmtId="0" fontId="27" fillId="0" borderId="14" xfId="1" applyFont="1" applyBorder="1" applyAlignment="1" applyProtection="1">
      <alignment horizontal="left" vertical="top" wrapText="1"/>
      <protection locked="0"/>
    </xf>
    <xf numFmtId="0" fontId="27" fillId="0" borderId="23" xfId="1" applyFont="1" applyBorder="1" applyAlignment="1" applyProtection="1">
      <alignment horizontal="left" vertical="top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472109</xdr:colOff>
      <xdr:row>890</xdr:row>
      <xdr:rowOff>182217</xdr:rowOff>
    </xdr:from>
    <xdr:to>
      <xdr:col>6</xdr:col>
      <xdr:colOff>137164</xdr:colOff>
      <xdr:row>905</xdr:row>
      <xdr:rowOff>80478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4109" y="112477826"/>
          <a:ext cx="381464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475623</xdr:colOff>
      <xdr:row>906</xdr:row>
      <xdr:rowOff>193470</xdr:rowOff>
    </xdr:from>
    <xdr:to>
      <xdr:col>6</xdr:col>
      <xdr:colOff>137164</xdr:colOff>
      <xdr:row>921</xdr:row>
      <xdr:rowOff>91731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7623" y="115669600"/>
          <a:ext cx="381112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389283</xdr:colOff>
      <xdr:row>912</xdr:row>
      <xdr:rowOff>33130</xdr:rowOff>
    </xdr:from>
    <xdr:to>
      <xdr:col>3</xdr:col>
      <xdr:colOff>919370</xdr:colOff>
      <xdr:row>917</xdr:row>
      <xdr:rowOff>16564</xdr:rowOff>
    </xdr:to>
    <xdr:sp macro="" textlink="">
      <xdr:nvSpPr>
        <xdr:cNvPr id="4" name="L-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flipH="1">
          <a:off x="2799522" y="116701956"/>
          <a:ext cx="530087" cy="977347"/>
        </a:xfrm>
        <a:prstGeom prst="corner">
          <a:avLst>
            <a:gd name="adj1" fmla="val 44286"/>
            <a:gd name="adj2" fmla="val 60981"/>
          </a:avLst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298178</xdr:colOff>
      <xdr:row>858</xdr:row>
      <xdr:rowOff>16566</xdr:rowOff>
    </xdr:from>
    <xdr:to>
      <xdr:col>3</xdr:col>
      <xdr:colOff>864683</xdr:colOff>
      <xdr:row>876</xdr:row>
      <xdr:rowOff>38479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178" y="104402283"/>
          <a:ext cx="2976744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207064</xdr:colOff>
      <xdr:row>858</xdr:row>
      <xdr:rowOff>16566</xdr:rowOff>
    </xdr:from>
    <xdr:to>
      <xdr:col>7</xdr:col>
      <xdr:colOff>81169</xdr:colOff>
      <xdr:row>876</xdr:row>
      <xdr:rowOff>38479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>
          <a:off x="3557623" y="117902448"/>
          <a:ext cx="2227340" cy="3652619"/>
          <a:chOff x="2147888" y="2290762"/>
          <a:chExt cx="2209800" cy="4581525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147888" y="2290762"/>
            <a:ext cx="2209800" cy="4581525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15" name="L-Shape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/>
        </xdr:nvSpPr>
        <xdr:spPr>
          <a:xfrm rot="208286">
            <a:off x="2524912" y="5212494"/>
            <a:ext cx="1361620" cy="876609"/>
          </a:xfrm>
          <a:prstGeom prst="corner">
            <a:avLst>
              <a:gd name="adj1" fmla="val 52935"/>
              <a:gd name="adj2" fmla="val 57650"/>
            </a:avLst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>
              <a:solidFill>
                <a:srgbClr val="FF0000"/>
              </a:solidFill>
            </a:endParaRP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/>
        </xdr:nvSpPr>
        <xdr:spPr>
          <a:xfrm>
            <a:off x="3108960" y="2705100"/>
            <a:ext cx="678180" cy="2758440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7" name="TextBox 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 txBox="1"/>
        </xdr:nvSpPr>
        <xdr:spPr>
          <a:xfrm>
            <a:off x="2867164" y="5339369"/>
            <a:ext cx="1227138" cy="3964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Building No.1</a:t>
            </a:r>
          </a:p>
        </xdr:txBody>
      </xdr:sp>
      <xdr:sp macro="" textlink="">
        <xdr:nvSpPr>
          <xdr:cNvPr id="18" name="TextBox 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 txBox="1"/>
        </xdr:nvSpPr>
        <xdr:spPr>
          <a:xfrm rot="5400000">
            <a:off x="3112231" y="3833282"/>
            <a:ext cx="1599824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Building No.2</a:t>
            </a:r>
            <a:endParaRPr lang="en-IN" sz="1400" b="1"/>
          </a:p>
        </xdr:txBody>
      </xdr:sp>
    </xdr:grpSp>
    <xdr:clientData/>
  </xdr:twoCellAnchor>
  <xdr:twoCellAnchor>
    <xdr:from>
      <xdr:col>8</xdr:col>
      <xdr:colOff>621195</xdr:colOff>
      <xdr:row>804</xdr:row>
      <xdr:rowOff>66261</xdr:rowOff>
    </xdr:from>
    <xdr:to>
      <xdr:col>10</xdr:col>
      <xdr:colOff>256761</xdr:colOff>
      <xdr:row>807</xdr:row>
      <xdr:rowOff>8282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6957391" y="94396891"/>
          <a:ext cx="1557131" cy="5300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Bldg</a:t>
          </a:r>
          <a:r>
            <a:rPr lang="en-IN" sz="1100" b="1" baseline="0">
              <a:solidFill>
                <a:srgbClr val="C00000"/>
              </a:solidFill>
            </a:rPr>
            <a:t> No. 1</a:t>
          </a:r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151218</xdr:colOff>
      <xdr:row>815</xdr:row>
      <xdr:rowOff>77266</xdr:rowOff>
    </xdr:from>
    <xdr:to>
      <xdr:col>13</xdr:col>
      <xdr:colOff>14555</xdr:colOff>
      <xdr:row>818</xdr:row>
      <xdr:rowOff>355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9785075" y="99354980"/>
          <a:ext cx="1686694" cy="5354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Bldg</a:t>
          </a:r>
          <a:r>
            <a:rPr lang="en-IN" sz="1800" b="1" baseline="0">
              <a:solidFill>
                <a:srgbClr val="C00000"/>
              </a:solidFill>
            </a:rPr>
            <a:t> No. 1</a:t>
          </a:r>
          <a:endParaRPr lang="en-IN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656693</xdr:colOff>
      <xdr:row>806</xdr:row>
      <xdr:rowOff>36680</xdr:rowOff>
    </xdr:from>
    <xdr:to>
      <xdr:col>13</xdr:col>
      <xdr:colOff>537187</xdr:colOff>
      <xdr:row>807</xdr:row>
      <xdr:rowOff>149677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10290550" y="97491037"/>
          <a:ext cx="1703851" cy="30349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Bldg</a:t>
          </a:r>
          <a:r>
            <a:rPr lang="en-IN" sz="1100" b="1" baseline="0">
              <a:solidFill>
                <a:srgbClr val="C00000"/>
              </a:solidFill>
            </a:rPr>
            <a:t> No. 2(B &amp; C Wing)</a:t>
          </a:r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757622</xdr:colOff>
      <xdr:row>811</xdr:row>
      <xdr:rowOff>53600</xdr:rowOff>
    </xdr:from>
    <xdr:to>
      <xdr:col>13</xdr:col>
      <xdr:colOff>370942</xdr:colOff>
      <xdr:row>812</xdr:row>
      <xdr:rowOff>152991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10391479" y="98514886"/>
          <a:ext cx="1436677" cy="303498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C00000"/>
              </a:solidFill>
            </a:rPr>
            <a:t>Bldg</a:t>
          </a:r>
          <a:r>
            <a:rPr lang="en-IN" sz="1100" b="1" baseline="0">
              <a:solidFill>
                <a:srgbClr val="C00000"/>
              </a:solidFill>
            </a:rPr>
            <a:t> No. 2(A Wing)</a:t>
          </a:r>
          <a:endParaRPr lang="en-IN" sz="1100" b="1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10</xdr:col>
      <xdr:colOff>269527</xdr:colOff>
      <xdr:row>808</xdr:row>
      <xdr:rowOff>0</xdr:rowOff>
    </xdr:from>
    <xdr:to>
      <xdr:col>12</xdr:col>
      <xdr:colOff>57494</xdr:colOff>
      <xdr:row>809</xdr:row>
      <xdr:rowOff>94623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43627" y="96081850"/>
          <a:ext cx="1483417" cy="29147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818</xdr:row>
      <xdr:rowOff>82006</xdr:rowOff>
    </xdr:from>
    <xdr:to>
      <xdr:col>9</xdr:col>
      <xdr:colOff>32549</xdr:colOff>
      <xdr:row>819</xdr:row>
      <xdr:rowOff>170279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4800" y="98132356"/>
          <a:ext cx="1251749" cy="285123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158750</xdr:colOff>
      <xdr:row>13</xdr:row>
      <xdr:rowOff>317500</xdr:rowOff>
    </xdr:from>
    <xdr:to>
      <xdr:col>15</xdr:col>
      <xdr:colOff>536400</xdr:colOff>
      <xdr:row>17</xdr:row>
      <xdr:rowOff>115242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2693" t="60836" r="35327" b="27598"/>
        <a:stretch/>
      </xdr:blipFill>
      <xdr:spPr>
        <a:xfrm>
          <a:off x="6953250" y="3314700"/>
          <a:ext cx="6480000" cy="1004242"/>
        </a:xfrm>
        <a:prstGeom prst="rect">
          <a:avLst/>
        </a:prstGeom>
      </xdr:spPr>
    </xdr:pic>
    <xdr:clientData/>
  </xdr:twoCellAnchor>
  <xdr:twoCellAnchor>
    <xdr:from>
      <xdr:col>8</xdr:col>
      <xdr:colOff>844550</xdr:colOff>
      <xdr:row>804</xdr:row>
      <xdr:rowOff>130175</xdr:rowOff>
    </xdr:from>
    <xdr:to>
      <xdr:col>16</xdr:col>
      <xdr:colOff>86290</xdr:colOff>
      <xdr:row>841</xdr:row>
      <xdr:rowOff>43275</xdr:rowOff>
    </xdr:to>
    <xdr:grpSp>
      <xdr:nvGrpSpPr>
        <xdr:cNvPr id="6" name="Group 5"/>
        <xdr:cNvGrpSpPr/>
      </xdr:nvGrpSpPr>
      <xdr:grpSpPr>
        <a:xfrm>
          <a:off x="7332756" y="108950499"/>
          <a:ext cx="5875622" cy="7365011"/>
          <a:chOff x="292100" y="107886500"/>
          <a:chExt cx="5852090" cy="7304500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xmlns="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66115" y="107886500"/>
            <a:ext cx="3678075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107886500"/>
            <a:ext cx="2083800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xmlns="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2886228" y="113536837"/>
            <a:ext cx="1234050" cy="2074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xmlns="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8490" y="110921725"/>
            <a:ext cx="2083800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xmlns="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4000" y="110921725"/>
            <a:ext cx="2033000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xmlns="" id="{00000000-0008-0000-0000-00003D000000}"/>
              </a:ext>
            </a:extLst>
          </xdr:cNvPr>
          <xdr:cNvSpPr txBox="1"/>
        </xdr:nvSpPr>
        <xdr:spPr>
          <a:xfrm>
            <a:off x="400050" y="108073825"/>
            <a:ext cx="1626906" cy="312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Building 1 (A</a:t>
            </a:r>
            <a:r>
              <a:rPr lang="en-IN" sz="1400" b="1" baseline="0">
                <a:solidFill>
                  <a:srgbClr val="FF0000"/>
                </a:solidFill>
              </a:rPr>
              <a:t> &amp; B</a:t>
            </a:r>
            <a:r>
              <a:rPr lang="en-IN" sz="1400" b="1">
                <a:solidFill>
                  <a:srgbClr val="FF0000"/>
                </a:solidFill>
              </a:rPr>
              <a:t>)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xmlns="" id="{00000000-0008-0000-0000-00003E000000}"/>
              </a:ext>
            </a:extLst>
          </xdr:cNvPr>
          <xdr:cNvSpPr txBox="1"/>
        </xdr:nvSpPr>
        <xdr:spPr>
          <a:xfrm>
            <a:off x="2618515" y="109032675"/>
            <a:ext cx="1159735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Building 2(A</a:t>
            </a:r>
            <a:r>
              <a:rPr lang="en-IN" sz="1400" b="1" baseline="0">
                <a:solidFill>
                  <a:srgbClr val="FF0000"/>
                </a:solidFill>
              </a:rPr>
              <a:t>)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xmlns="" id="{00000000-0008-0000-0000-00003F000000}"/>
              </a:ext>
            </a:extLst>
          </xdr:cNvPr>
          <xdr:cNvSpPr txBox="1"/>
        </xdr:nvSpPr>
        <xdr:spPr>
          <a:xfrm>
            <a:off x="3536090" y="108362750"/>
            <a:ext cx="1169260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Building 2 (B</a:t>
            </a:r>
            <a:r>
              <a:rPr lang="en-IN" sz="1400" b="1" baseline="0">
                <a:solidFill>
                  <a:srgbClr val="FF0000"/>
                </a:solidFill>
              </a:rPr>
              <a:t>)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xmlns="" id="{00000000-0008-0000-0000-000040000000}"/>
              </a:ext>
            </a:extLst>
          </xdr:cNvPr>
          <xdr:cNvSpPr txBox="1"/>
        </xdr:nvSpPr>
        <xdr:spPr>
          <a:xfrm>
            <a:off x="4914040" y="108121450"/>
            <a:ext cx="1169260" cy="349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Building 2 (C</a:t>
            </a:r>
            <a:r>
              <a:rPr lang="en-IN" sz="1400" b="1" baseline="0">
                <a:solidFill>
                  <a:srgbClr val="FF0000"/>
                </a:solidFill>
              </a:rPr>
              <a:t>)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5</xdr:col>
      <xdr:colOff>180975</xdr:colOff>
      <xdr:row>832</xdr:row>
      <xdr:rowOff>66674</xdr:rowOff>
    </xdr:from>
    <xdr:to>
      <xdr:col>7</xdr:col>
      <xdr:colOff>438634</xdr:colOff>
      <xdr:row>853</xdr:row>
      <xdr:rowOff>95249</xdr:rowOff>
    </xdr:to>
    <xdr:pic>
      <xdr:nvPicPr>
        <xdr:cNvPr id="46" name="Picture 45" descr="https://vsjcllp.vsjadon.com/upload/insp-250018-1525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4825" y="113366549"/>
          <a:ext cx="1819759" cy="24288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832</xdr:row>
      <xdr:rowOff>66674</xdr:rowOff>
    </xdr:from>
    <xdr:to>
      <xdr:col>2</xdr:col>
      <xdr:colOff>743434</xdr:colOff>
      <xdr:row>853</xdr:row>
      <xdr:rowOff>95249</xdr:rowOff>
    </xdr:to>
    <xdr:pic>
      <xdr:nvPicPr>
        <xdr:cNvPr id="47" name="Picture 46" descr="https://vsjcllp.vsjadon.com/upload/insp-250018-849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113366549"/>
          <a:ext cx="1819759" cy="24288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804</xdr:row>
      <xdr:rowOff>63814</xdr:rowOff>
    </xdr:from>
    <xdr:to>
      <xdr:col>2</xdr:col>
      <xdr:colOff>590551</xdr:colOff>
      <xdr:row>818</xdr:row>
      <xdr:rowOff>19050</xdr:rowOff>
    </xdr:to>
    <xdr:pic>
      <xdr:nvPicPr>
        <xdr:cNvPr id="52" name="Picture 51" descr="https://vsjcllp.vsjadon.com/upload/insp-250018-851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107772514"/>
          <a:ext cx="2057400" cy="27460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818</xdr:row>
      <xdr:rowOff>95249</xdr:rowOff>
    </xdr:from>
    <xdr:to>
      <xdr:col>2</xdr:col>
      <xdr:colOff>643228</xdr:colOff>
      <xdr:row>831</xdr:row>
      <xdr:rowOff>171449</xdr:rowOff>
    </xdr:to>
    <xdr:pic>
      <xdr:nvPicPr>
        <xdr:cNvPr id="53" name="Picture 52" descr="https://vsjcllp.vsjadon.com/upload/insp-250018-871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110594774"/>
          <a:ext cx="2005303" cy="26765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818</xdr:row>
      <xdr:rowOff>95249</xdr:rowOff>
    </xdr:from>
    <xdr:to>
      <xdr:col>5</xdr:col>
      <xdr:colOff>157453</xdr:colOff>
      <xdr:row>831</xdr:row>
      <xdr:rowOff>171449</xdr:rowOff>
    </xdr:to>
    <xdr:pic>
      <xdr:nvPicPr>
        <xdr:cNvPr id="54" name="Picture 53" descr="https://vsjcllp.vsjadon.com/upload/insp-250018-877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0" y="110594774"/>
          <a:ext cx="2005303" cy="26765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228601</xdr:colOff>
      <xdr:row>804</xdr:row>
      <xdr:rowOff>54289</xdr:rowOff>
    </xdr:from>
    <xdr:to>
      <xdr:col>7</xdr:col>
      <xdr:colOff>723901</xdr:colOff>
      <xdr:row>818</xdr:row>
      <xdr:rowOff>9525</xdr:rowOff>
    </xdr:to>
    <xdr:pic>
      <xdr:nvPicPr>
        <xdr:cNvPr id="55" name="Picture 54" descr="https://vsjcllp.vsjadon.com/upload/insp-250018-880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2451" y="107762989"/>
          <a:ext cx="2057400" cy="27460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818</xdr:row>
      <xdr:rowOff>95249</xdr:rowOff>
    </xdr:from>
    <xdr:to>
      <xdr:col>7</xdr:col>
      <xdr:colOff>690853</xdr:colOff>
      <xdr:row>831</xdr:row>
      <xdr:rowOff>171449</xdr:rowOff>
    </xdr:to>
    <xdr:pic>
      <xdr:nvPicPr>
        <xdr:cNvPr id="56" name="Picture 55" descr="https://vsjcllp.vsjadon.com/upload/insp-250018-925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110594774"/>
          <a:ext cx="2005303" cy="26765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832</xdr:row>
      <xdr:rowOff>66674</xdr:rowOff>
    </xdr:from>
    <xdr:to>
      <xdr:col>5</xdr:col>
      <xdr:colOff>86209</xdr:colOff>
      <xdr:row>853</xdr:row>
      <xdr:rowOff>95249</xdr:rowOff>
    </xdr:to>
    <xdr:pic>
      <xdr:nvPicPr>
        <xdr:cNvPr id="65" name="Picture 64" descr="https://vsjcllp.vsjadon.com/upload/insp-250018-1512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13366549"/>
          <a:ext cx="1819759" cy="24288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666751</xdr:colOff>
      <xdr:row>804</xdr:row>
      <xdr:rowOff>54289</xdr:rowOff>
    </xdr:from>
    <xdr:to>
      <xdr:col>5</xdr:col>
      <xdr:colOff>152401</xdr:colOff>
      <xdr:row>818</xdr:row>
      <xdr:rowOff>9525</xdr:rowOff>
    </xdr:to>
    <xdr:pic>
      <xdr:nvPicPr>
        <xdr:cNvPr id="66" name="Picture 65" descr="https://vsjcllp.vsjadon.com/upload/insp-250018-1022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1" y="107762989"/>
          <a:ext cx="2057400" cy="274606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804</xdr:row>
      <xdr:rowOff>63814</xdr:rowOff>
    </xdr:from>
    <xdr:to>
      <xdr:col>2</xdr:col>
      <xdr:colOff>160057</xdr:colOff>
      <xdr:row>805</xdr:row>
      <xdr:rowOff>176421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95251" y="107772514"/>
          <a:ext cx="1626906" cy="312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Building 1 (A</a:t>
          </a:r>
          <a:r>
            <a:rPr lang="en-IN" sz="1400" b="1" baseline="0">
              <a:solidFill>
                <a:srgbClr val="FF0000"/>
              </a:solidFill>
            </a:rPr>
            <a:t> &amp; B</a:t>
          </a:r>
          <a:r>
            <a:rPr lang="en-IN" sz="1400" b="1">
              <a:solidFill>
                <a:srgbClr val="FF0000"/>
              </a:solidFill>
            </a:rPr>
            <a:t>)</a:t>
          </a:r>
        </a:p>
      </xdr:txBody>
    </xdr:sp>
    <xdr:clientData/>
  </xdr:twoCellAnchor>
  <xdr:twoCellAnchor>
    <xdr:from>
      <xdr:col>5</xdr:col>
      <xdr:colOff>228601</xdr:colOff>
      <xdr:row>804</xdr:row>
      <xdr:rowOff>54289</xdr:rowOff>
    </xdr:from>
    <xdr:to>
      <xdr:col>6</xdr:col>
      <xdr:colOff>607286</xdr:colOff>
      <xdr:row>806</xdr:row>
      <xdr:rowOff>9839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4362451" y="107762989"/>
          <a:ext cx="1159735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Building 2(A</a:t>
          </a:r>
          <a:r>
            <a:rPr lang="en-IN" sz="1400" b="1" baseline="0">
              <a:solidFill>
                <a:srgbClr val="FF0000"/>
              </a:solidFill>
            </a:rPr>
            <a:t>)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57150</xdr:colOff>
      <xdr:row>820</xdr:row>
      <xdr:rowOff>104774</xdr:rowOff>
    </xdr:from>
    <xdr:to>
      <xdr:col>4</xdr:col>
      <xdr:colOff>273910</xdr:colOff>
      <xdr:row>822</xdr:row>
      <xdr:rowOff>60324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2466975" y="111213899"/>
          <a:ext cx="1159735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</a:rPr>
            <a:t>Bldg 2(C</a:t>
          </a:r>
          <a:r>
            <a:rPr lang="en-IN" sz="1200" b="1" baseline="0">
              <a:solidFill>
                <a:srgbClr val="FF0000"/>
              </a:solidFill>
            </a:rPr>
            <a:t>)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795870</xdr:colOff>
      <xdr:row>36</xdr:row>
      <xdr:rowOff>31498</xdr:rowOff>
    </xdr:from>
    <xdr:to>
      <xdr:col>16</xdr:col>
      <xdr:colOff>560547</xdr:colOff>
      <xdr:row>56</xdr:row>
      <xdr:rowOff>77240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135" y="6900704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31498</xdr:rowOff>
    </xdr:from>
    <xdr:to>
      <xdr:col>6</xdr:col>
      <xdr:colOff>459441</xdr:colOff>
      <xdr:row>56</xdr:row>
      <xdr:rowOff>77240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6900704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795870</xdr:colOff>
      <xdr:row>14</xdr:row>
      <xdr:rowOff>0</xdr:rowOff>
    </xdr:from>
    <xdr:to>
      <xdr:col>16</xdr:col>
      <xdr:colOff>560547</xdr:colOff>
      <xdr:row>34</xdr:row>
      <xdr:rowOff>45742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135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NNFJSqmFV6AeeEt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888"/>
  <sheetViews>
    <sheetView tabSelected="1" view="pageBreakPreview" topLeftCell="A37" zoomScale="85" zoomScaleNormal="100" zoomScaleSheetLayoutView="85" zoomScalePageLayoutView="70" workbookViewId="0">
      <selection activeCell="L50" sqref="L50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8" width="11.71093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3.7109375" style="21" bestFit="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62" t="s">
        <v>245</v>
      </c>
      <c r="B1" s="162"/>
      <c r="C1" s="162"/>
      <c r="D1" s="162"/>
      <c r="E1" s="162"/>
      <c r="F1" s="162"/>
      <c r="G1" s="162"/>
      <c r="H1" s="162"/>
    </row>
    <row r="2" spans="1:8" ht="16.5" customHeight="1" x14ac:dyDescent="0.25">
      <c r="A2" s="149" t="s">
        <v>0</v>
      </c>
      <c r="B2" s="149"/>
      <c r="C2" s="149"/>
      <c r="D2" s="149"/>
      <c r="E2" s="149"/>
      <c r="F2" s="149"/>
      <c r="G2" s="149"/>
      <c r="H2" s="149"/>
    </row>
    <row r="3" spans="1:8" x14ac:dyDescent="0.25">
      <c r="A3" s="106" t="s">
        <v>1</v>
      </c>
      <c r="B3" s="106"/>
      <c r="C3" s="106"/>
      <c r="D3" s="106"/>
      <c r="E3" s="106" t="str">
        <f ca="1">TEXT(TODAY(),"DD/MM/YYYY")</f>
        <v>06/10/2025</v>
      </c>
      <c r="F3" s="106"/>
      <c r="G3" s="106"/>
      <c r="H3" s="106"/>
    </row>
    <row r="4" spans="1:8" ht="15" customHeight="1" x14ac:dyDescent="0.25">
      <c r="A4" s="106" t="s">
        <v>2</v>
      </c>
      <c r="B4" s="106"/>
      <c r="C4" s="106"/>
      <c r="D4" s="106"/>
      <c r="E4" s="106" t="s">
        <v>169</v>
      </c>
      <c r="F4" s="106"/>
      <c r="G4" s="106"/>
      <c r="H4" s="106"/>
    </row>
    <row r="5" spans="1:8" x14ac:dyDescent="0.25">
      <c r="A5" s="106" t="s">
        <v>3</v>
      </c>
      <c r="B5" s="106"/>
      <c r="C5" s="106"/>
      <c r="D5" s="106"/>
      <c r="E5" s="165">
        <v>45934</v>
      </c>
      <c r="F5" s="106"/>
      <c r="G5" s="106"/>
      <c r="H5" s="106"/>
    </row>
    <row r="6" spans="1:8" ht="16.5" customHeight="1" x14ac:dyDescent="0.25">
      <c r="A6" s="106" t="s">
        <v>4</v>
      </c>
      <c r="B6" s="106"/>
      <c r="C6" s="106"/>
      <c r="D6" s="106"/>
      <c r="E6" s="106" t="s">
        <v>171</v>
      </c>
      <c r="F6" s="106"/>
      <c r="G6" s="106"/>
      <c r="H6" s="106"/>
    </row>
    <row r="7" spans="1:8" ht="15" customHeight="1" x14ac:dyDescent="0.25">
      <c r="A7" s="106" t="s">
        <v>5</v>
      </c>
      <c r="B7" s="106"/>
      <c r="C7" s="106"/>
      <c r="D7" s="106"/>
      <c r="E7" s="106" t="str">
        <f>E6</f>
        <v>R R Builders</v>
      </c>
      <c r="F7" s="106"/>
      <c r="G7" s="106"/>
      <c r="H7" s="106"/>
    </row>
    <row r="8" spans="1:8" x14ac:dyDescent="0.25">
      <c r="A8" s="106" t="s">
        <v>6</v>
      </c>
      <c r="B8" s="106"/>
      <c r="C8" s="106"/>
      <c r="D8" s="106"/>
      <c r="E8" s="80" t="s">
        <v>170</v>
      </c>
      <c r="F8" s="80"/>
      <c r="G8" s="80"/>
      <c r="H8" s="80"/>
    </row>
    <row r="9" spans="1:8" x14ac:dyDescent="0.25">
      <c r="A9" s="106" t="s">
        <v>166</v>
      </c>
      <c r="B9" s="106"/>
      <c r="C9" s="106"/>
      <c r="D9" s="106"/>
      <c r="E9" s="106" t="s">
        <v>250</v>
      </c>
      <c r="F9" s="106"/>
      <c r="G9" s="106"/>
      <c r="H9" s="106"/>
    </row>
    <row r="10" spans="1:8" hidden="1" x14ac:dyDescent="0.25">
      <c r="A10" s="106" t="s">
        <v>167</v>
      </c>
      <c r="B10" s="106"/>
      <c r="C10" s="106"/>
      <c r="D10" s="106"/>
      <c r="E10" s="107" t="s">
        <v>251</v>
      </c>
      <c r="F10" s="106"/>
      <c r="G10" s="106"/>
      <c r="H10" s="106"/>
    </row>
    <row r="11" spans="1:8" ht="33.75" customHeight="1" x14ac:dyDescent="0.25">
      <c r="A11" s="106" t="s">
        <v>7</v>
      </c>
      <c r="B11" s="106"/>
      <c r="C11" s="106"/>
      <c r="D11" s="106"/>
      <c r="E11" s="163" t="s">
        <v>299</v>
      </c>
      <c r="F11" s="164"/>
      <c r="G11" s="164"/>
      <c r="H11" s="164"/>
    </row>
    <row r="12" spans="1:8" x14ac:dyDescent="0.25">
      <c r="A12" s="108" t="s">
        <v>8</v>
      </c>
      <c r="B12" s="108"/>
      <c r="C12" s="108"/>
      <c r="D12" s="108"/>
      <c r="E12" s="107" t="s">
        <v>221</v>
      </c>
      <c r="F12" s="107"/>
      <c r="G12" s="107"/>
      <c r="H12" s="107"/>
    </row>
    <row r="13" spans="1:8" x14ac:dyDescent="0.25">
      <c r="A13" s="108" t="s">
        <v>9</v>
      </c>
      <c r="B13" s="108"/>
      <c r="C13" s="108"/>
      <c r="D13" s="108"/>
      <c r="E13" s="107" t="s">
        <v>172</v>
      </c>
      <c r="F13" s="106"/>
      <c r="G13" s="106"/>
      <c r="H13" s="106"/>
    </row>
    <row r="14" spans="1:8" ht="48.75" customHeight="1" x14ac:dyDescent="0.25">
      <c r="A14" s="109" t="s">
        <v>10</v>
      </c>
      <c r="B14" s="109"/>
      <c r="C14" s="10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Ruparel Vivanza, CTS  No.1D/716, near Kohinoor Nhada Society 4C, Harish Arjun Palay Marg, Dhaku Prabhuchi Wadi, Mazgaon, Chinchpokli East, Ward E, Mumbai - 400027.</v>
      </c>
      <c r="D14" s="109"/>
      <c r="E14" s="109"/>
      <c r="F14" s="109"/>
      <c r="G14" s="109"/>
      <c r="H14" s="109"/>
    </row>
    <row r="15" spans="1:8" x14ac:dyDescent="0.25">
      <c r="A15" s="107" t="s">
        <v>174</v>
      </c>
      <c r="B15" s="107"/>
      <c r="C15" s="107" t="s">
        <v>173</v>
      </c>
      <c r="D15" s="107"/>
      <c r="E15" s="107"/>
      <c r="F15" s="107"/>
      <c r="G15" s="107"/>
      <c r="H15" s="107"/>
    </row>
    <row r="16" spans="1:8" ht="15.75" customHeight="1" x14ac:dyDescent="0.25">
      <c r="A16" s="107" t="s">
        <v>165</v>
      </c>
      <c r="B16" s="107"/>
      <c r="C16" s="107" t="s">
        <v>224</v>
      </c>
      <c r="D16" s="107"/>
      <c r="E16" s="107"/>
      <c r="F16" s="107"/>
      <c r="G16" s="107"/>
      <c r="H16" s="107"/>
    </row>
    <row r="17" spans="1:8" ht="15.75" customHeight="1" x14ac:dyDescent="0.25">
      <c r="A17" s="109" t="s">
        <v>11</v>
      </c>
      <c r="B17" s="109"/>
      <c r="C17" s="106" t="s">
        <v>223</v>
      </c>
      <c r="D17" s="106"/>
      <c r="E17" s="109" t="s">
        <v>73</v>
      </c>
      <c r="F17" s="109"/>
      <c r="G17" s="107" t="s">
        <v>178</v>
      </c>
      <c r="H17" s="107"/>
    </row>
    <row r="18" spans="1:8" x14ac:dyDescent="0.25">
      <c r="A18" s="108" t="s">
        <v>13</v>
      </c>
      <c r="B18" s="108"/>
      <c r="C18" s="107" t="s">
        <v>238</v>
      </c>
      <c r="D18" s="107"/>
      <c r="E18" s="109" t="s">
        <v>12</v>
      </c>
      <c r="F18" s="109"/>
      <c r="G18" s="166" t="s">
        <v>186</v>
      </c>
      <c r="H18" s="166"/>
    </row>
    <row r="19" spans="1:8" x14ac:dyDescent="0.25">
      <c r="A19" s="108" t="s">
        <v>74</v>
      </c>
      <c r="B19" s="108"/>
      <c r="C19" s="107" t="s">
        <v>175</v>
      </c>
      <c r="D19" s="107"/>
      <c r="E19" s="109" t="s">
        <v>14</v>
      </c>
      <c r="F19" s="109"/>
      <c r="G19" s="107">
        <v>400027</v>
      </c>
      <c r="H19" s="107"/>
    </row>
    <row r="20" spans="1:8" ht="48.75" customHeight="1" x14ac:dyDescent="0.25">
      <c r="A20" s="108" t="s">
        <v>123</v>
      </c>
      <c r="B20" s="108"/>
      <c r="C20" s="107" t="s">
        <v>237</v>
      </c>
      <c r="D20" s="107"/>
      <c r="E20" s="109" t="s">
        <v>15</v>
      </c>
      <c r="F20" s="109"/>
      <c r="G20" s="107" t="s">
        <v>225</v>
      </c>
      <c r="H20" s="107"/>
    </row>
    <row r="21" spans="1:8" ht="15" customHeight="1" x14ac:dyDescent="0.25">
      <c r="A21" s="109" t="s">
        <v>76</v>
      </c>
      <c r="B21" s="109"/>
      <c r="C21" s="109"/>
      <c r="D21" s="109"/>
      <c r="E21" s="106" t="s">
        <v>16</v>
      </c>
      <c r="F21" s="106"/>
      <c r="G21" s="106"/>
      <c r="H21" s="106"/>
    </row>
    <row r="22" spans="1:8" ht="18.75" customHeight="1" x14ac:dyDescent="0.25">
      <c r="A22" s="109"/>
      <c r="B22" s="109"/>
      <c r="C22" s="109"/>
      <c r="D22" s="109"/>
      <c r="E22" s="106"/>
      <c r="F22" s="106"/>
      <c r="G22" s="106"/>
      <c r="H22" s="106"/>
    </row>
    <row r="23" spans="1:8" ht="15" customHeight="1" x14ac:dyDescent="0.25">
      <c r="A23" s="109" t="s">
        <v>17</v>
      </c>
      <c r="B23" s="109"/>
      <c r="C23" s="109"/>
      <c r="D23" s="109"/>
      <c r="E23" s="107" t="s">
        <v>18</v>
      </c>
      <c r="F23" s="107"/>
      <c r="G23" s="107"/>
      <c r="H23" s="107"/>
    </row>
    <row r="24" spans="1:8" ht="15" customHeight="1" x14ac:dyDescent="0.25">
      <c r="A24" s="108" t="s">
        <v>19</v>
      </c>
      <c r="B24" s="108"/>
      <c r="C24" s="108"/>
      <c r="D24" s="108"/>
      <c r="E24" s="107" t="str">
        <f>IF(AND(G18="Mumbai"),"Upper Class","Middle Class")</f>
        <v>Upper Class</v>
      </c>
      <c r="F24" s="107"/>
      <c r="G24" s="107"/>
      <c r="H24" s="107"/>
    </row>
    <row r="25" spans="1:8" x14ac:dyDescent="0.25">
      <c r="A25" s="108" t="s">
        <v>20</v>
      </c>
      <c r="B25" s="108"/>
      <c r="C25" s="108"/>
      <c r="D25" s="108"/>
      <c r="E25" s="107" t="s">
        <v>21</v>
      </c>
      <c r="F25" s="107"/>
      <c r="G25" s="107"/>
      <c r="H25" s="107"/>
    </row>
    <row r="26" spans="1:8" ht="15.75" customHeight="1" x14ac:dyDescent="0.25">
      <c r="A26" s="108" t="s">
        <v>22</v>
      </c>
      <c r="B26" s="108"/>
      <c r="C26" s="108"/>
      <c r="D26" s="108"/>
      <c r="E26" s="107" t="str">
        <f>IF(AND(G18="Mumbai"),"Developed","Developing")</f>
        <v>Developed</v>
      </c>
      <c r="F26" s="107"/>
      <c r="G26" s="107"/>
      <c r="H26" s="107"/>
    </row>
    <row r="27" spans="1:8" x14ac:dyDescent="0.25">
      <c r="A27" s="108" t="s">
        <v>23</v>
      </c>
      <c r="B27" s="108"/>
      <c r="C27" s="108"/>
      <c r="D27" s="108"/>
      <c r="E27" s="107" t="s">
        <v>24</v>
      </c>
      <c r="F27" s="107"/>
      <c r="G27" s="107"/>
      <c r="H27" s="107"/>
    </row>
    <row r="28" spans="1:8" ht="15.75" customHeight="1" x14ac:dyDescent="0.25">
      <c r="A28" s="108" t="s">
        <v>81</v>
      </c>
      <c r="B28" s="108"/>
      <c r="C28" s="108"/>
      <c r="D28" s="108"/>
      <c r="E28" s="107" t="s">
        <v>82</v>
      </c>
      <c r="F28" s="107"/>
      <c r="G28" s="107"/>
      <c r="H28" s="107"/>
    </row>
    <row r="29" spans="1:8" ht="15" customHeight="1" x14ac:dyDescent="0.25">
      <c r="A29" s="108" t="s">
        <v>32</v>
      </c>
      <c r="B29" s="108"/>
      <c r="C29" s="108"/>
      <c r="D29" s="108"/>
      <c r="E29" s="10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7"/>
      <c r="G29" s="107"/>
      <c r="H29" s="107"/>
    </row>
    <row r="30" spans="1:8" ht="15.75" customHeight="1" x14ac:dyDescent="0.25">
      <c r="A30" s="108" t="s">
        <v>93</v>
      </c>
      <c r="B30" s="108"/>
      <c r="C30" s="108"/>
      <c r="D30" s="108"/>
      <c r="E30" s="107" t="s">
        <v>33</v>
      </c>
      <c r="F30" s="107"/>
      <c r="G30" s="107"/>
      <c r="H30" s="107"/>
    </row>
    <row r="31" spans="1:8" s="22" customFormat="1" x14ac:dyDescent="0.25">
      <c r="A31" s="170" t="s">
        <v>94</v>
      </c>
      <c r="B31" s="170"/>
      <c r="C31" s="169" t="s">
        <v>260</v>
      </c>
      <c r="D31" s="169"/>
      <c r="E31" s="169"/>
      <c r="F31" s="169" t="s">
        <v>30</v>
      </c>
      <c r="G31" s="169"/>
      <c r="H31" s="169"/>
    </row>
    <row r="32" spans="1:8" s="22" customFormat="1" x14ac:dyDescent="0.25">
      <c r="A32" s="168" t="s">
        <v>25</v>
      </c>
      <c r="B32" s="168" t="s">
        <v>29</v>
      </c>
      <c r="C32" s="168" t="s">
        <v>259</v>
      </c>
      <c r="D32" s="168"/>
      <c r="E32" s="168"/>
      <c r="F32" s="172" t="s">
        <v>231</v>
      </c>
      <c r="G32" s="172"/>
      <c r="H32" s="172"/>
    </row>
    <row r="33" spans="1:8" x14ac:dyDescent="0.25">
      <c r="A33" s="167" t="s">
        <v>26</v>
      </c>
      <c r="B33" s="167" t="s">
        <v>29</v>
      </c>
      <c r="C33" s="168" t="s">
        <v>259</v>
      </c>
      <c r="D33" s="168"/>
      <c r="E33" s="168"/>
      <c r="F33" s="168" t="s">
        <v>226</v>
      </c>
      <c r="G33" s="168"/>
      <c r="H33" s="168"/>
    </row>
    <row r="34" spans="1:8" s="22" customFormat="1" x14ac:dyDescent="0.25">
      <c r="A34" s="167" t="s">
        <v>28</v>
      </c>
      <c r="B34" s="167" t="s">
        <v>29</v>
      </c>
      <c r="C34" s="168" t="s">
        <v>261</v>
      </c>
      <c r="D34" s="168"/>
      <c r="E34" s="168"/>
      <c r="F34" s="168" t="s">
        <v>223</v>
      </c>
      <c r="G34" s="168"/>
      <c r="H34" s="168"/>
    </row>
    <row r="35" spans="1:8" x14ac:dyDescent="0.25">
      <c r="A35" s="167" t="s">
        <v>27</v>
      </c>
      <c r="B35" s="167" t="s">
        <v>29</v>
      </c>
      <c r="C35" s="168" t="s">
        <v>262</v>
      </c>
      <c r="D35" s="168"/>
      <c r="E35" s="168"/>
      <c r="F35" s="168" t="s">
        <v>227</v>
      </c>
      <c r="G35" s="168"/>
      <c r="H35" s="168"/>
    </row>
    <row r="36" spans="1:8" x14ac:dyDescent="0.25">
      <c r="A36" s="108" t="s">
        <v>31</v>
      </c>
      <c r="B36" s="108"/>
      <c r="C36" s="108"/>
      <c r="D36" s="108"/>
      <c r="E36" s="108"/>
      <c r="F36" s="108"/>
      <c r="G36" s="108"/>
      <c r="H36" s="108"/>
    </row>
    <row r="37" spans="1:8" ht="15.75" customHeight="1" x14ac:dyDescent="0.25">
      <c r="A37" s="149" t="s">
        <v>241</v>
      </c>
      <c r="B37" s="149"/>
      <c r="C37" s="105" t="s">
        <v>246</v>
      </c>
      <c r="D37" s="105"/>
      <c r="E37" s="105"/>
      <c r="F37" s="105"/>
      <c r="G37" s="105"/>
      <c r="H37" s="105"/>
    </row>
    <row r="38" spans="1:8" x14ac:dyDescent="0.25">
      <c r="A38" s="149" t="s">
        <v>164</v>
      </c>
      <c r="B38" s="149"/>
      <c r="C38" s="173" t="s">
        <v>222</v>
      </c>
      <c r="D38" s="107"/>
      <c r="E38" s="107"/>
      <c r="F38" s="107"/>
      <c r="G38" s="107"/>
      <c r="H38" s="107"/>
    </row>
    <row r="39" spans="1:8" x14ac:dyDescent="0.25">
      <c r="A39" s="156" t="s">
        <v>34</v>
      </c>
      <c r="B39" s="156"/>
      <c r="C39" s="156"/>
      <c r="D39" s="156"/>
      <c r="E39" s="156"/>
      <c r="F39" s="156"/>
      <c r="G39" s="156"/>
      <c r="H39" s="156"/>
    </row>
    <row r="40" spans="1:8" x14ac:dyDescent="0.25">
      <c r="A40" s="108" t="s">
        <v>35</v>
      </c>
      <c r="B40" s="108"/>
      <c r="C40" s="108"/>
      <c r="D40" s="108"/>
      <c r="E40" s="171">
        <v>8750.76</v>
      </c>
      <c r="F40" s="171"/>
      <c r="G40" s="171"/>
      <c r="H40" s="171"/>
    </row>
    <row r="41" spans="1:8" x14ac:dyDescent="0.25">
      <c r="A41" s="108" t="s">
        <v>36</v>
      </c>
      <c r="B41" s="108"/>
      <c r="C41" s="108"/>
      <c r="D41" s="108"/>
      <c r="E41" s="129">
        <v>3</v>
      </c>
      <c r="F41" s="129"/>
      <c r="G41" s="129"/>
      <c r="H41" s="129"/>
    </row>
    <row r="42" spans="1:8" x14ac:dyDescent="0.25">
      <c r="A42" s="108" t="s">
        <v>37</v>
      </c>
      <c r="B42" s="108"/>
      <c r="C42" s="108"/>
      <c r="D42" s="108"/>
      <c r="E42" s="129">
        <f>E44/E40-E41</f>
        <v>0.87905621911696841</v>
      </c>
      <c r="F42" s="129"/>
      <c r="G42" s="129"/>
      <c r="H42" s="129"/>
    </row>
    <row r="43" spans="1:8" x14ac:dyDescent="0.25">
      <c r="A43" s="108" t="s">
        <v>38</v>
      </c>
      <c r="B43" s="108"/>
      <c r="C43" s="108"/>
      <c r="D43" s="108"/>
      <c r="E43" s="129">
        <f>E41+E42</f>
        <v>3.8790562191169684</v>
      </c>
      <c r="F43" s="129"/>
      <c r="G43" s="129"/>
      <c r="H43" s="129"/>
    </row>
    <row r="44" spans="1:8" x14ac:dyDescent="0.25">
      <c r="A44" s="108" t="s">
        <v>92</v>
      </c>
      <c r="B44" s="108"/>
      <c r="C44" s="108"/>
      <c r="D44" s="108"/>
      <c r="E44" s="116">
        <v>33944.69</v>
      </c>
      <c r="F44" s="116"/>
      <c r="G44" s="116"/>
      <c r="H44" s="116"/>
    </row>
    <row r="45" spans="1:8" x14ac:dyDescent="0.25">
      <c r="A45" s="106" t="s">
        <v>39</v>
      </c>
      <c r="B45" s="106"/>
      <c r="C45" s="106"/>
      <c r="D45" s="106"/>
      <c r="E45" s="106" t="s">
        <v>230</v>
      </c>
      <c r="F45" s="106"/>
      <c r="G45" s="106"/>
      <c r="H45" s="106"/>
    </row>
    <row r="46" spans="1:8" x14ac:dyDescent="0.25">
      <c r="A46" s="156" t="s">
        <v>40</v>
      </c>
      <c r="B46" s="156"/>
      <c r="C46" s="156"/>
      <c r="D46" s="156"/>
      <c r="E46" s="156"/>
      <c r="F46" s="156"/>
      <c r="G46" s="156"/>
      <c r="H46" s="156"/>
    </row>
    <row r="47" spans="1:8" ht="33.75" customHeight="1" x14ac:dyDescent="0.25">
      <c r="A47" s="68" t="s">
        <v>152</v>
      </c>
      <c r="B47" s="70"/>
      <c r="C47" s="187" t="s">
        <v>176</v>
      </c>
      <c r="D47" s="188"/>
      <c r="E47" s="188"/>
      <c r="F47" s="188"/>
      <c r="G47" s="188"/>
      <c r="H47" s="189"/>
    </row>
    <row r="48" spans="1:8" ht="15.75" customHeight="1" x14ac:dyDescent="0.25">
      <c r="A48" s="68" t="s">
        <v>41</v>
      </c>
      <c r="B48" s="70"/>
      <c r="C48" s="68" t="s">
        <v>177</v>
      </c>
      <c r="D48" s="69"/>
      <c r="E48" s="70"/>
      <c r="F48" s="18" t="s">
        <v>42</v>
      </c>
      <c r="G48" s="114">
        <v>45834</v>
      </c>
      <c r="H48" s="70"/>
    </row>
    <row r="49" spans="1:14" x14ac:dyDescent="0.25">
      <c r="A49" s="68" t="s">
        <v>43</v>
      </c>
      <c r="B49" s="70"/>
      <c r="C49" s="68" t="str">
        <f>C48</f>
        <v>EB/6738/E/A</v>
      </c>
      <c r="D49" s="69"/>
      <c r="E49" s="70"/>
      <c r="F49" s="18" t="s">
        <v>42</v>
      </c>
      <c r="G49" s="114">
        <f>G48</f>
        <v>45834</v>
      </c>
      <c r="H49" s="115"/>
    </row>
    <row r="50" spans="1:14" s="23" customFormat="1" ht="52.5" customHeight="1" x14ac:dyDescent="0.25">
      <c r="A50" s="110" t="s">
        <v>156</v>
      </c>
      <c r="B50" s="111"/>
      <c r="C50" s="68" t="s">
        <v>257</v>
      </c>
      <c r="D50" s="69"/>
      <c r="E50" s="70"/>
      <c r="F50" s="18" t="s">
        <v>290</v>
      </c>
      <c r="G50" s="114" t="s">
        <v>291</v>
      </c>
      <c r="H50" s="115"/>
    </row>
    <row r="51" spans="1:14" s="23" customFormat="1" ht="116.25" customHeight="1" x14ac:dyDescent="0.25">
      <c r="A51" s="112"/>
      <c r="B51" s="113"/>
      <c r="C51" s="68" t="s">
        <v>258</v>
      </c>
      <c r="D51" s="69"/>
      <c r="E51" s="69"/>
      <c r="F51" s="69"/>
      <c r="G51" s="69"/>
      <c r="H51" s="70"/>
    </row>
    <row r="52" spans="1:14" x14ac:dyDescent="0.25">
      <c r="A52" s="174" t="s">
        <v>44</v>
      </c>
      <c r="B52" s="175"/>
      <c r="C52" s="174" t="s">
        <v>106</v>
      </c>
      <c r="D52" s="176"/>
      <c r="E52" s="175"/>
      <c r="F52" s="46" t="s">
        <v>42</v>
      </c>
      <c r="G52" s="117" t="s">
        <v>29</v>
      </c>
      <c r="H52" s="118"/>
    </row>
    <row r="53" spans="1:14" x14ac:dyDescent="0.25">
      <c r="A53" s="158" t="s">
        <v>46</v>
      </c>
      <c r="B53" s="158"/>
      <c r="C53" s="158"/>
      <c r="D53" s="158"/>
      <c r="E53" s="158"/>
      <c r="F53" s="158"/>
      <c r="G53" s="158"/>
      <c r="H53" s="158"/>
    </row>
    <row r="54" spans="1:14" x14ac:dyDescent="0.25">
      <c r="A54" s="109" t="s">
        <v>91</v>
      </c>
      <c r="B54" s="109"/>
      <c r="C54" s="109"/>
      <c r="D54" s="108">
        <f>E44</f>
        <v>33944.69</v>
      </c>
      <c r="E54" s="108"/>
      <c r="F54" s="108"/>
      <c r="G54" s="108"/>
      <c r="H54" s="108"/>
    </row>
    <row r="55" spans="1:14" ht="33" customHeight="1" x14ac:dyDescent="0.25">
      <c r="A55" s="107" t="s">
        <v>47</v>
      </c>
      <c r="B55" s="106"/>
      <c r="C55" s="106"/>
      <c r="D55" s="163" t="s">
        <v>297</v>
      </c>
      <c r="E55" s="163"/>
      <c r="F55" s="163"/>
      <c r="G55" s="163"/>
      <c r="H55" s="163"/>
      <c r="I55" s="24"/>
    </row>
    <row r="56" spans="1:14" ht="62.25" customHeight="1" x14ac:dyDescent="0.25">
      <c r="A56" s="107" t="s">
        <v>48</v>
      </c>
      <c r="B56" s="107"/>
      <c r="C56" s="107"/>
      <c r="D56" s="107" t="s">
        <v>292</v>
      </c>
      <c r="E56" s="106"/>
      <c r="F56" s="106"/>
      <c r="G56" s="106"/>
      <c r="H56" s="106"/>
    </row>
    <row r="57" spans="1:14" ht="15.75" customHeight="1" x14ac:dyDescent="0.25">
      <c r="A57" s="107" t="s">
        <v>89</v>
      </c>
      <c r="B57" s="107"/>
      <c r="C57" s="107"/>
      <c r="D57" s="106" t="s">
        <v>293</v>
      </c>
      <c r="E57" s="106"/>
      <c r="F57" s="106"/>
      <c r="G57" s="106"/>
      <c r="H57" s="106"/>
    </row>
    <row r="58" spans="1:14" ht="15.75" customHeight="1" x14ac:dyDescent="0.25">
      <c r="A58" s="107"/>
      <c r="B58" s="107"/>
      <c r="C58" s="107"/>
      <c r="D58" s="106" t="s">
        <v>294</v>
      </c>
      <c r="E58" s="106"/>
      <c r="F58" s="106"/>
      <c r="G58" s="106"/>
      <c r="H58" s="106"/>
    </row>
    <row r="59" spans="1:14" ht="15.75" customHeight="1" x14ac:dyDescent="0.25">
      <c r="A59" s="107"/>
      <c r="B59" s="107"/>
      <c r="C59" s="107"/>
      <c r="D59" s="106" t="s">
        <v>295</v>
      </c>
      <c r="E59" s="106"/>
      <c r="F59" s="106"/>
      <c r="G59" s="106"/>
      <c r="H59" s="106"/>
    </row>
    <row r="60" spans="1:14" ht="15.75" hidden="1" customHeight="1" x14ac:dyDescent="0.25">
      <c r="A60" s="107"/>
      <c r="B60" s="107"/>
      <c r="C60" s="107"/>
      <c r="D60" s="106" t="s">
        <v>228</v>
      </c>
      <c r="E60" s="106"/>
      <c r="F60" s="106"/>
      <c r="G60" s="106"/>
      <c r="H60" s="106"/>
    </row>
    <row r="61" spans="1:14" ht="15.75" customHeight="1" x14ac:dyDescent="0.25">
      <c r="A61" s="108" t="s">
        <v>45</v>
      </c>
      <c r="B61" s="108"/>
      <c r="C61" s="108"/>
      <c r="D61" s="109" t="s">
        <v>229</v>
      </c>
      <c r="E61" s="109"/>
      <c r="F61" s="109"/>
      <c r="G61" s="109"/>
      <c r="H61" s="109"/>
      <c r="J61" s="25"/>
      <c r="K61" s="24"/>
      <c r="N61" s="24"/>
    </row>
    <row r="62" spans="1:14" ht="15.75" customHeight="1" x14ac:dyDescent="0.25">
      <c r="A62" s="108" t="s">
        <v>87</v>
      </c>
      <c r="B62" s="108"/>
      <c r="C62" s="108"/>
      <c r="D62" s="125" t="str">
        <f>(IF(G52="NA","60 Years After Completion",IF(G52&lt;&gt;"NA",""&amp;60-ROUNDDOWN((E3-G52)/360,0)&amp;" Years"," ")))</f>
        <v>60 Years After Completion</v>
      </c>
      <c r="E62" s="125"/>
      <c r="F62" s="125"/>
      <c r="G62" s="125"/>
      <c r="H62" s="125"/>
      <c r="N62" s="24"/>
    </row>
    <row r="63" spans="1:14" ht="15.75" customHeight="1" x14ac:dyDescent="0.25">
      <c r="A63" s="108" t="s">
        <v>88</v>
      </c>
      <c r="B63" s="108"/>
      <c r="C63" s="108"/>
      <c r="D63" s="109" t="s">
        <v>24</v>
      </c>
      <c r="E63" s="109"/>
      <c r="F63" s="109"/>
      <c r="G63" s="109"/>
      <c r="H63" s="109"/>
      <c r="J63" s="26"/>
      <c r="K63" s="26"/>
    </row>
    <row r="64" spans="1:14" x14ac:dyDescent="0.25">
      <c r="A64" s="108" t="s">
        <v>75</v>
      </c>
      <c r="B64" s="108"/>
      <c r="C64" s="108"/>
      <c r="D64" s="107" t="s">
        <v>196</v>
      </c>
      <c r="E64" s="109"/>
      <c r="F64" s="109"/>
      <c r="G64" s="109"/>
      <c r="H64" s="109"/>
    </row>
    <row r="65" spans="1:14" x14ac:dyDescent="0.25">
      <c r="A65" s="109" t="s">
        <v>149</v>
      </c>
      <c r="B65" s="109"/>
      <c r="C65" s="109"/>
      <c r="D65" s="109" t="s">
        <v>29</v>
      </c>
      <c r="E65" s="109"/>
      <c r="F65" s="109"/>
      <c r="G65" s="109"/>
      <c r="H65" s="109"/>
      <c r="I65" s="27"/>
      <c r="J65" s="27"/>
      <c r="K65" s="27"/>
      <c r="L65" s="27"/>
      <c r="M65" s="27"/>
      <c r="N65" s="27"/>
    </row>
    <row r="66" spans="1:14" ht="15.75" customHeight="1" x14ac:dyDescent="0.25">
      <c r="A66" s="108" t="s">
        <v>86</v>
      </c>
      <c r="B66" s="108"/>
      <c r="C66" s="108"/>
      <c r="D66" s="107" t="str">
        <f ca="1">(IF(G72&gt;95%,"Nothing",IF(G72&gt;0%,"Cement, Aggregate, Steel, etc",IF(G72=0%,"Work not yet Started"))))</f>
        <v>Cement, Aggregate, Steel, etc</v>
      </c>
      <c r="E66" s="107"/>
      <c r="F66" s="107"/>
      <c r="G66" s="107"/>
      <c r="H66" s="107"/>
      <c r="J66" s="26"/>
    </row>
    <row r="67" spans="1:14" ht="33.75" customHeight="1" thickBot="1" x14ac:dyDescent="0.3">
      <c r="A67" s="109" t="s">
        <v>119</v>
      </c>
      <c r="B67" s="109"/>
      <c r="C67" s="109"/>
      <c r="D67" s="107" t="str">
        <f ca="1">(IF(D66="Nothing","Yes",IF(D66="Cement, Aggregate, Steel, etc","Under Construction",IF(D66="Work not yet Started","Work not yet Started"))))</f>
        <v>Under Construction</v>
      </c>
      <c r="E67" s="107"/>
      <c r="F67" s="107" t="str">
        <f ca="1">(IF(D66="Nothing","Yes",IF(D66="Cement, Aggregate, Steel, etc","Under Construction",IF(D66="Work not yet Started","Work not yet Started"))))</f>
        <v>Under Construction</v>
      </c>
      <c r="G67" s="107"/>
      <c r="H67" s="107"/>
      <c r="I67" s="55" t="s">
        <v>247</v>
      </c>
      <c r="J67" s="55"/>
      <c r="K67" s="55"/>
    </row>
    <row r="68" spans="1:14" ht="15.75" customHeight="1" x14ac:dyDescent="0.25">
      <c r="A68" s="81" t="s">
        <v>141</v>
      </c>
      <c r="B68" s="81"/>
      <c r="C68" s="81" t="s">
        <v>254</v>
      </c>
      <c r="D68" s="81"/>
      <c r="E68" s="81"/>
      <c r="F68" s="81"/>
      <c r="G68" s="81"/>
      <c r="H68" s="81"/>
      <c r="I68" s="59" t="str">
        <f ca="1">IF(D81=100%,"All work Completed. Possession granted to the Building.",IF(D80=100%,"All work Completed, Waiting for OC",I69&amp;""&amp;I70&amp;""&amp;J69&amp;""&amp;J68&amp;" "&amp;J70))</f>
        <v>Excavation, Plinth Completed, RCC upto 22 Slab, Brickwork upto 19 Floor, Internal Plaster upto 16 Floor, External Plaster upto 11 Floor, Flooring upto 2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22 Slab, Brickwork upto 19 Floor, Internal Plaster upto 16 Floor, External Plaster upto 11 Floor, Flooring upto 2 Floor</v>
      </c>
    </row>
    <row r="69" spans="1:14" x14ac:dyDescent="0.25">
      <c r="A69" s="53" t="s">
        <v>143</v>
      </c>
      <c r="B69" s="53">
        <v>1</v>
      </c>
      <c r="C69" s="53" t="s">
        <v>72</v>
      </c>
      <c r="D69" s="53">
        <v>1</v>
      </c>
      <c r="E69" s="53" t="s">
        <v>71</v>
      </c>
      <c r="F69" s="53">
        <v>0</v>
      </c>
      <c r="G69" s="53" t="s">
        <v>80</v>
      </c>
      <c r="H69" s="53">
        <f ca="1">--TRIM(RIGHT(SUBSTITUTE(LEFT(C68,_xlfn.AGGREGATE(16,6,FIND({0,1,2,3,4,5,6,7,8,9},C68,ROW(INDIRECT("1:"&amp;LEN(C68)))),1))," ",REPT(" ",LEN(C68))),LEN(C68)))</f>
        <v>23</v>
      </c>
      <c r="I69" s="6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8" customHeight="1" x14ac:dyDescent="0.25">
      <c r="A70" s="80" t="s">
        <v>90</v>
      </c>
      <c r="B70" s="80"/>
      <c r="C70" s="81" t="str">
        <f ca="1">I68</f>
        <v>Excavation, Plinth Completed, RCC upto 22 Slab, Brickwork upto 19 Floor, Internal Plaster upto 16 Floor, External Plaster upto 11 Floor, Flooring upto 2 Floor Completed</v>
      </c>
      <c r="D70" s="81"/>
      <c r="E70" s="81"/>
      <c r="F70" s="81"/>
      <c r="G70" s="81"/>
      <c r="H70" s="81"/>
      <c r="I70" s="6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25">
      <c r="A71" s="83" t="s">
        <v>49</v>
      </c>
      <c r="B71" s="84"/>
      <c r="C71" s="44" t="s">
        <v>140</v>
      </c>
      <c r="D71" s="44" t="s">
        <v>83</v>
      </c>
      <c r="E71" s="84" t="s">
        <v>85</v>
      </c>
      <c r="F71" s="84"/>
      <c r="G71" s="84" t="s">
        <v>84</v>
      </c>
      <c r="H71" s="85"/>
      <c r="I71" s="14" t="s">
        <v>142</v>
      </c>
      <c r="J71" s="28">
        <f ca="1">H69*25%</f>
        <v>5.75</v>
      </c>
    </row>
    <row r="72" spans="1:14" x14ac:dyDescent="0.25">
      <c r="A72" s="83" t="s">
        <v>129</v>
      </c>
      <c r="B72" s="84"/>
      <c r="C72" s="44">
        <f ca="1">J73</f>
        <v>23</v>
      </c>
      <c r="D72" s="19">
        <f ca="1">((100/H69)*C72)/100</f>
        <v>1</v>
      </c>
      <c r="E72" s="86">
        <f ca="1">(((C73/H69*10)+(40/(D69+F69+H69)*C74)+(7.5/(H69)*C75)+(7.5/(H69)*C76)+(10/H69*C77)+(10/H69*C78)+(5/H69*C79)+(5/H69*C80)+(5/H69*C81))/100)</f>
        <v>0.63731884057971022</v>
      </c>
      <c r="F72" s="87"/>
      <c r="G72" s="86">
        <f ca="1">((((C72/H69)*20)+((C73/H69)*25)+(30/(H69+F69+D69)*C74)+(5/H69*C75)+(5/H69*C76)+(5/H69*C77)+(5/H69*C78)+(0/H69*C79)+(0/H69*C80)+(5/H69*C81))/100)</f>
        <v>0.82934782608695656</v>
      </c>
      <c r="H72" s="92"/>
      <c r="I72" s="14" t="s">
        <v>101</v>
      </c>
      <c r="J72" s="29">
        <f ca="1">H69*50%</f>
        <v>11.5</v>
      </c>
    </row>
    <row r="73" spans="1:14" x14ac:dyDescent="0.25">
      <c r="A73" s="83" t="s">
        <v>50</v>
      </c>
      <c r="B73" s="84"/>
      <c r="C73" s="57">
        <f ca="1">J81</f>
        <v>23</v>
      </c>
      <c r="D73" s="19">
        <f ca="1">((100/H69)*C73)/100</f>
        <v>1</v>
      </c>
      <c r="E73" s="88"/>
      <c r="F73" s="89"/>
      <c r="G73" s="88"/>
      <c r="H73" s="93"/>
      <c r="I73" s="14" t="s">
        <v>102</v>
      </c>
      <c r="J73" s="29">
        <f ca="1">H69</f>
        <v>23</v>
      </c>
    </row>
    <row r="74" spans="1:14" ht="15.75" customHeight="1" x14ac:dyDescent="0.25">
      <c r="A74" s="83" t="s">
        <v>130</v>
      </c>
      <c r="B74" s="84"/>
      <c r="C74" s="44">
        <v>22</v>
      </c>
      <c r="D74" s="19">
        <f ca="1">((100/(D69+F69+H69))*C74)/100</f>
        <v>0.91666666666666674</v>
      </c>
      <c r="E74" s="88"/>
      <c r="F74" s="89"/>
      <c r="G74" s="88"/>
      <c r="H74" s="93"/>
      <c r="I74" s="14" t="s">
        <v>103</v>
      </c>
      <c r="J74" s="30">
        <f ca="1">(IF(B69&gt;1,(H69/(B69+2)),H69/4))</f>
        <v>5.75</v>
      </c>
    </row>
    <row r="75" spans="1:14" ht="15.75" customHeight="1" x14ac:dyDescent="0.25">
      <c r="A75" s="83" t="s">
        <v>137</v>
      </c>
      <c r="B75" s="84" t="s">
        <v>131</v>
      </c>
      <c r="C75" s="44">
        <v>19</v>
      </c>
      <c r="D75" s="19">
        <f ca="1">((100/H69)*C75)/100</f>
        <v>0.82608695652173902</v>
      </c>
      <c r="E75" s="88"/>
      <c r="F75" s="89"/>
      <c r="G75" s="88"/>
      <c r="H75" s="93"/>
      <c r="I75" s="14" t="s">
        <v>104</v>
      </c>
      <c r="J75" s="30">
        <f ca="1">(IF(B69&gt;1,(H69/(B69+2)+J74),H69/4+J74))</f>
        <v>11.5</v>
      </c>
    </row>
    <row r="76" spans="1:14" ht="15.75" customHeight="1" x14ac:dyDescent="0.25">
      <c r="A76" s="83" t="s">
        <v>138</v>
      </c>
      <c r="B76" s="84" t="s">
        <v>131</v>
      </c>
      <c r="C76" s="44">
        <v>16</v>
      </c>
      <c r="D76" s="19">
        <f ca="1">((100/H69)*C76)/100</f>
        <v>0.69565217391304346</v>
      </c>
      <c r="E76" s="88"/>
      <c r="F76" s="89"/>
      <c r="G76" s="88"/>
      <c r="H76" s="93"/>
      <c r="I76" s="14" t="s">
        <v>147</v>
      </c>
      <c r="J76" s="30">
        <f>(IF(B69&gt;1,(H69/(B69+2)+J75),0))</f>
        <v>0</v>
      </c>
    </row>
    <row r="77" spans="1:14" ht="15" customHeight="1" x14ac:dyDescent="0.25">
      <c r="A77" s="83" t="s">
        <v>136</v>
      </c>
      <c r="B77" s="84" t="s">
        <v>133</v>
      </c>
      <c r="C77" s="44">
        <v>11</v>
      </c>
      <c r="D77" s="19">
        <f ca="1">((100/(H69))*C77)/100</f>
        <v>0.47826086956521735</v>
      </c>
      <c r="E77" s="88"/>
      <c r="F77" s="89"/>
      <c r="G77" s="88"/>
      <c r="H77" s="93"/>
      <c r="I77" s="14" t="s">
        <v>144</v>
      </c>
      <c r="J77" s="30">
        <f>(IF(B69&gt;2,(H69/(B69+2)+J76),0))</f>
        <v>0</v>
      </c>
      <c r="L77" s="21">
        <f>45000/1.6</f>
        <v>28125</v>
      </c>
    </row>
    <row r="78" spans="1:14" ht="15.75" customHeight="1" x14ac:dyDescent="0.25">
      <c r="A78" s="83" t="s">
        <v>132</v>
      </c>
      <c r="B78" s="84" t="s">
        <v>132</v>
      </c>
      <c r="C78" s="44">
        <v>2</v>
      </c>
      <c r="D78" s="19">
        <f ca="1">((100/H69)*C78)/100</f>
        <v>8.6956521739130432E-2</v>
      </c>
      <c r="E78" s="88"/>
      <c r="F78" s="89"/>
      <c r="G78" s="88"/>
      <c r="H78" s="93"/>
      <c r="I78" s="14" t="s">
        <v>145</v>
      </c>
      <c r="J78" s="31">
        <f>(IF(B69&gt;3,(H69/(B69+2)+J77),0))</f>
        <v>0</v>
      </c>
    </row>
    <row r="79" spans="1:14" ht="15.75" customHeight="1" x14ac:dyDescent="0.25">
      <c r="A79" s="83" t="s">
        <v>139</v>
      </c>
      <c r="B79" s="84"/>
      <c r="C79" s="44">
        <v>0</v>
      </c>
      <c r="D79" s="19">
        <f ca="1">((100/H69)*C79)/100</f>
        <v>0</v>
      </c>
      <c r="E79" s="88"/>
      <c r="F79" s="89"/>
      <c r="G79" s="88"/>
      <c r="H79" s="93"/>
      <c r="I79" s="14" t="s">
        <v>146</v>
      </c>
      <c r="J79" s="30">
        <f>(IF(B69&gt;4,(H69/(B69+2)+J78),0))</f>
        <v>0</v>
      </c>
    </row>
    <row r="80" spans="1:14" ht="15.75" customHeight="1" x14ac:dyDescent="0.25">
      <c r="A80" s="83" t="s">
        <v>134</v>
      </c>
      <c r="B80" s="84" t="s">
        <v>134</v>
      </c>
      <c r="C80" s="44">
        <v>0</v>
      </c>
      <c r="D80" s="19">
        <f ca="1">((100/(H69))*C80)/100</f>
        <v>0</v>
      </c>
      <c r="E80" s="88"/>
      <c r="F80" s="89"/>
      <c r="G80" s="88"/>
      <c r="H80" s="93"/>
      <c r="I80" s="14" t="s">
        <v>148</v>
      </c>
      <c r="J80" s="30">
        <f ca="1">(IF(B69=1,(H69/(B69+3)+J75),IF(B69=0,(H69/4+J75),IF(B69&gt;1,0))))</f>
        <v>17.25</v>
      </c>
    </row>
    <row r="81" spans="1:12" ht="16.5" thickBot="1" x14ac:dyDescent="0.3">
      <c r="A81" s="120" t="s">
        <v>135</v>
      </c>
      <c r="B81" s="121"/>
      <c r="C81" s="45">
        <v>0</v>
      </c>
      <c r="D81" s="20">
        <f ca="1">((100/(H69))*C81)/100</f>
        <v>0</v>
      </c>
      <c r="E81" s="90"/>
      <c r="F81" s="91"/>
      <c r="G81" s="90"/>
      <c r="H81" s="94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23</v>
      </c>
    </row>
    <row r="82" spans="1:12" ht="15.75" hidden="1" customHeight="1" x14ac:dyDescent="0.25">
      <c r="A82" s="203" t="s">
        <v>141</v>
      </c>
      <c r="B82" s="204"/>
      <c r="C82" s="205" t="s">
        <v>253</v>
      </c>
      <c r="D82" s="206"/>
      <c r="E82" s="206"/>
      <c r="F82" s="206"/>
      <c r="G82" s="206"/>
      <c r="H82" s="207"/>
      <c r="I82" s="48" t="str">
        <f ca="1">IF(D95=100%,"All work Completed. Possession granted to the Building.",IF(D94=100%,"All work Completed, Waiting for OC",I83&amp;""&amp;I84&amp;""&amp;J83&amp;""&amp;J82&amp;" "&amp;J84))</f>
        <v>Excavation, Plinth Completed, RCC upto 18 Slab, Brickwork upto 14 Floor, Internal Plaster upto 6 Floor Completed</v>
      </c>
      <c r="J82" s="49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18 Slab, Brickwork upto 14 Floor, Internal Plaster upto 6 Floor</v>
      </c>
    </row>
    <row r="83" spans="1:12" hidden="1" x14ac:dyDescent="0.25">
      <c r="A83" s="16" t="s">
        <v>143</v>
      </c>
      <c r="B83" s="53">
        <v>1</v>
      </c>
      <c r="C83" s="53" t="s">
        <v>72</v>
      </c>
      <c r="D83" s="53">
        <v>1</v>
      </c>
      <c r="E83" s="53" t="s">
        <v>71</v>
      </c>
      <c r="F83" s="53">
        <v>0</v>
      </c>
      <c r="G83" s="53" t="s">
        <v>80</v>
      </c>
      <c r="H83" s="17">
        <f ca="1">--TRIM(RIGHT(SUBSTITUTE(LEFT(C82,_xlfn.AGGREGATE(16,6,FIND({0,1,2,3,4,5,6,7,8,9},C82,ROW(INDIRECT("1:"&amp;LEN(C82)))),1))," ",REPT(" ",LEN(C82))),LEN(C82)))</f>
        <v>23</v>
      </c>
      <c r="I83" s="50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1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2" ht="31.5" hidden="1" customHeight="1" x14ac:dyDescent="0.25">
      <c r="A84" s="79" t="s">
        <v>90</v>
      </c>
      <c r="B84" s="80"/>
      <c r="C84" s="81" t="str">
        <f ca="1">I82</f>
        <v>Excavation, Plinth Completed, RCC upto 18 Slab, Brickwork upto 14 Floor, Internal Plaster upto 6 Floor Completed</v>
      </c>
      <c r="D84" s="81"/>
      <c r="E84" s="81"/>
      <c r="F84" s="81"/>
      <c r="G84" s="81"/>
      <c r="H84" s="82"/>
      <c r="I84" s="50" t="str">
        <f ca="1">IF(I83&lt;&gt;""," Completed","")</f>
        <v xml:space="preserve"> Completed</v>
      </c>
      <c r="J84" s="51" t="str">
        <f ca="1">IF(J82&lt;&gt;"","Completed","")</f>
        <v>Completed</v>
      </c>
    </row>
    <row r="85" spans="1:12" ht="15.75" hidden="1" customHeight="1" x14ac:dyDescent="0.25">
      <c r="A85" s="83" t="s">
        <v>49</v>
      </c>
      <c r="B85" s="84"/>
      <c r="C85" s="44" t="s">
        <v>140</v>
      </c>
      <c r="D85" s="44" t="s">
        <v>83</v>
      </c>
      <c r="E85" s="84" t="s">
        <v>85</v>
      </c>
      <c r="F85" s="84"/>
      <c r="G85" s="84" t="s">
        <v>84</v>
      </c>
      <c r="H85" s="85"/>
      <c r="I85" s="14" t="s">
        <v>142</v>
      </c>
      <c r="J85" s="28">
        <f ca="1">H83*25%</f>
        <v>5.75</v>
      </c>
    </row>
    <row r="86" spans="1:12" hidden="1" x14ac:dyDescent="0.25">
      <c r="A86" s="83" t="s">
        <v>129</v>
      </c>
      <c r="B86" s="84"/>
      <c r="C86" s="44">
        <f ca="1">J87</f>
        <v>23</v>
      </c>
      <c r="D86" s="19">
        <f ca="1">((100/H83)*C86)/100</f>
        <v>1</v>
      </c>
      <c r="E86" s="86">
        <f ca="1">(((C87/H83*10)+(40/(D83+F83+H83)*C88)+(7.5/(H83)*C89)+(7.5/(H83)*C90)+(10/H83*C91)+(10/H83*C92)+(5/H83*C93)+(5/H83*C94)+(5/H83*C95))/100)</f>
        <v>0.4652173913043478</v>
      </c>
      <c r="F86" s="87"/>
      <c r="G86" s="86">
        <f ca="1">((((C86/H83)*20)+((C87/H83)*25)+(30/(H83+F83+D83)*C88)+(5/H83*C89)+(5/H83*C90)+(5/H83*C91)+(5/H83*C92)+(0/H83*C93)+(0/H83*C94)+(5/H83*C95))/100)</f>
        <v>0.71847826086956512</v>
      </c>
      <c r="H86" s="92"/>
      <c r="I86" s="14" t="s">
        <v>101</v>
      </c>
      <c r="J86" s="29">
        <f ca="1">H83*50%</f>
        <v>11.5</v>
      </c>
    </row>
    <row r="87" spans="1:12" hidden="1" x14ac:dyDescent="0.25">
      <c r="A87" s="83" t="s">
        <v>50</v>
      </c>
      <c r="B87" s="84"/>
      <c r="C87" s="57">
        <f ca="1">J95</f>
        <v>23</v>
      </c>
      <c r="D87" s="19">
        <f ca="1">((100/H83)*C87)/100</f>
        <v>1</v>
      </c>
      <c r="E87" s="88"/>
      <c r="F87" s="89"/>
      <c r="G87" s="88"/>
      <c r="H87" s="93"/>
      <c r="I87" s="14" t="s">
        <v>102</v>
      </c>
      <c r="J87" s="29">
        <f ca="1">H83</f>
        <v>23</v>
      </c>
      <c r="L87" s="21" t="s">
        <v>255</v>
      </c>
    </row>
    <row r="88" spans="1:12" ht="15.75" hidden="1" customHeight="1" x14ac:dyDescent="0.25">
      <c r="A88" s="83" t="s">
        <v>130</v>
      </c>
      <c r="B88" s="84"/>
      <c r="C88" s="44">
        <v>18</v>
      </c>
      <c r="D88" s="19">
        <f ca="1">((100/(D83+F83+H83))*C88)/100</f>
        <v>0.75</v>
      </c>
      <c r="E88" s="88"/>
      <c r="F88" s="89"/>
      <c r="G88" s="88"/>
      <c r="H88" s="93"/>
      <c r="I88" s="14" t="s">
        <v>103</v>
      </c>
      <c r="J88" s="30">
        <f ca="1">(IF(B83&gt;1,(H83/(B83+2)),H83/4))</f>
        <v>5.75</v>
      </c>
    </row>
    <row r="89" spans="1:12" ht="15.75" hidden="1" customHeight="1" x14ac:dyDescent="0.25">
      <c r="A89" s="83" t="s">
        <v>137</v>
      </c>
      <c r="B89" s="84" t="s">
        <v>131</v>
      </c>
      <c r="C89" s="44">
        <v>14</v>
      </c>
      <c r="D89" s="19">
        <f ca="1">((100/H83)*C89)/100</f>
        <v>0.60869565217391297</v>
      </c>
      <c r="E89" s="88"/>
      <c r="F89" s="89"/>
      <c r="G89" s="88"/>
      <c r="H89" s="93"/>
      <c r="I89" s="14" t="s">
        <v>104</v>
      </c>
      <c r="J89" s="30">
        <f ca="1">(IF(B83&gt;1,(H83/(B83+2)+J88),H83/4+J88))</f>
        <v>11.5</v>
      </c>
    </row>
    <row r="90" spans="1:12" ht="15.75" hidden="1" customHeight="1" x14ac:dyDescent="0.25">
      <c r="A90" s="83" t="s">
        <v>138</v>
      </c>
      <c r="B90" s="84" t="s">
        <v>131</v>
      </c>
      <c r="C90" s="44">
        <v>6</v>
      </c>
      <c r="D90" s="19">
        <f ca="1">((100/H83)*C90)/100</f>
        <v>0.2608695652173913</v>
      </c>
      <c r="E90" s="88"/>
      <c r="F90" s="89"/>
      <c r="G90" s="88"/>
      <c r="H90" s="93"/>
      <c r="I90" s="14" t="s">
        <v>147</v>
      </c>
      <c r="J90" s="30">
        <f>(IF(B83&gt;1,(H83/(B83+2)+J89),0))</f>
        <v>0</v>
      </c>
    </row>
    <row r="91" spans="1:12" ht="15" hidden="1" customHeight="1" x14ac:dyDescent="0.25">
      <c r="A91" s="83" t="s">
        <v>136</v>
      </c>
      <c r="B91" s="84" t="s">
        <v>133</v>
      </c>
      <c r="C91" s="44">
        <v>0</v>
      </c>
      <c r="D91" s="19">
        <f ca="1">((100/(H83))*C91)/100</f>
        <v>0</v>
      </c>
      <c r="E91" s="88"/>
      <c r="F91" s="89"/>
      <c r="G91" s="88"/>
      <c r="H91" s="93"/>
      <c r="I91" s="14" t="s">
        <v>144</v>
      </c>
      <c r="J91" s="30">
        <f>(IF(B83&gt;2,(H83/(B83+2)+J90),0))</f>
        <v>0</v>
      </c>
      <c r="L91" s="21">
        <f>45000/1.6</f>
        <v>28125</v>
      </c>
    </row>
    <row r="92" spans="1:12" ht="15.75" hidden="1" customHeight="1" x14ac:dyDescent="0.25">
      <c r="A92" s="83" t="s">
        <v>132</v>
      </c>
      <c r="B92" s="84" t="s">
        <v>132</v>
      </c>
      <c r="C92" s="44">
        <v>0</v>
      </c>
      <c r="D92" s="19">
        <f ca="1">((100/H83)*C92)/100</f>
        <v>0</v>
      </c>
      <c r="E92" s="88"/>
      <c r="F92" s="89"/>
      <c r="G92" s="88"/>
      <c r="H92" s="93"/>
      <c r="I92" s="14" t="s">
        <v>145</v>
      </c>
      <c r="J92" s="31">
        <f>(IF(B83&gt;3,(H83/(B83+2)+J91),0))</f>
        <v>0</v>
      </c>
    </row>
    <row r="93" spans="1:12" ht="15.75" hidden="1" customHeight="1" x14ac:dyDescent="0.25">
      <c r="A93" s="83" t="s">
        <v>139</v>
      </c>
      <c r="B93" s="84"/>
      <c r="C93" s="44">
        <v>0</v>
      </c>
      <c r="D93" s="19">
        <f ca="1">((100/H83)*C93)/100</f>
        <v>0</v>
      </c>
      <c r="E93" s="88"/>
      <c r="F93" s="89"/>
      <c r="G93" s="88"/>
      <c r="H93" s="93"/>
      <c r="I93" s="14" t="s">
        <v>146</v>
      </c>
      <c r="J93" s="30">
        <f>(IF(B83&gt;4,(H83/(B83+2)+J92),0))</f>
        <v>0</v>
      </c>
    </row>
    <row r="94" spans="1:12" ht="15.75" hidden="1" customHeight="1" x14ac:dyDescent="0.25">
      <c r="A94" s="83" t="s">
        <v>134</v>
      </c>
      <c r="B94" s="84" t="s">
        <v>134</v>
      </c>
      <c r="C94" s="44">
        <v>0</v>
      </c>
      <c r="D94" s="19">
        <f ca="1">((100/(H83))*C94)/100</f>
        <v>0</v>
      </c>
      <c r="E94" s="88"/>
      <c r="F94" s="89"/>
      <c r="G94" s="88"/>
      <c r="H94" s="93"/>
      <c r="I94" s="14" t="s">
        <v>148</v>
      </c>
      <c r="J94" s="30">
        <f ca="1">(IF(B83=1,(H83/(B83+3)+J89),IF(B83=0,(H83/4+J89),IF(B83&gt;1,0))))</f>
        <v>17.25</v>
      </c>
    </row>
    <row r="95" spans="1:12" ht="16.5" hidden="1" thickBot="1" x14ac:dyDescent="0.3">
      <c r="A95" s="120" t="s">
        <v>135</v>
      </c>
      <c r="B95" s="121"/>
      <c r="C95" s="45">
        <v>0</v>
      </c>
      <c r="D95" s="20">
        <f ca="1">((100/(H83))*C95)/100</f>
        <v>0</v>
      </c>
      <c r="E95" s="90"/>
      <c r="F95" s="91"/>
      <c r="G95" s="90"/>
      <c r="H95" s="94"/>
      <c r="I95" s="15" t="s">
        <v>105</v>
      </c>
      <c r="J95" s="32">
        <f ca="1">(IF(B83&gt;1.5,(H83/(B83+2)+J89+MAX(0,J90-J89)+MAX(0,J91-J90)+MAX(0,J92-J91)+MAX(0,J93-J92)+MAX(0,J94-J93)),IF(B83=1,(H83/(B83+3)+J94),IF(B83=0,H83/4+J94))))</f>
        <v>23</v>
      </c>
    </row>
    <row r="96" spans="1:12" ht="15.75" customHeight="1" x14ac:dyDescent="0.25">
      <c r="A96" s="74" t="s">
        <v>141</v>
      </c>
      <c r="B96" s="75"/>
      <c r="C96" s="76" t="str">
        <f>D58</f>
        <v>Building No. 2 A Wing = 1B + G + 11P + 12th to 40th Floor</v>
      </c>
      <c r="D96" s="77"/>
      <c r="E96" s="77"/>
      <c r="F96" s="77"/>
      <c r="G96" s="77"/>
      <c r="H96" s="78"/>
      <c r="I96" s="48" t="str">
        <f ca="1">IF(D109=100%,"All work Completed. Possession granted to the Building.",IF(D108=100%,"All work Completed, Waiting for OC",I97&amp;""&amp;I98&amp;""&amp;J97&amp;""&amp;J96&amp;" "&amp;J98))</f>
        <v>Excavation, Plinth Completed, RCC upto 8 Slab Completed</v>
      </c>
      <c r="J96" s="49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8 Slab</v>
      </c>
    </row>
    <row r="97" spans="1:10" x14ac:dyDescent="0.25">
      <c r="A97" s="16" t="s">
        <v>143</v>
      </c>
      <c r="B97" s="53">
        <v>0</v>
      </c>
      <c r="C97" s="53" t="s">
        <v>72</v>
      </c>
      <c r="D97" s="53">
        <v>1</v>
      </c>
      <c r="E97" s="53" t="s">
        <v>71</v>
      </c>
      <c r="F97" s="53">
        <v>0</v>
      </c>
      <c r="G97" s="53" t="s">
        <v>80</v>
      </c>
      <c r="H97" s="17">
        <f ca="1">--TRIM(RIGHT(SUBSTITUTE(LEFT(C96,_xlfn.AGGREGATE(16,6,FIND({0,1,2,3,4,5,6,7,8,9},C96,ROW(INDIRECT("1:"&amp;LEN(C96)))),1))," ",REPT(" ",LEN(C96))),LEN(C96)))</f>
        <v>40</v>
      </c>
      <c r="I97" s="50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1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x14ac:dyDescent="0.25">
      <c r="A98" s="79" t="s">
        <v>90</v>
      </c>
      <c r="B98" s="80"/>
      <c r="C98" s="81" t="str">
        <f ca="1">(IF($G$52="NA",I96,"All work Completed. OC Received."))</f>
        <v>Excavation, Plinth Completed, RCC upto 8 Slab Completed</v>
      </c>
      <c r="D98" s="81"/>
      <c r="E98" s="81"/>
      <c r="F98" s="81"/>
      <c r="G98" s="81"/>
      <c r="H98" s="82"/>
      <c r="I98" s="50" t="str">
        <f ca="1">IF(I97&lt;&gt;""," Completed","")</f>
        <v xml:space="preserve"> Completed</v>
      </c>
      <c r="J98" s="51" t="str">
        <f ca="1">IF(J96&lt;&gt;"","Completed","")</f>
        <v>Completed</v>
      </c>
    </row>
    <row r="99" spans="1:10" ht="15.75" customHeight="1" x14ac:dyDescent="0.25">
      <c r="A99" s="83" t="s">
        <v>49</v>
      </c>
      <c r="B99" s="84"/>
      <c r="C99" s="44" t="s">
        <v>140</v>
      </c>
      <c r="D99" s="44" t="s">
        <v>83</v>
      </c>
      <c r="E99" s="84" t="s">
        <v>85</v>
      </c>
      <c r="F99" s="84"/>
      <c r="G99" s="84" t="s">
        <v>84</v>
      </c>
      <c r="H99" s="85"/>
      <c r="I99" s="14" t="s">
        <v>142</v>
      </c>
      <c r="J99" s="28">
        <f ca="1">H97*25%</f>
        <v>10</v>
      </c>
    </row>
    <row r="100" spans="1:10" x14ac:dyDescent="0.25">
      <c r="A100" s="83" t="s">
        <v>129</v>
      </c>
      <c r="B100" s="84"/>
      <c r="C100" s="44">
        <f ca="1">J101</f>
        <v>40</v>
      </c>
      <c r="D100" s="19">
        <f ca="1">((100/H97)*C100)/100</f>
        <v>1</v>
      </c>
      <c r="E100" s="86">
        <f ca="1">(((C101/H97*10)+(40/(D97+F97+H97)*C102)+(7.5/(H97)*C103)+(7.5/(H97)*C104)+(10/H97*C105)+(10/H97*C106)+(5/H97*C107)+(5/H97*C108)+(5/H97*C109))/100)</f>
        <v>0.17804878048780487</v>
      </c>
      <c r="F100" s="87"/>
      <c r="G100" s="86">
        <f ca="1">((((C100/H97)*20)+((C101/H97)*25)+(30/(H97+F97+D97)*C102)+(5/H97*C103)+(5/H97*C104)+(5/H97*C105)+(5/H97*C106)+(0/H97*C107)+(0/H97*C108)+(5/H97*C109))/100)</f>
        <v>0.50853658536585367</v>
      </c>
      <c r="H100" s="92"/>
      <c r="I100" s="14" t="s">
        <v>101</v>
      </c>
      <c r="J100" s="29">
        <f ca="1">H97*50%</f>
        <v>20</v>
      </c>
    </row>
    <row r="101" spans="1:10" x14ac:dyDescent="0.25">
      <c r="A101" s="83" t="s">
        <v>50</v>
      </c>
      <c r="B101" s="84"/>
      <c r="C101" s="57">
        <f ca="1">J109</f>
        <v>40</v>
      </c>
      <c r="D101" s="19">
        <f ca="1">((100/H97)*C101)/100</f>
        <v>1</v>
      </c>
      <c r="E101" s="88"/>
      <c r="F101" s="89"/>
      <c r="G101" s="88"/>
      <c r="H101" s="93"/>
      <c r="I101" s="14" t="s">
        <v>102</v>
      </c>
      <c r="J101" s="29">
        <f ca="1">H97</f>
        <v>40</v>
      </c>
    </row>
    <row r="102" spans="1:10" ht="15.75" customHeight="1" x14ac:dyDescent="0.25">
      <c r="A102" s="83" t="s">
        <v>130</v>
      </c>
      <c r="B102" s="84"/>
      <c r="C102" s="44">
        <v>8</v>
      </c>
      <c r="D102" s="19">
        <f ca="1">((100/(D97+F97+H97))*C102)/100</f>
        <v>0.1951219512195122</v>
      </c>
      <c r="E102" s="88"/>
      <c r="F102" s="89"/>
      <c r="G102" s="88"/>
      <c r="H102" s="93"/>
      <c r="I102" s="14" t="s">
        <v>103</v>
      </c>
      <c r="J102" s="30">
        <f ca="1">(IF(B97&gt;1,(H97/(B97+2)),H97/4))</f>
        <v>10</v>
      </c>
    </row>
    <row r="103" spans="1:10" ht="15.75" customHeight="1" x14ac:dyDescent="0.25">
      <c r="A103" s="83" t="s">
        <v>137</v>
      </c>
      <c r="B103" s="84" t="s">
        <v>131</v>
      </c>
      <c r="C103" s="44">
        <v>0</v>
      </c>
      <c r="D103" s="19">
        <f ca="1">((100/H97)*C103)/100</f>
        <v>0</v>
      </c>
      <c r="E103" s="88"/>
      <c r="F103" s="89"/>
      <c r="G103" s="88"/>
      <c r="H103" s="93"/>
      <c r="I103" s="14" t="s">
        <v>104</v>
      </c>
      <c r="J103" s="30">
        <f ca="1">(IF(B97&gt;1,(H97/(B97+2)+J102),H97/4+J102))</f>
        <v>20</v>
      </c>
    </row>
    <row r="104" spans="1:10" ht="15.75" customHeight="1" x14ac:dyDescent="0.25">
      <c r="A104" s="83" t="s">
        <v>138</v>
      </c>
      <c r="B104" s="84" t="s">
        <v>131</v>
      </c>
      <c r="C104" s="44">
        <v>0</v>
      </c>
      <c r="D104" s="19">
        <f ca="1">((100/H97)*C104)/100</f>
        <v>0</v>
      </c>
      <c r="E104" s="88"/>
      <c r="F104" s="89"/>
      <c r="G104" s="88"/>
      <c r="H104" s="93"/>
      <c r="I104" s="14" t="s">
        <v>147</v>
      </c>
      <c r="J104" s="30">
        <f>(IF(B97&gt;1,(H97/(B97+2)+J103),0))</f>
        <v>0</v>
      </c>
    </row>
    <row r="105" spans="1:10" ht="15" customHeight="1" x14ac:dyDescent="0.25">
      <c r="A105" s="83" t="s">
        <v>136</v>
      </c>
      <c r="B105" s="84" t="s">
        <v>133</v>
      </c>
      <c r="C105" s="44">
        <v>0</v>
      </c>
      <c r="D105" s="19">
        <f ca="1">((100/(H97))*C105)/100</f>
        <v>0</v>
      </c>
      <c r="E105" s="88"/>
      <c r="F105" s="89"/>
      <c r="G105" s="88"/>
      <c r="H105" s="93"/>
      <c r="I105" s="14" t="s">
        <v>144</v>
      </c>
      <c r="J105" s="30">
        <f>(IF(B97&gt;2,(H97/(B97+2)+J104),0))</f>
        <v>0</v>
      </c>
    </row>
    <row r="106" spans="1:10" ht="15.75" customHeight="1" x14ac:dyDescent="0.25">
      <c r="A106" s="83" t="s">
        <v>132</v>
      </c>
      <c r="B106" s="84" t="s">
        <v>132</v>
      </c>
      <c r="C106" s="44">
        <v>0</v>
      </c>
      <c r="D106" s="19">
        <f ca="1">((100/H97)*C106)/100</f>
        <v>0</v>
      </c>
      <c r="E106" s="88"/>
      <c r="F106" s="89"/>
      <c r="G106" s="88"/>
      <c r="H106" s="93"/>
      <c r="I106" s="14" t="s">
        <v>145</v>
      </c>
      <c r="J106" s="31">
        <f>(IF(B97&gt;3,(H97/(B97+2)+J105),0))</f>
        <v>0</v>
      </c>
    </row>
    <row r="107" spans="1:10" ht="15.75" customHeight="1" x14ac:dyDescent="0.25">
      <c r="A107" s="83" t="s">
        <v>139</v>
      </c>
      <c r="B107" s="84"/>
      <c r="C107" s="44">
        <v>0</v>
      </c>
      <c r="D107" s="19">
        <f ca="1">((100/H97)*C107)/100</f>
        <v>0</v>
      </c>
      <c r="E107" s="88"/>
      <c r="F107" s="89"/>
      <c r="G107" s="88"/>
      <c r="H107" s="93"/>
      <c r="I107" s="14" t="s">
        <v>146</v>
      </c>
      <c r="J107" s="30">
        <f>(IF(B97&gt;4,(H97/(B97+2)+J106),0))</f>
        <v>0</v>
      </c>
    </row>
    <row r="108" spans="1:10" ht="15.75" customHeight="1" x14ac:dyDescent="0.25">
      <c r="A108" s="83" t="s">
        <v>134</v>
      </c>
      <c r="B108" s="84" t="s">
        <v>134</v>
      </c>
      <c r="C108" s="44">
        <v>0</v>
      </c>
      <c r="D108" s="19">
        <f ca="1">((100/(H97))*C108)/100</f>
        <v>0</v>
      </c>
      <c r="E108" s="88"/>
      <c r="F108" s="89"/>
      <c r="G108" s="88"/>
      <c r="H108" s="93"/>
      <c r="I108" s="14" t="s">
        <v>148</v>
      </c>
      <c r="J108" s="30">
        <f ca="1">(IF(B97=1,(H97/(B97+3)+J103),IF(B97=0,(H97/4+J103),IF(B97&gt;1,0))))</f>
        <v>30</v>
      </c>
    </row>
    <row r="109" spans="1:10" ht="16.5" thickBot="1" x14ac:dyDescent="0.3">
      <c r="A109" s="120" t="s">
        <v>135</v>
      </c>
      <c r="B109" s="121"/>
      <c r="C109" s="45">
        <v>0</v>
      </c>
      <c r="D109" s="20">
        <f ca="1">((100/(H97))*C109)/100</f>
        <v>0</v>
      </c>
      <c r="E109" s="90"/>
      <c r="F109" s="91"/>
      <c r="G109" s="90"/>
      <c r="H109" s="94"/>
      <c r="I109" s="15" t="s">
        <v>105</v>
      </c>
      <c r="J109" s="32">
        <f ca="1">(IF(B97&gt;1.5,(H97/(B97+2)+J103+MAX(0,J104-J103)+MAX(0,J105-J104)+MAX(0,J106-J105)+MAX(0,J107-J106)+MAX(0,J108-J107)),IF(B97=1,(H97/(B97+3)+J108),IF(B97=0,H97/4+J108))))</f>
        <v>40</v>
      </c>
    </row>
    <row r="110" spans="1:10" ht="15.75" hidden="1" customHeight="1" x14ac:dyDescent="0.25">
      <c r="A110" s="74" t="s">
        <v>141</v>
      </c>
      <c r="B110" s="75"/>
      <c r="C110" s="76" t="str">
        <f>D60</f>
        <v>Building No. 2 = C Wing = G + 11P + 12th to 40th Floor</v>
      </c>
      <c r="D110" s="77"/>
      <c r="E110" s="77"/>
      <c r="F110" s="77"/>
      <c r="G110" s="77"/>
      <c r="H110" s="78"/>
      <c r="I110" s="48" t="str">
        <f ca="1">IF(D123=100%,"All work Completed. Possession granted to the Building.",IF(D122=100%,"All work Completed, Waiting for OC",I111&amp;""&amp;I112&amp;""&amp;J111&amp;""&amp;J110&amp;" "&amp;J112))</f>
        <v xml:space="preserve">Excavation Completed, Plinth work is process </v>
      </c>
      <c r="J110" s="49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0" hidden="1" x14ac:dyDescent="0.25">
      <c r="A111" s="16" t="s">
        <v>143</v>
      </c>
      <c r="B111" s="53">
        <v>0</v>
      </c>
      <c r="C111" s="53" t="s">
        <v>72</v>
      </c>
      <c r="D111" s="53">
        <v>1</v>
      </c>
      <c r="E111" s="53" t="s">
        <v>71</v>
      </c>
      <c r="F111" s="53">
        <v>0</v>
      </c>
      <c r="G111" s="53" t="s">
        <v>80</v>
      </c>
      <c r="H111" s="17">
        <f ca="1">--TRIM(RIGHT(SUBSTITUTE(LEFT(C110,_xlfn.AGGREGATE(16,6,FIND({0,1,2,3,4,5,6,7,8,9},C110,ROW(INDIRECT("1:"&amp;LEN(C110)))),1))," ",REPT(" ",LEN(C110))),LEN(C110)))</f>
        <v>40</v>
      </c>
      <c r="I111" s="50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</v>
      </c>
      <c r="J111" s="51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>, Plinth work is process</v>
      </c>
    </row>
    <row r="112" spans="1:10" hidden="1" x14ac:dyDescent="0.25">
      <c r="A112" s="79" t="s">
        <v>90</v>
      </c>
      <c r="B112" s="80"/>
      <c r="C112" s="81" t="str">
        <f ca="1">(IF($G$52="NA",I110,"All work Completed. OC Received."))</f>
        <v xml:space="preserve">Excavation Completed, Plinth work is process </v>
      </c>
      <c r="D112" s="81"/>
      <c r="E112" s="81"/>
      <c r="F112" s="81"/>
      <c r="G112" s="81"/>
      <c r="H112" s="82"/>
      <c r="I112" s="50" t="str">
        <f ca="1">IF(I111&lt;&gt;""," Completed","")</f>
        <v xml:space="preserve"> Completed</v>
      </c>
      <c r="J112" s="51" t="str">
        <f ca="1">IF(J110&lt;&gt;"","Completed","")</f>
        <v/>
      </c>
    </row>
    <row r="113" spans="1:10" ht="15.75" hidden="1" customHeight="1" x14ac:dyDescent="0.25">
      <c r="A113" s="83" t="s">
        <v>49</v>
      </c>
      <c r="B113" s="84"/>
      <c r="C113" s="44" t="s">
        <v>140</v>
      </c>
      <c r="D113" s="44" t="s">
        <v>83</v>
      </c>
      <c r="E113" s="84" t="s">
        <v>85</v>
      </c>
      <c r="F113" s="84"/>
      <c r="G113" s="84" t="s">
        <v>84</v>
      </c>
      <c r="H113" s="85"/>
      <c r="I113" s="14" t="s">
        <v>142</v>
      </c>
      <c r="J113" s="28">
        <f ca="1">H111*25%</f>
        <v>10</v>
      </c>
    </row>
    <row r="114" spans="1:10" hidden="1" x14ac:dyDescent="0.25">
      <c r="A114" s="83" t="s">
        <v>129</v>
      </c>
      <c r="B114" s="84"/>
      <c r="C114" s="44">
        <v>40</v>
      </c>
      <c r="D114" s="19">
        <f ca="1">((100/H111)*C114)/100</f>
        <v>1</v>
      </c>
      <c r="E114" s="86">
        <f ca="1">(((C115/H111*10)+(40/(D111+F111+H111)*C116)+(7.5/(H111)*C117)+(7.5/(H111)*C118)+(10/H111*C119)+(10/H111*C120)+(5/H111*C121)+(5/H111*C122)+(5/H111*C123))/100)</f>
        <v>7.4999999999999997E-2</v>
      </c>
      <c r="F114" s="87"/>
      <c r="G114" s="86">
        <f ca="1">((((C114/H111)*20)+((C115/H111)*25)+(30/(H111+F111+D111)*C116)+(5/H111*C117)+(5/H111*C118)+(5/H111*C119)+(5/H111*C120)+(0/H111*C121)+(0/H111*C122)+(5/H111*C123))/100)</f>
        <v>0.38750000000000001</v>
      </c>
      <c r="H114" s="92"/>
      <c r="I114" s="14" t="s">
        <v>101</v>
      </c>
      <c r="J114" s="29">
        <f ca="1">H111*50%</f>
        <v>20</v>
      </c>
    </row>
    <row r="115" spans="1:10" hidden="1" x14ac:dyDescent="0.25">
      <c r="A115" s="83" t="s">
        <v>50</v>
      </c>
      <c r="B115" s="84"/>
      <c r="C115" s="57">
        <f ca="1">J122</f>
        <v>30</v>
      </c>
      <c r="D115" s="19">
        <f ca="1">((100/H111)*C115)/100</f>
        <v>0.75</v>
      </c>
      <c r="E115" s="88"/>
      <c r="F115" s="89"/>
      <c r="G115" s="88"/>
      <c r="H115" s="93"/>
      <c r="I115" s="14" t="s">
        <v>102</v>
      </c>
      <c r="J115" s="29">
        <f ca="1">H111</f>
        <v>40</v>
      </c>
    </row>
    <row r="116" spans="1:10" ht="15.75" hidden="1" customHeight="1" x14ac:dyDescent="0.25">
      <c r="A116" s="83" t="s">
        <v>130</v>
      </c>
      <c r="B116" s="84"/>
      <c r="C116" s="44">
        <v>0</v>
      </c>
      <c r="D116" s="19">
        <f ca="1">((100/(D111+F111+H111))*C116)/100</f>
        <v>0</v>
      </c>
      <c r="E116" s="88"/>
      <c r="F116" s="89"/>
      <c r="G116" s="88"/>
      <c r="H116" s="93"/>
      <c r="I116" s="14" t="s">
        <v>103</v>
      </c>
      <c r="J116" s="30">
        <f ca="1">(IF(B111&gt;1,(H111/(B111+2)),H111/4))</f>
        <v>10</v>
      </c>
    </row>
    <row r="117" spans="1:10" ht="15.75" hidden="1" customHeight="1" x14ac:dyDescent="0.25">
      <c r="A117" s="83" t="s">
        <v>137</v>
      </c>
      <c r="B117" s="84" t="s">
        <v>131</v>
      </c>
      <c r="C117" s="44">
        <v>0</v>
      </c>
      <c r="D117" s="19">
        <f ca="1">((100/H111)*C117)/100</f>
        <v>0</v>
      </c>
      <c r="E117" s="88"/>
      <c r="F117" s="89"/>
      <c r="G117" s="88"/>
      <c r="H117" s="93"/>
      <c r="I117" s="14" t="s">
        <v>104</v>
      </c>
      <c r="J117" s="30">
        <f ca="1">(IF(B111&gt;1,(H111/(B111+2)+J116),H111/4+J116))</f>
        <v>20</v>
      </c>
    </row>
    <row r="118" spans="1:10" ht="15.75" hidden="1" customHeight="1" x14ac:dyDescent="0.25">
      <c r="A118" s="83" t="s">
        <v>138</v>
      </c>
      <c r="B118" s="84" t="s">
        <v>131</v>
      </c>
      <c r="C118" s="44">
        <v>0</v>
      </c>
      <c r="D118" s="19">
        <f ca="1">((100/H111)*C118)/100</f>
        <v>0</v>
      </c>
      <c r="E118" s="88"/>
      <c r="F118" s="89"/>
      <c r="G118" s="88"/>
      <c r="H118" s="93"/>
      <c r="I118" s="14" t="s">
        <v>147</v>
      </c>
      <c r="J118" s="30">
        <f>(IF(B111&gt;1,(H111/(B111+2)+J117),0))</f>
        <v>0</v>
      </c>
    </row>
    <row r="119" spans="1:10" ht="15" hidden="1" customHeight="1" x14ac:dyDescent="0.25">
      <c r="A119" s="83" t="s">
        <v>136</v>
      </c>
      <c r="B119" s="84" t="s">
        <v>133</v>
      </c>
      <c r="C119" s="44">
        <v>0</v>
      </c>
      <c r="D119" s="19">
        <f ca="1">((100/(H111))*C119)/100</f>
        <v>0</v>
      </c>
      <c r="E119" s="88"/>
      <c r="F119" s="89"/>
      <c r="G119" s="88"/>
      <c r="H119" s="93"/>
      <c r="I119" s="14" t="s">
        <v>144</v>
      </c>
      <c r="J119" s="30">
        <f>(IF(B111&gt;2,(H111/(B111+2)+J118),0))</f>
        <v>0</v>
      </c>
    </row>
    <row r="120" spans="1:10" ht="15.75" hidden="1" customHeight="1" x14ac:dyDescent="0.25">
      <c r="A120" s="83" t="s">
        <v>132</v>
      </c>
      <c r="B120" s="84" t="s">
        <v>132</v>
      </c>
      <c r="C120" s="44">
        <v>0</v>
      </c>
      <c r="D120" s="19">
        <f ca="1">((100/H111)*C120)/100</f>
        <v>0</v>
      </c>
      <c r="E120" s="88"/>
      <c r="F120" s="89"/>
      <c r="G120" s="88"/>
      <c r="H120" s="93"/>
      <c r="I120" s="14" t="s">
        <v>145</v>
      </c>
      <c r="J120" s="31">
        <f>(IF(B111&gt;3,(H111/(B111+2)+J119),0))</f>
        <v>0</v>
      </c>
    </row>
    <row r="121" spans="1:10" ht="15.75" hidden="1" customHeight="1" x14ac:dyDescent="0.25">
      <c r="A121" s="83" t="s">
        <v>139</v>
      </c>
      <c r="B121" s="84"/>
      <c r="C121" s="44">
        <v>0</v>
      </c>
      <c r="D121" s="19">
        <f ca="1">((100/H111)*C121)/100</f>
        <v>0</v>
      </c>
      <c r="E121" s="88"/>
      <c r="F121" s="89"/>
      <c r="G121" s="88"/>
      <c r="H121" s="93"/>
      <c r="I121" s="14" t="s">
        <v>146</v>
      </c>
      <c r="J121" s="30">
        <f>(IF(B111&gt;4,(H111/(B111+2)+J120),0))</f>
        <v>0</v>
      </c>
    </row>
    <row r="122" spans="1:10" ht="15.75" hidden="1" customHeight="1" x14ac:dyDescent="0.25">
      <c r="A122" s="83" t="s">
        <v>134</v>
      </c>
      <c r="B122" s="84" t="s">
        <v>134</v>
      </c>
      <c r="C122" s="44">
        <v>0</v>
      </c>
      <c r="D122" s="19">
        <f ca="1">((100/(H111))*C122)/100</f>
        <v>0</v>
      </c>
      <c r="E122" s="88"/>
      <c r="F122" s="89"/>
      <c r="G122" s="88"/>
      <c r="H122" s="93"/>
      <c r="I122" s="14" t="s">
        <v>148</v>
      </c>
      <c r="J122" s="30">
        <f ca="1">(IF(B111=1,(H111/(B111+3)+J117),IF(B111=0,(H111/4+J117),IF(B111&gt;1,0))))</f>
        <v>30</v>
      </c>
    </row>
    <row r="123" spans="1:10" ht="16.5" hidden="1" thickBot="1" x14ac:dyDescent="0.3">
      <c r="A123" s="120" t="s">
        <v>135</v>
      </c>
      <c r="B123" s="121"/>
      <c r="C123" s="45">
        <v>0</v>
      </c>
      <c r="D123" s="20">
        <f ca="1">((100/(H111))*C123)/100</f>
        <v>0</v>
      </c>
      <c r="E123" s="90"/>
      <c r="F123" s="91"/>
      <c r="G123" s="90"/>
      <c r="H123" s="94"/>
      <c r="I123" s="15" t="s">
        <v>105</v>
      </c>
      <c r="J123" s="32">
        <f ca="1">(IF(B111&gt;1.5,(H111/(B111+2)+J117+MAX(0,J118-J117)+MAX(0,J119-J118)+MAX(0,J120-J119)+MAX(0,J121-J120)+MAX(0,J122-J121)),IF(B111=1,(H111/(B111+3)+J122),IF(B111=0,H111/4+J122))))</f>
        <v>40</v>
      </c>
    </row>
    <row r="124" spans="1:10" ht="15.75" customHeight="1" x14ac:dyDescent="0.25">
      <c r="A124" s="74" t="s">
        <v>141</v>
      </c>
      <c r="B124" s="75"/>
      <c r="C124" s="76" t="s">
        <v>287</v>
      </c>
      <c r="D124" s="77"/>
      <c r="E124" s="77"/>
      <c r="F124" s="77"/>
      <c r="G124" s="77"/>
      <c r="H124" s="78"/>
      <c r="I124" s="48" t="str">
        <f ca="1">IF(D137=100%,"All work Completed. Possession granted to the Building.",IF(D136=100%,"All work Completed, Waiting for OC",I125&amp;""&amp;I126&amp;""&amp;J125&amp;""&amp;J124&amp;" "&amp;J126))</f>
        <v>Excavation, Plinth Completed, RCC upto 13 Slab, Brickwork upto 6 Floor, Internal Plaster upto 3.9 Floor, External Plaster upto 3.6 Floor Completed</v>
      </c>
      <c r="J124" s="49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RCC upto 13 Slab, Brickwork upto 6 Floor, Internal Plaster upto 3.9 Floor, External Plaster upto 3.6 Floor</v>
      </c>
    </row>
    <row r="125" spans="1:10" x14ac:dyDescent="0.25">
      <c r="A125" s="16" t="s">
        <v>143</v>
      </c>
      <c r="B125" s="53">
        <v>1</v>
      </c>
      <c r="C125" s="53" t="s">
        <v>72</v>
      </c>
      <c r="D125" s="53">
        <v>1</v>
      </c>
      <c r="E125" s="53" t="s">
        <v>71</v>
      </c>
      <c r="F125" s="53">
        <v>0</v>
      </c>
      <c r="G125" s="53" t="s">
        <v>80</v>
      </c>
      <c r="H125" s="17">
        <f ca="1">--TRIM(RIGHT(SUBSTITUTE(LEFT(C124,_xlfn.AGGREGATE(16,6,FIND({0,1,2,3,4,5,6,7,8,9},C124,ROW(INDIRECT("1:"&amp;LEN(C124)))),1))," ",REPT(" ",LEN(C124))),LEN(C124)))</f>
        <v>40</v>
      </c>
      <c r="I125" s="50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</v>
      </c>
      <c r="J125" s="51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 ht="34.5" customHeight="1" x14ac:dyDescent="0.25">
      <c r="A126" s="79" t="s">
        <v>90</v>
      </c>
      <c r="B126" s="80"/>
      <c r="C126" s="81" t="str">
        <f ca="1">(IF($G$52="NA",I124,"All work Completed. OC Received."))</f>
        <v>Excavation, Plinth Completed, RCC upto 13 Slab, Brickwork upto 6 Floor, Internal Plaster upto 3.9 Floor, External Plaster upto 3.6 Floor Completed</v>
      </c>
      <c r="D126" s="81"/>
      <c r="E126" s="81"/>
      <c r="F126" s="81"/>
      <c r="G126" s="81"/>
      <c r="H126" s="82"/>
      <c r="I126" s="50" t="str">
        <f ca="1">IF(I125&lt;&gt;""," Completed","")</f>
        <v xml:space="preserve"> Completed</v>
      </c>
      <c r="J126" s="51" t="str">
        <f ca="1">IF(J124&lt;&gt;"","Completed","")</f>
        <v>Completed</v>
      </c>
    </row>
    <row r="127" spans="1:10" ht="15.75" customHeight="1" x14ac:dyDescent="0.25">
      <c r="A127" s="83" t="s">
        <v>49</v>
      </c>
      <c r="B127" s="84"/>
      <c r="C127" s="44" t="s">
        <v>140</v>
      </c>
      <c r="D127" s="44" t="s">
        <v>83</v>
      </c>
      <c r="E127" s="84" t="s">
        <v>85</v>
      </c>
      <c r="F127" s="84"/>
      <c r="G127" s="84" t="s">
        <v>84</v>
      </c>
      <c r="H127" s="85"/>
      <c r="I127" s="14" t="s">
        <v>142</v>
      </c>
      <c r="J127" s="28">
        <f ca="1">H125*25%</f>
        <v>10</v>
      </c>
    </row>
    <row r="128" spans="1:10" x14ac:dyDescent="0.25">
      <c r="A128" s="83" t="s">
        <v>129</v>
      </c>
      <c r="B128" s="84"/>
      <c r="C128" s="44">
        <v>40</v>
      </c>
      <c r="D128" s="19">
        <f ca="1">((100/H125)*C128)/100</f>
        <v>1</v>
      </c>
      <c r="E128" s="86">
        <f ca="1">(((C129/H125*10)+(40/(D125+F125+H125)*C130)+(7.5/(H125)*C131)+(7.5/(H125)*C132)+(10/H125*C133)+(10/H125*C134)+(5/H125*C135)+(5/H125*C136)+(5/H125*C137))/100)</f>
        <v>0.2543917682926829</v>
      </c>
      <c r="F128" s="87"/>
      <c r="G128" s="86">
        <f ca="1">((((C128/H125)*20)+((C129/H125)*25)+(30/(H125+F125+D125)*C130)+(5/H125*C131)+(5/H125*C132)+(5/H125*C133)+(5/H125*C134)+(0/H125*C135)+(0/H125*C136)+(5/H125*C137))/100)</f>
        <v>0.56199695121951221</v>
      </c>
      <c r="H128" s="92"/>
      <c r="I128" s="14" t="s">
        <v>101</v>
      </c>
      <c r="J128" s="29">
        <f ca="1">H125*50%</f>
        <v>20</v>
      </c>
    </row>
    <row r="129" spans="1:10" x14ac:dyDescent="0.25">
      <c r="A129" s="83" t="s">
        <v>50</v>
      </c>
      <c r="B129" s="84"/>
      <c r="C129" s="57">
        <f ca="1">J137</f>
        <v>40</v>
      </c>
      <c r="D129" s="19">
        <f ca="1">((100/H125)*C129)/100</f>
        <v>1</v>
      </c>
      <c r="E129" s="88"/>
      <c r="F129" s="89"/>
      <c r="G129" s="88"/>
      <c r="H129" s="93"/>
      <c r="I129" s="14" t="s">
        <v>102</v>
      </c>
      <c r="J129" s="29">
        <f ca="1">H125</f>
        <v>40</v>
      </c>
    </row>
    <row r="130" spans="1:10" ht="15.75" customHeight="1" x14ac:dyDescent="0.25">
      <c r="A130" s="83" t="s">
        <v>130</v>
      </c>
      <c r="B130" s="84"/>
      <c r="C130" s="44">
        <v>13</v>
      </c>
      <c r="D130" s="19">
        <f ca="1">((100/(D125+F125+H125))*C130)/100</f>
        <v>0.31707317073170732</v>
      </c>
      <c r="E130" s="88"/>
      <c r="F130" s="89"/>
      <c r="G130" s="88"/>
      <c r="H130" s="93"/>
      <c r="I130" s="14" t="s">
        <v>103</v>
      </c>
      <c r="J130" s="30">
        <f ca="1">(IF(B125&gt;1,(H125/(B125+2)),H125/4))</f>
        <v>10</v>
      </c>
    </row>
    <row r="131" spans="1:10" ht="15.75" customHeight="1" x14ac:dyDescent="0.25">
      <c r="A131" s="83" t="s">
        <v>137</v>
      </c>
      <c r="B131" s="84" t="s">
        <v>131</v>
      </c>
      <c r="C131" s="44">
        <v>6</v>
      </c>
      <c r="D131" s="19">
        <f ca="1">((100/H125)*C131)/100</f>
        <v>0.15</v>
      </c>
      <c r="E131" s="88"/>
      <c r="F131" s="89"/>
      <c r="G131" s="88"/>
      <c r="H131" s="93"/>
      <c r="I131" s="14" t="s">
        <v>104</v>
      </c>
      <c r="J131" s="30">
        <f ca="1">(IF(B125&gt;1,(H125/(B125+2)+J130),H125/4+J130))</f>
        <v>20</v>
      </c>
    </row>
    <row r="132" spans="1:10" ht="15.75" customHeight="1" x14ac:dyDescent="0.25">
      <c r="A132" s="83" t="s">
        <v>138</v>
      </c>
      <c r="B132" s="84" t="s">
        <v>131</v>
      </c>
      <c r="C132" s="57">
        <f>C131*0.65</f>
        <v>3.9000000000000004</v>
      </c>
      <c r="D132" s="19">
        <f ca="1">((100/H125)*C132)/100</f>
        <v>9.7500000000000003E-2</v>
      </c>
      <c r="E132" s="88"/>
      <c r="F132" s="89"/>
      <c r="G132" s="88"/>
      <c r="H132" s="93"/>
      <c r="I132" s="14" t="s">
        <v>147</v>
      </c>
      <c r="J132" s="30">
        <f>(IF(B125&gt;1,(H125/(B125+2)+J131),0))</f>
        <v>0</v>
      </c>
    </row>
    <row r="133" spans="1:10" ht="15" customHeight="1" x14ac:dyDescent="0.25">
      <c r="A133" s="83" t="s">
        <v>136</v>
      </c>
      <c r="B133" s="84" t="s">
        <v>133</v>
      </c>
      <c r="C133" s="57">
        <f>C131*0.6</f>
        <v>3.5999999999999996</v>
      </c>
      <c r="D133" s="19">
        <f ca="1">((100/(H125))*C133)/100</f>
        <v>0.09</v>
      </c>
      <c r="E133" s="88"/>
      <c r="F133" s="89"/>
      <c r="G133" s="88"/>
      <c r="H133" s="93"/>
      <c r="I133" s="14" t="s">
        <v>144</v>
      </c>
      <c r="J133" s="30">
        <f>(IF(B125&gt;2,(H125/(B125+2)+J132),0))</f>
        <v>0</v>
      </c>
    </row>
    <row r="134" spans="1:10" ht="15.75" customHeight="1" x14ac:dyDescent="0.25">
      <c r="A134" s="83" t="s">
        <v>132</v>
      </c>
      <c r="B134" s="84" t="s">
        <v>132</v>
      </c>
      <c r="C134" s="44">
        <v>0</v>
      </c>
      <c r="D134" s="19">
        <f ca="1">((100/H125)*C134)/100</f>
        <v>0</v>
      </c>
      <c r="E134" s="88"/>
      <c r="F134" s="89"/>
      <c r="G134" s="88"/>
      <c r="H134" s="93"/>
      <c r="I134" s="14" t="s">
        <v>145</v>
      </c>
      <c r="J134" s="31">
        <f>(IF(B125&gt;3,(H125/(B125+2)+J133),0))</f>
        <v>0</v>
      </c>
    </row>
    <row r="135" spans="1:10" ht="15.75" customHeight="1" x14ac:dyDescent="0.25">
      <c r="A135" s="83" t="s">
        <v>139</v>
      </c>
      <c r="B135" s="84"/>
      <c r="C135" s="44">
        <v>0</v>
      </c>
      <c r="D135" s="19">
        <f ca="1">((100/H125)*C135)/100</f>
        <v>0</v>
      </c>
      <c r="E135" s="88"/>
      <c r="F135" s="89"/>
      <c r="G135" s="88"/>
      <c r="H135" s="93"/>
      <c r="I135" s="14" t="s">
        <v>146</v>
      </c>
      <c r="J135" s="30">
        <f>(IF(B125&gt;4,(H125/(B125+2)+J134),0))</f>
        <v>0</v>
      </c>
    </row>
    <row r="136" spans="1:10" ht="15.75" customHeight="1" x14ac:dyDescent="0.25">
      <c r="A136" s="83" t="s">
        <v>134</v>
      </c>
      <c r="B136" s="84" t="s">
        <v>134</v>
      </c>
      <c r="C136" s="44">
        <v>0</v>
      </c>
      <c r="D136" s="19">
        <f ca="1">((100/(H125))*C136)/100</f>
        <v>0</v>
      </c>
      <c r="E136" s="88"/>
      <c r="F136" s="89"/>
      <c r="G136" s="88"/>
      <c r="H136" s="93"/>
      <c r="I136" s="14" t="s">
        <v>148</v>
      </c>
      <c r="J136" s="30">
        <f ca="1">(IF(B125=1,(H125/(B125+3)+J131),IF(B125=0,(H125/4+J131),IF(B125&gt;1,0))))</f>
        <v>30</v>
      </c>
    </row>
    <row r="137" spans="1:10" ht="16.5" thickBot="1" x14ac:dyDescent="0.3">
      <c r="A137" s="120" t="s">
        <v>135</v>
      </c>
      <c r="B137" s="121"/>
      <c r="C137" s="45">
        <v>0</v>
      </c>
      <c r="D137" s="20">
        <f ca="1">((100/(H125))*C137)/100</f>
        <v>0</v>
      </c>
      <c r="E137" s="90"/>
      <c r="F137" s="91"/>
      <c r="G137" s="90"/>
      <c r="H137" s="94"/>
      <c r="I137" s="15" t="s">
        <v>105</v>
      </c>
      <c r="J137" s="32">
        <f ca="1">(IF(B125&gt;1.5,(H125/(B125+2)+J131+MAX(0,J132-J131)+MAX(0,J133-J132)+MAX(0,J134-J133)+MAX(0,J135-J134)+MAX(0,J136-J135)),IF(B125=1,(H125/(B125+3)+J136),IF(B125=0,H125/4+J136))))</f>
        <v>40</v>
      </c>
    </row>
    <row r="138" spans="1:10" ht="15.75" customHeight="1" x14ac:dyDescent="0.25">
      <c r="A138" s="74" t="s">
        <v>141</v>
      </c>
      <c r="B138" s="75"/>
      <c r="C138" s="76" t="s">
        <v>286</v>
      </c>
      <c r="D138" s="77"/>
      <c r="E138" s="77"/>
      <c r="F138" s="77"/>
      <c r="G138" s="77"/>
      <c r="H138" s="78"/>
      <c r="I138" s="48" t="str">
        <f ca="1">IF(D151=100%,"All work Completed. Possession granted to the Building.",IF(D150=100%,"All work Completed, Waiting for OC",I139&amp;""&amp;I140&amp;""&amp;J139&amp;""&amp;J138&amp;" "&amp;J140))</f>
        <v>Excavation, Plinth Completed, RCC upto 20 Slab, Brickwork upto 8 Floor, Internal Plaster upto 6 Floor, External Plaster upto 5.2 Floor Completed</v>
      </c>
      <c r="J138" s="49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RCC upto 20 Slab, Brickwork upto 8 Floor, Internal Plaster upto 6 Floor, External Plaster upto 5.2 Floor</v>
      </c>
    </row>
    <row r="139" spans="1:10" x14ac:dyDescent="0.25">
      <c r="A139" s="16" t="s">
        <v>143</v>
      </c>
      <c r="B139" s="53">
        <v>1</v>
      </c>
      <c r="C139" s="53" t="s">
        <v>72</v>
      </c>
      <c r="D139" s="53">
        <v>1</v>
      </c>
      <c r="E139" s="53" t="s">
        <v>71</v>
      </c>
      <c r="F139" s="53">
        <v>0</v>
      </c>
      <c r="G139" s="53" t="s">
        <v>80</v>
      </c>
      <c r="H139" s="17">
        <f ca="1">--TRIM(RIGHT(SUBSTITUTE(LEFT(C138,_xlfn.AGGREGATE(16,6,FIND({0,1,2,3,4,5,6,7,8,9},C138,ROW(INDIRECT("1:"&amp;LEN(C138)))),1))," ",REPT(" ",LEN(C138))),LEN(C138)))</f>
        <v>40</v>
      </c>
      <c r="I139" s="50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51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ht="34.5" customHeight="1" x14ac:dyDescent="0.25">
      <c r="A140" s="79" t="s">
        <v>90</v>
      </c>
      <c r="B140" s="80"/>
      <c r="C140" s="81" t="str">
        <f ca="1">(IF($G$52="NA",I138,"All work Completed. OC Received."))</f>
        <v>Excavation, Plinth Completed, RCC upto 20 Slab, Brickwork upto 8 Floor, Internal Plaster upto 6 Floor, External Plaster upto 5.2 Floor Completed</v>
      </c>
      <c r="D140" s="81"/>
      <c r="E140" s="81"/>
      <c r="F140" s="81"/>
      <c r="G140" s="81"/>
      <c r="H140" s="82"/>
      <c r="I140" s="50" t="str">
        <f ca="1">IF(I139&lt;&gt;""," Completed","")</f>
        <v xml:space="preserve"> Completed</v>
      </c>
      <c r="J140" s="51" t="str">
        <f ca="1">IF(J138&lt;&gt;"","Completed","")</f>
        <v>Completed</v>
      </c>
    </row>
    <row r="141" spans="1:10" ht="15.75" customHeight="1" x14ac:dyDescent="0.25">
      <c r="A141" s="83" t="s">
        <v>49</v>
      </c>
      <c r="B141" s="84"/>
      <c r="C141" s="44" t="s">
        <v>140</v>
      </c>
      <c r="D141" s="44" t="s">
        <v>83</v>
      </c>
      <c r="E141" s="84" t="s">
        <v>85</v>
      </c>
      <c r="F141" s="84"/>
      <c r="G141" s="84" t="s">
        <v>84</v>
      </c>
      <c r="H141" s="85"/>
      <c r="I141" s="14" t="s">
        <v>142</v>
      </c>
      <c r="J141" s="28">
        <f ca="1">H139*25%</f>
        <v>10</v>
      </c>
    </row>
    <row r="142" spans="1:10" x14ac:dyDescent="0.25">
      <c r="A142" s="83" t="s">
        <v>129</v>
      </c>
      <c r="B142" s="84"/>
      <c r="C142" s="44">
        <v>40</v>
      </c>
      <c r="D142" s="19">
        <f ca="1">((100/H139)*C142)/100</f>
        <v>1</v>
      </c>
      <c r="E142" s="86">
        <f ca="1">(((C143/H139*10)+(40/(D139+F139+H139)*C144)+(7.5/(H139)*C145)+(7.5/(H139)*C146)+(10/H139*C147)+(10/H139*C148)+(5/H139*C149)+(5/H139*C150)+(5/H139*C151))/100)</f>
        <v>0.33437195121951219</v>
      </c>
      <c r="F142" s="87"/>
      <c r="G142" s="86">
        <f ca="1">((((C142/H139)*20)+((C143/H139)*25)+(30/(H139+F139+D139)*C144)+(5/H139*C145)+(5/H139*C146)+(5/H139*C147)+(5/H139*C148)+(0/H139*C149)+(0/H139*C150)+(5/H139*C151))/100)</f>
        <v>0.62034146341463414</v>
      </c>
      <c r="H142" s="92"/>
      <c r="I142" s="14" t="s">
        <v>101</v>
      </c>
      <c r="J142" s="29">
        <f ca="1">H139*50%</f>
        <v>20</v>
      </c>
    </row>
    <row r="143" spans="1:10" x14ac:dyDescent="0.25">
      <c r="A143" s="83" t="s">
        <v>50</v>
      </c>
      <c r="B143" s="84"/>
      <c r="C143" s="57">
        <f ca="1">J151</f>
        <v>40</v>
      </c>
      <c r="D143" s="19">
        <f ca="1">((100/H139)*C143)/100</f>
        <v>1</v>
      </c>
      <c r="E143" s="88"/>
      <c r="F143" s="89"/>
      <c r="G143" s="88"/>
      <c r="H143" s="93"/>
      <c r="I143" s="14" t="s">
        <v>102</v>
      </c>
      <c r="J143" s="29">
        <f ca="1">H139</f>
        <v>40</v>
      </c>
    </row>
    <row r="144" spans="1:10" ht="15.75" customHeight="1" x14ac:dyDescent="0.25">
      <c r="A144" s="83" t="s">
        <v>130</v>
      </c>
      <c r="B144" s="84"/>
      <c r="C144" s="44">
        <v>20</v>
      </c>
      <c r="D144" s="19">
        <f ca="1">((100/(D139+F139+H139))*C144)/100</f>
        <v>0.48780487804878048</v>
      </c>
      <c r="E144" s="88"/>
      <c r="F144" s="89"/>
      <c r="G144" s="88"/>
      <c r="H144" s="93"/>
      <c r="I144" s="14" t="s">
        <v>103</v>
      </c>
      <c r="J144" s="30">
        <f ca="1">(IF(B139&gt;1,(H139/(B139+2)),H139/4))</f>
        <v>10</v>
      </c>
    </row>
    <row r="145" spans="1:13" ht="15.75" customHeight="1" x14ac:dyDescent="0.25">
      <c r="A145" s="83" t="s">
        <v>137</v>
      </c>
      <c r="B145" s="84" t="s">
        <v>131</v>
      </c>
      <c r="C145" s="44">
        <f>C144-D139-11</f>
        <v>8</v>
      </c>
      <c r="D145" s="19">
        <f ca="1">((100/H139)*C145)/100</f>
        <v>0.2</v>
      </c>
      <c r="E145" s="88"/>
      <c r="F145" s="89"/>
      <c r="G145" s="88"/>
      <c r="H145" s="93"/>
      <c r="I145" s="14" t="s">
        <v>104</v>
      </c>
      <c r="J145" s="30">
        <f ca="1">(IF(B139&gt;1,(H139/(B139+2)+J144),H139/4+J144))</f>
        <v>20</v>
      </c>
    </row>
    <row r="146" spans="1:13" ht="15.75" customHeight="1" x14ac:dyDescent="0.25">
      <c r="A146" s="83" t="s">
        <v>138</v>
      </c>
      <c r="B146" s="84" t="s">
        <v>131</v>
      </c>
      <c r="C146" s="44">
        <f>C145*0.75</f>
        <v>6</v>
      </c>
      <c r="D146" s="19">
        <f ca="1">((100/H139)*C146)/100</f>
        <v>0.15</v>
      </c>
      <c r="E146" s="88"/>
      <c r="F146" s="89"/>
      <c r="G146" s="88"/>
      <c r="H146" s="93"/>
      <c r="I146" s="14" t="s">
        <v>147</v>
      </c>
      <c r="J146" s="30">
        <f>(IF(B139&gt;1,(H139/(B139+2)+J145),0))</f>
        <v>0</v>
      </c>
    </row>
    <row r="147" spans="1:13" ht="15" customHeight="1" x14ac:dyDescent="0.25">
      <c r="A147" s="83" t="s">
        <v>136</v>
      </c>
      <c r="B147" s="84" t="s">
        <v>133</v>
      </c>
      <c r="C147" s="57">
        <f>C145*0.65</f>
        <v>5.2</v>
      </c>
      <c r="D147" s="19">
        <f ca="1">((100/(H139))*C147)/100</f>
        <v>0.13</v>
      </c>
      <c r="E147" s="88"/>
      <c r="F147" s="89"/>
      <c r="G147" s="88"/>
      <c r="H147" s="93"/>
      <c r="I147" s="14" t="s">
        <v>144</v>
      </c>
      <c r="J147" s="30">
        <f>(IF(B139&gt;2,(H139/(B139+2)+J146),0))</f>
        <v>0</v>
      </c>
    </row>
    <row r="148" spans="1:13" ht="15.75" customHeight="1" x14ac:dyDescent="0.25">
      <c r="A148" s="83" t="s">
        <v>132</v>
      </c>
      <c r="B148" s="84" t="s">
        <v>132</v>
      </c>
      <c r="C148" s="44">
        <v>0</v>
      </c>
      <c r="D148" s="19">
        <f ca="1">((100/H139)*C148)/100</f>
        <v>0</v>
      </c>
      <c r="E148" s="88"/>
      <c r="F148" s="89"/>
      <c r="G148" s="88"/>
      <c r="H148" s="93"/>
      <c r="I148" s="14" t="s">
        <v>145</v>
      </c>
      <c r="J148" s="31">
        <f>(IF(B139&gt;3,(H139/(B139+2)+J147),0))</f>
        <v>0</v>
      </c>
    </row>
    <row r="149" spans="1:13" ht="15.75" customHeight="1" x14ac:dyDescent="0.25">
      <c r="A149" s="83" t="s">
        <v>139</v>
      </c>
      <c r="B149" s="84"/>
      <c r="C149" s="44">
        <v>0</v>
      </c>
      <c r="D149" s="19">
        <f ca="1">((100/H139)*C149)/100</f>
        <v>0</v>
      </c>
      <c r="E149" s="88"/>
      <c r="F149" s="89"/>
      <c r="G149" s="88"/>
      <c r="H149" s="93"/>
      <c r="I149" s="14" t="s">
        <v>146</v>
      </c>
      <c r="J149" s="30">
        <f>(IF(B139&gt;4,(H139/(B139+2)+J148),0))</f>
        <v>0</v>
      </c>
    </row>
    <row r="150" spans="1:13" ht="15.75" customHeight="1" x14ac:dyDescent="0.25">
      <c r="A150" s="83" t="s">
        <v>134</v>
      </c>
      <c r="B150" s="84" t="s">
        <v>134</v>
      </c>
      <c r="C150" s="44">
        <v>0</v>
      </c>
      <c r="D150" s="19">
        <f ca="1">((100/(H139))*C150)/100</f>
        <v>0</v>
      </c>
      <c r="E150" s="88"/>
      <c r="F150" s="89"/>
      <c r="G150" s="88"/>
      <c r="H150" s="93"/>
      <c r="I150" s="14" t="s">
        <v>148</v>
      </c>
      <c r="J150" s="30">
        <f ca="1">(IF(B139=1,(H139/(B139+3)+J145),IF(B139=0,(H139/4+J145),IF(B139&gt;1,0))))</f>
        <v>30</v>
      </c>
    </row>
    <row r="151" spans="1:13" ht="16.5" thickBot="1" x14ac:dyDescent="0.3">
      <c r="A151" s="120" t="s">
        <v>135</v>
      </c>
      <c r="B151" s="121"/>
      <c r="C151" s="45">
        <v>0</v>
      </c>
      <c r="D151" s="20">
        <f ca="1">((100/(H139))*C151)/100</f>
        <v>0</v>
      </c>
      <c r="E151" s="90"/>
      <c r="F151" s="91"/>
      <c r="G151" s="90"/>
      <c r="H151" s="94"/>
      <c r="I151" s="15" t="s">
        <v>105</v>
      </c>
      <c r="J151" s="32">
        <f ca="1">(IF(B139&gt;1.5,(H139/(B139+2)+J145+MAX(0,J146-J145)+MAX(0,J147-J146)+MAX(0,J148-J147)+MAX(0,J149-J148)+MAX(0,J150-J149)),IF(B139=1,(H139/(B139+3)+J150),IF(B139=0,H139/4+J150))))</f>
        <v>40</v>
      </c>
    </row>
    <row r="152" spans="1:13" x14ac:dyDescent="0.25">
      <c r="A152" s="123" t="s">
        <v>158</v>
      </c>
      <c r="B152" s="123"/>
      <c r="C152" s="123"/>
      <c r="D152" s="123"/>
      <c r="E152" s="123"/>
      <c r="F152" s="184" t="s">
        <v>162</v>
      </c>
      <c r="G152" s="184"/>
      <c r="H152" s="184"/>
    </row>
    <row r="153" spans="1:13" x14ac:dyDescent="0.25">
      <c r="A153" s="108" t="s">
        <v>161</v>
      </c>
      <c r="B153" s="108"/>
      <c r="C153" s="108"/>
      <c r="D153" s="108"/>
      <c r="E153" s="108"/>
      <c r="F153" s="119">
        <v>19500</v>
      </c>
      <c r="G153" s="119"/>
      <c r="H153" s="119"/>
      <c r="I153" s="55" t="s">
        <v>242</v>
      </c>
      <c r="J153" s="55"/>
      <c r="K153" s="55" t="s">
        <v>243</v>
      </c>
      <c r="L153" s="56">
        <v>45070</v>
      </c>
      <c r="M153" s="55" t="s">
        <v>244</v>
      </c>
    </row>
    <row r="154" spans="1:13" x14ac:dyDescent="0.25">
      <c r="A154" s="108" t="s">
        <v>160</v>
      </c>
      <c r="B154" s="108"/>
      <c r="C154" s="108"/>
      <c r="D154" s="108"/>
      <c r="E154" s="108"/>
      <c r="F154" s="119">
        <v>42000</v>
      </c>
      <c r="G154" s="119"/>
      <c r="H154" s="119"/>
    </row>
    <row r="155" spans="1:13" s="33" customFormat="1" hidden="1" x14ac:dyDescent="0.25">
      <c r="A155" s="108" t="s">
        <v>159</v>
      </c>
      <c r="B155" s="108"/>
      <c r="C155" s="108"/>
      <c r="D155" s="108"/>
      <c r="E155" s="108"/>
      <c r="F155" s="119"/>
      <c r="G155" s="119"/>
      <c r="H155" s="119"/>
    </row>
    <row r="156" spans="1:13" s="33" customFormat="1" x14ac:dyDescent="0.25">
      <c r="A156" s="108" t="s">
        <v>95</v>
      </c>
      <c r="B156" s="108"/>
      <c r="C156" s="108"/>
      <c r="D156" s="108"/>
      <c r="E156" s="108"/>
      <c r="F156" s="119">
        <v>200000</v>
      </c>
      <c r="G156" s="119"/>
      <c r="H156" s="119"/>
    </row>
    <row r="157" spans="1:13" s="33" customFormat="1" x14ac:dyDescent="0.25">
      <c r="A157" s="106" t="s">
        <v>96</v>
      </c>
      <c r="B157" s="106"/>
      <c r="C157" s="106"/>
      <c r="D157" s="106"/>
      <c r="E157" s="106"/>
      <c r="F157" s="119">
        <v>350000</v>
      </c>
      <c r="G157" s="119"/>
      <c r="H157" s="119"/>
    </row>
    <row r="158" spans="1:13" s="33" customFormat="1" hidden="1" x14ac:dyDescent="0.25">
      <c r="A158" s="106" t="s">
        <v>163</v>
      </c>
      <c r="B158" s="106"/>
      <c r="C158" s="106"/>
      <c r="D158" s="106"/>
      <c r="E158" s="106"/>
      <c r="F158" s="119">
        <v>25000</v>
      </c>
      <c r="G158" s="119"/>
      <c r="H158" s="119"/>
    </row>
    <row r="159" spans="1:13" s="33" customFormat="1" hidden="1" x14ac:dyDescent="0.25">
      <c r="A159" s="106" t="s">
        <v>97</v>
      </c>
      <c r="B159" s="106"/>
      <c r="C159" s="106"/>
      <c r="D159" s="106"/>
      <c r="E159" s="106"/>
      <c r="F159" s="119"/>
      <c r="G159" s="119"/>
      <c r="H159" s="119"/>
    </row>
    <row r="160" spans="1:13" s="33" customFormat="1" x14ac:dyDescent="0.25">
      <c r="A160" s="106" t="s">
        <v>98</v>
      </c>
      <c r="B160" s="106"/>
      <c r="C160" s="106"/>
      <c r="D160" s="106"/>
      <c r="E160" s="106"/>
      <c r="F160" s="119">
        <v>75000</v>
      </c>
      <c r="G160" s="119"/>
      <c r="H160" s="119"/>
    </row>
    <row r="161" spans="1:10" s="33" customFormat="1" x14ac:dyDescent="0.25">
      <c r="A161" s="106" t="s">
        <v>99</v>
      </c>
      <c r="B161" s="106"/>
      <c r="C161" s="106"/>
      <c r="D161" s="106"/>
      <c r="E161" s="106"/>
      <c r="F161" s="119">
        <v>50000</v>
      </c>
      <c r="G161" s="119"/>
      <c r="H161" s="119"/>
    </row>
    <row r="162" spans="1:10" s="33" customFormat="1" hidden="1" x14ac:dyDescent="0.25">
      <c r="A162" s="106" t="s">
        <v>100</v>
      </c>
      <c r="B162" s="106"/>
      <c r="C162" s="106"/>
      <c r="D162" s="106"/>
      <c r="E162" s="106"/>
      <c r="F162" s="119"/>
      <c r="G162" s="119"/>
      <c r="H162" s="119"/>
    </row>
    <row r="163" spans="1:10" x14ac:dyDescent="0.25">
      <c r="A163" s="108" t="s">
        <v>51</v>
      </c>
      <c r="B163" s="108"/>
      <c r="C163" s="108"/>
      <c r="D163" s="108"/>
      <c r="E163" s="108"/>
      <c r="F163" s="119">
        <v>1000000</v>
      </c>
      <c r="G163" s="119"/>
      <c r="H163" s="119"/>
    </row>
    <row r="164" spans="1:10" s="34" customFormat="1" x14ac:dyDescent="0.25">
      <c r="A164" s="156" t="s">
        <v>52</v>
      </c>
      <c r="B164" s="156"/>
      <c r="C164" s="156"/>
      <c r="D164" s="156"/>
      <c r="E164" s="156"/>
      <c r="F164" s="119">
        <f>F153*0.8</f>
        <v>15600</v>
      </c>
      <c r="G164" s="119"/>
      <c r="H164" s="119"/>
    </row>
    <row r="165" spans="1:10" s="35" customFormat="1" ht="15.75" customHeight="1" x14ac:dyDescent="0.25">
      <c r="A165" s="126" t="s">
        <v>206</v>
      </c>
      <c r="B165" s="126"/>
      <c r="C165" s="126"/>
      <c r="D165" s="126"/>
      <c r="E165" s="126"/>
      <c r="F165" s="126"/>
      <c r="G165" s="126"/>
      <c r="H165" s="126"/>
    </row>
    <row r="166" spans="1:10" s="35" customFormat="1" ht="15.75" customHeight="1" x14ac:dyDescent="0.25">
      <c r="A166" s="122" t="s">
        <v>53</v>
      </c>
      <c r="B166" s="122"/>
      <c r="C166" s="96" t="s">
        <v>78</v>
      </c>
      <c r="D166" s="96"/>
      <c r="E166" s="124" t="s">
        <v>54</v>
      </c>
      <c r="F166" s="124"/>
      <c r="G166" s="122" t="s">
        <v>55</v>
      </c>
      <c r="H166" s="122"/>
    </row>
    <row r="167" spans="1:10" s="35" customFormat="1" x14ac:dyDescent="0.25">
      <c r="A167" s="213" t="s">
        <v>280</v>
      </c>
      <c r="B167" s="214"/>
      <c r="C167" s="139">
        <f>COUNT(D196:D208,D210:D216)</f>
        <v>20</v>
      </c>
      <c r="D167" s="140"/>
      <c r="E167" s="139">
        <f>SUM(D196:D208,D210:D216)</f>
        <v>4410.6706332000003</v>
      </c>
      <c r="F167" s="140"/>
      <c r="G167" s="139">
        <f>SUM(F196:F208,F210:F216)</f>
        <v>6836.5394814599995</v>
      </c>
      <c r="H167" s="140"/>
    </row>
    <row r="168" spans="1:10" s="35" customFormat="1" x14ac:dyDescent="0.25">
      <c r="A168" s="213" t="s">
        <v>281</v>
      </c>
      <c r="B168" s="214"/>
      <c r="C168" s="139">
        <f>COUNT(D211)</f>
        <v>1</v>
      </c>
      <c r="D168" s="140"/>
      <c r="E168" s="139">
        <f>SUM(D211)</f>
        <v>319.79843999999997</v>
      </c>
      <c r="F168" s="140"/>
      <c r="G168" s="139">
        <f>SUM(F211)</f>
        <v>495.68758199999996</v>
      </c>
      <c r="H168" s="140"/>
    </row>
    <row r="169" spans="1:10" s="35" customFormat="1" x14ac:dyDescent="0.25">
      <c r="A169" s="126" t="s">
        <v>151</v>
      </c>
      <c r="B169" s="126"/>
      <c r="C169" s="95">
        <f>SUM(C167:C168)</f>
        <v>21</v>
      </c>
      <c r="D169" s="96"/>
      <c r="E169" s="95">
        <f>SUM(E167:E168)</f>
        <v>4730.4690731999999</v>
      </c>
      <c r="F169" s="96"/>
      <c r="G169" s="95">
        <f>SUM(G167:G168)</f>
        <v>7332.227063459999</v>
      </c>
      <c r="H169" s="96"/>
    </row>
    <row r="170" spans="1:10" s="35" customFormat="1" x14ac:dyDescent="0.25">
      <c r="A170" s="126" t="s">
        <v>296</v>
      </c>
      <c r="B170" s="126"/>
      <c r="C170" s="126"/>
      <c r="D170" s="126"/>
      <c r="E170" s="126"/>
      <c r="F170" s="126"/>
      <c r="G170" s="126"/>
      <c r="H170" s="126"/>
    </row>
    <row r="171" spans="1:10" s="35" customFormat="1" ht="15.75" customHeight="1" x14ac:dyDescent="0.25">
      <c r="A171" s="122" t="s">
        <v>53</v>
      </c>
      <c r="B171" s="122"/>
      <c r="C171" s="96" t="s">
        <v>78</v>
      </c>
      <c r="D171" s="96"/>
      <c r="E171" s="124" t="s">
        <v>54</v>
      </c>
      <c r="F171" s="124"/>
      <c r="G171" s="122" t="s">
        <v>55</v>
      </c>
      <c r="H171" s="122"/>
    </row>
    <row r="172" spans="1:10" s="35" customFormat="1" x14ac:dyDescent="0.25">
      <c r="A172" s="213" t="s">
        <v>180</v>
      </c>
      <c r="B172" s="214"/>
      <c r="C172" s="139">
        <f>COUNT(F227:F231)+COUNT(F233:F237)*20+COUNT(F239,F242:F243)+COUNT(F245,F248:F249)</f>
        <v>111</v>
      </c>
      <c r="D172" s="139"/>
      <c r="E172" s="139">
        <f>SUM(F227:F231)+SUM(F233:F237)*20+SUM(F239,F242:F243)+SUM(F245,F248:F249)</f>
        <v>63938.402190000008</v>
      </c>
      <c r="F172" s="139"/>
      <c r="G172" s="139">
        <f>SUM(H227:H231)+SUM(H233:H237)*20+SUM(H239,H242:H243)+SUM(H245,H248:H249)</f>
        <v>95907.603284999976</v>
      </c>
      <c r="H172" s="139"/>
    </row>
    <row r="173" spans="1:10" s="35" customFormat="1" x14ac:dyDescent="0.25">
      <c r="A173" s="213" t="s">
        <v>193</v>
      </c>
      <c r="B173" s="214"/>
      <c r="C173" s="139">
        <f>COUNT(F252:F256)+COUNT(F258:F262)*20+COUNT(F264,F266:F268)+COUNT(F270,F273:F274)</f>
        <v>112</v>
      </c>
      <c r="D173" s="139"/>
      <c r="E173" s="139">
        <f>SUM(F252:F256)+SUM(F258:F262)*20+SUM(F264,F266:F268)+SUM(F270,F273:F274)</f>
        <v>64511.881200000003</v>
      </c>
      <c r="F173" s="139"/>
      <c r="G173" s="139">
        <f>SUM(H252:H256)+SUM(H258:H262)*20+SUM(H264,H266:H268)+SUM(H270,H273:H274)</f>
        <v>96767.821799999976</v>
      </c>
      <c r="H173" s="139"/>
      <c r="I173" s="35">
        <f>113+112+35</f>
        <v>260</v>
      </c>
      <c r="J173" s="54">
        <f>C172+C173+C174</f>
        <v>258</v>
      </c>
    </row>
    <row r="174" spans="1:10" s="35" customFormat="1" hidden="1" x14ac:dyDescent="0.25">
      <c r="A174" s="127" t="s">
        <v>199</v>
      </c>
      <c r="B174" s="42" t="s">
        <v>183</v>
      </c>
      <c r="C174" s="186">
        <f>COUNT(D591:D593)+COUNT(D596:D599)*8</f>
        <v>35</v>
      </c>
      <c r="D174" s="186"/>
      <c r="E174" s="139">
        <f>SUM(D591:D593)+SUM(D596:D599)*8</f>
        <v>17896.549319999998</v>
      </c>
      <c r="F174" s="139"/>
      <c r="G174" s="139">
        <f>SUM(F581:F584)*13+SUM(F586:F588)+SUM(F591:F593)+SUM(F596:F599)*8</f>
        <v>71421.055992000009</v>
      </c>
      <c r="H174" s="139"/>
    </row>
    <row r="175" spans="1:10" s="35" customFormat="1" hidden="1" x14ac:dyDescent="0.25">
      <c r="A175" s="128"/>
      <c r="B175" s="42" t="s">
        <v>203</v>
      </c>
      <c r="C175" s="186">
        <f>COUNT(D581:D584)*13+COUNT(D586:D588)</f>
        <v>55</v>
      </c>
      <c r="D175" s="186"/>
      <c r="E175" s="139">
        <f>SUM(D581:D584)*13+SUM(D586:D588)</f>
        <v>28181.551319999999</v>
      </c>
      <c r="F175" s="139"/>
      <c r="G175" s="139">
        <f>SUM(F581:F584)*13+SUM(F586:F588)</f>
        <v>43681.404546000005</v>
      </c>
      <c r="H175" s="139"/>
    </row>
    <row r="176" spans="1:10" s="35" customFormat="1" x14ac:dyDescent="0.25">
      <c r="A176" s="126" t="s">
        <v>151</v>
      </c>
      <c r="B176" s="126"/>
      <c r="C176" s="95">
        <f>SUM(C172:C175)</f>
        <v>313</v>
      </c>
      <c r="D176" s="96"/>
      <c r="E176" s="95">
        <f>SUM(E172:E175)</f>
        <v>174528.38403000002</v>
      </c>
      <c r="F176" s="96"/>
      <c r="G176" s="95">
        <f>SUM(G172:G175)</f>
        <v>307777.88562299992</v>
      </c>
      <c r="H176" s="96"/>
      <c r="J176" s="54">
        <f>C175+C181</f>
        <v>125</v>
      </c>
    </row>
    <row r="177" spans="1:11" s="35" customFormat="1" x14ac:dyDescent="0.25">
      <c r="A177" s="185" t="s">
        <v>219</v>
      </c>
      <c r="B177" s="185"/>
      <c r="C177" s="185"/>
      <c r="D177" s="185"/>
      <c r="E177" s="185"/>
      <c r="F177" s="185"/>
      <c r="G177" s="185"/>
      <c r="H177" s="185"/>
    </row>
    <row r="178" spans="1:11" s="35" customFormat="1" ht="15.75" customHeight="1" x14ac:dyDescent="0.25">
      <c r="A178" s="122" t="s">
        <v>53</v>
      </c>
      <c r="B178" s="122"/>
      <c r="C178" s="96" t="s">
        <v>78</v>
      </c>
      <c r="D178" s="96"/>
      <c r="E178" s="124" t="s">
        <v>54</v>
      </c>
      <c r="F178" s="124"/>
      <c r="G178" s="122" t="s">
        <v>55</v>
      </c>
      <c r="H178" s="122"/>
      <c r="I178" s="35">
        <f>24+122+164</f>
        <v>310</v>
      </c>
    </row>
    <row r="179" spans="1:11" s="35" customFormat="1" x14ac:dyDescent="0.25">
      <c r="A179" s="127" t="s">
        <v>180</v>
      </c>
      <c r="B179" s="42" t="s">
        <v>183</v>
      </c>
      <c r="C179" s="139">
        <f>COUNT(F283:F290)+COUNT(F292:F299)+COUNT(F301:F308)+COUNT(F328:F335)+COUNT(F337:F340,F344)</f>
        <v>37</v>
      </c>
      <c r="D179" s="139"/>
      <c r="E179" s="139">
        <f>SUM(F283:F290)+SUM(F292:F299)+SUM(F301:F308)+SUM(F328:F335)+SUM(F337:F340,F344)</f>
        <v>19095.901109999999</v>
      </c>
      <c r="F179" s="139"/>
      <c r="G179" s="139">
        <f>SUM(H283:H290)+SUM(H292:H299)+SUM(H301:H308)+SUM(H328:H335)+SUM(H337:H340,H344)</f>
        <v>28817.528805000002</v>
      </c>
      <c r="H179" s="139"/>
    </row>
    <row r="180" spans="1:11" s="35" customFormat="1" x14ac:dyDescent="0.25">
      <c r="A180" s="215"/>
      <c r="B180" s="42" t="s">
        <v>212</v>
      </c>
      <c r="C180" s="139">
        <f>COUNT(F343)</f>
        <v>1</v>
      </c>
      <c r="D180" s="139"/>
      <c r="E180" s="139">
        <f>SUM(F343)</f>
        <v>415.94786999999997</v>
      </c>
      <c r="F180" s="139"/>
      <c r="G180" s="139">
        <f>SUM(H343)</f>
        <v>623.92180499999995</v>
      </c>
      <c r="H180" s="139"/>
      <c r="J180" s="35" t="s">
        <v>282</v>
      </c>
      <c r="K180" s="54">
        <f>C180+C182+C185</f>
        <v>261</v>
      </c>
    </row>
    <row r="181" spans="1:11" s="35" customFormat="1" x14ac:dyDescent="0.25">
      <c r="A181" s="128"/>
      <c r="B181" s="42" t="s">
        <v>203</v>
      </c>
      <c r="C181" s="139">
        <f>COUNT(F310:F317)*8+COUNT(F319:F322,F325:F326)</f>
        <v>70</v>
      </c>
      <c r="D181" s="139"/>
      <c r="E181" s="139">
        <f>SUM(F310:F317)*8+SUM(F319:F322,F325:F326)</f>
        <v>35927.164259999998</v>
      </c>
      <c r="F181" s="139"/>
      <c r="G181" s="139">
        <f>SUM(H310:H317)*8+SUM(H319:H322,H325:H326)</f>
        <v>53890.74639</v>
      </c>
      <c r="H181" s="139"/>
      <c r="I181" s="35">
        <f>55+16</f>
        <v>71</v>
      </c>
      <c r="J181" s="35" t="s">
        <v>183</v>
      </c>
      <c r="K181" s="54">
        <f>C179+C183+C184</f>
        <v>72</v>
      </c>
    </row>
    <row r="182" spans="1:11" s="35" customFormat="1" x14ac:dyDescent="0.25">
      <c r="A182" s="127" t="s">
        <v>193</v>
      </c>
      <c r="B182" s="42" t="s">
        <v>212</v>
      </c>
      <c r="C182" s="139">
        <f>COUNT(F373:F378)*8+COUNT(F380:F383)+COUNT(F387:F392)+COUNT(F394:F397)+COUNT(F401:F406)+COUNT(F408:F413)*6+COUNT(F415:F418)</f>
        <v>108</v>
      </c>
      <c r="D182" s="139"/>
      <c r="E182" s="139">
        <f>SUM(F373:F378)*8+SUM(F380:F383)+SUM(F387:F392)+SUM(F394:F397)+SUM(F401:F406)+SUM(F408:F413)*6+SUM(F415:F418)</f>
        <v>56044.757339999982</v>
      </c>
      <c r="F182" s="139"/>
      <c r="G182" s="139">
        <f>SUM(H373:H378)*8+SUM(H380:H383)+SUM(H387:H392)+SUM(H394:H397)+SUM(H401:H406)+SUM(H408:H413)*6+SUM(H415:H418)</f>
        <v>84067.136009999987</v>
      </c>
      <c r="H182" s="139"/>
      <c r="J182" s="35" t="s">
        <v>203</v>
      </c>
      <c r="K182" s="54">
        <f>C181+C186</f>
        <v>71</v>
      </c>
    </row>
    <row r="183" spans="1:11" s="35" customFormat="1" x14ac:dyDescent="0.25">
      <c r="A183" s="128"/>
      <c r="B183" s="42" t="s">
        <v>183</v>
      </c>
      <c r="C183" s="139">
        <f>COUNT(F352:F357)+COUNT(F359:F364)+COUNT(F366:F371)</f>
        <v>18</v>
      </c>
      <c r="D183" s="139"/>
      <c r="E183" s="139">
        <f>SUM(F352:F357)+SUM(F359:F364)+SUM(F366:F371)</f>
        <v>9335.617199999997</v>
      </c>
      <c r="F183" s="139"/>
      <c r="G183" s="139">
        <f>SUM(H352:H357)+SUM(H359:H364)+SUM(H366:H371)</f>
        <v>14162.733</v>
      </c>
      <c r="H183" s="139"/>
    </row>
    <row r="184" spans="1:11" s="35" customFormat="1" x14ac:dyDescent="0.25">
      <c r="A184" s="127" t="s">
        <v>199</v>
      </c>
      <c r="B184" s="42" t="s">
        <v>183</v>
      </c>
      <c r="C184" s="139">
        <f>COUNT(F428:F432,F434:F435)+COUNT(F440:F441)+COUNT(F446:F453)</f>
        <v>17</v>
      </c>
      <c r="D184" s="139"/>
      <c r="E184" s="139">
        <f>SUM(F428:F432,F434:F435)+SUM(F440:F441)+SUM(F446:F453)</f>
        <v>9021.5505899999989</v>
      </c>
      <c r="F184" s="139"/>
      <c r="G184" s="139">
        <f>SUM(H428:H432,H434:H435)+SUM(H440:H441)+SUM(H446:H453)</f>
        <v>13684.152105000001</v>
      </c>
      <c r="H184" s="139"/>
    </row>
    <row r="185" spans="1:11" s="35" customFormat="1" x14ac:dyDescent="0.25">
      <c r="A185" s="215"/>
      <c r="B185" s="42" t="s">
        <v>212</v>
      </c>
      <c r="C185" s="139">
        <f>COUNT(F437:F439,F442:F444)+COUNT(F455:F462)*8+COUNT(F464:F469)+COUNT(F473:F480)+COUNT(F482:F487)+COUNT(F491:F498)+COUNT(F500:F507)*6+COUNT(F509:F514)</f>
        <v>152</v>
      </c>
      <c r="D185" s="139"/>
      <c r="E185" s="139">
        <f>SUM(F437:F439,F442:F444)+SUM(F455:F462)*8+SUM(F464:F469)+SUM(F473:F480)+SUM(F482:F487)+SUM(F491:F498)+SUM(F500:F507)*6+SUM(F509:F514)</f>
        <v>77852.352240000007</v>
      </c>
      <c r="F185" s="139"/>
      <c r="G185" s="139">
        <f>SUM(H437:H439,H442:H444)+SUM(H455:H462)*8+SUM(H464:H469)+SUM(H473:H480)+SUM(H482:H487)+SUM(H491:H498)+SUM(H500:H507)*6+SUM(H509:H514)</f>
        <v>116778.52836</v>
      </c>
      <c r="H185" s="139"/>
    </row>
    <row r="186" spans="1:11" s="35" customFormat="1" x14ac:dyDescent="0.25">
      <c r="A186" s="128"/>
      <c r="B186" s="42" t="s">
        <v>203</v>
      </c>
      <c r="C186" s="139">
        <f>COUNT(F433)</f>
        <v>1</v>
      </c>
      <c r="D186" s="139"/>
      <c r="E186" s="139">
        <f>SUM(F433)</f>
        <v>415.94786999999997</v>
      </c>
      <c r="F186" s="139"/>
      <c r="G186" s="139">
        <f>SUM(H433)</f>
        <v>645.77272499999992</v>
      </c>
      <c r="H186" s="139"/>
      <c r="I186" s="35">
        <f>55+16</f>
        <v>71</v>
      </c>
    </row>
    <row r="187" spans="1:11" s="35" customFormat="1" x14ac:dyDescent="0.25">
      <c r="A187" s="126" t="s">
        <v>151</v>
      </c>
      <c r="B187" s="126"/>
      <c r="C187" s="95">
        <f>SUM(C179:C186)</f>
        <v>404</v>
      </c>
      <c r="D187" s="96"/>
      <c r="E187" s="95">
        <f>SUM(E179:E186)</f>
        <v>208109.23847999997</v>
      </c>
      <c r="F187" s="96"/>
      <c r="G187" s="95">
        <f>SUM(G179:G186)</f>
        <v>312670.51919999998</v>
      </c>
      <c r="H187" s="96"/>
      <c r="I187" s="35">
        <f>336-16</f>
        <v>320</v>
      </c>
    </row>
    <row r="188" spans="1:11" s="34" customFormat="1" x14ac:dyDescent="0.25">
      <c r="A188" s="149" t="s">
        <v>56</v>
      </c>
      <c r="B188" s="149"/>
      <c r="C188" s="149"/>
      <c r="D188" s="149"/>
      <c r="E188" s="149"/>
      <c r="F188" s="149"/>
      <c r="G188" s="149"/>
      <c r="H188" s="149"/>
    </row>
    <row r="189" spans="1:11" x14ac:dyDescent="0.25">
      <c r="A189" s="149" t="s">
        <v>57</v>
      </c>
      <c r="B189" s="149"/>
      <c r="C189" s="149"/>
      <c r="D189" s="149"/>
      <c r="E189" s="149"/>
      <c r="F189" s="149"/>
      <c r="G189" s="149"/>
      <c r="H189" s="149"/>
    </row>
    <row r="190" spans="1:11" ht="47.25" customHeight="1" x14ac:dyDescent="0.25">
      <c r="A190" s="100" t="s">
        <v>120</v>
      </c>
      <c r="B190" s="100" t="s">
        <v>184</v>
      </c>
      <c r="C190" s="100" t="s">
        <v>58</v>
      </c>
      <c r="D190" s="100" t="s">
        <v>59</v>
      </c>
      <c r="E190" s="178" t="s">
        <v>157</v>
      </c>
      <c r="F190" s="43" t="s">
        <v>150</v>
      </c>
      <c r="G190" s="180" t="s">
        <v>61</v>
      </c>
      <c r="H190" s="181"/>
    </row>
    <row r="191" spans="1:11" s="37" customFormat="1" x14ac:dyDescent="0.25">
      <c r="A191" s="101"/>
      <c r="B191" s="101"/>
      <c r="C191" s="101"/>
      <c r="D191" s="101"/>
      <c r="E191" s="179"/>
      <c r="F191" s="13">
        <v>0.55000000000000004</v>
      </c>
      <c r="G191" s="182"/>
      <c r="H191" s="183"/>
    </row>
    <row r="192" spans="1:11" s="37" customFormat="1" x14ac:dyDescent="0.25">
      <c r="A192" s="102" t="s">
        <v>239</v>
      </c>
      <c r="B192" s="103"/>
      <c r="C192" s="103"/>
      <c r="D192" s="103"/>
      <c r="E192" s="103"/>
      <c r="F192" s="103"/>
      <c r="G192" s="103"/>
      <c r="H192" s="104"/>
      <c r="J192" s="36"/>
    </row>
    <row r="193" spans="1:14" s="37" customFormat="1" x14ac:dyDescent="0.25">
      <c r="A193" s="102" t="s">
        <v>284</v>
      </c>
      <c r="B193" s="103"/>
      <c r="C193" s="103"/>
      <c r="D193" s="103"/>
      <c r="E193" s="103"/>
      <c r="F193" s="103"/>
      <c r="G193" s="103"/>
      <c r="H193" s="104"/>
      <c r="J193" s="36"/>
    </row>
    <row r="194" spans="1:14" s="37" customFormat="1" x14ac:dyDescent="0.25">
      <c r="A194" s="97" t="s">
        <v>198</v>
      </c>
      <c r="B194" s="98"/>
      <c r="C194" s="98"/>
      <c r="D194" s="98"/>
      <c r="E194" s="98"/>
      <c r="F194" s="98"/>
      <c r="G194" s="98"/>
      <c r="H194" s="99"/>
      <c r="J194" s="36"/>
    </row>
    <row r="195" spans="1:14" s="37" customFormat="1" x14ac:dyDescent="0.25">
      <c r="A195" s="97" t="s">
        <v>181</v>
      </c>
      <c r="B195" s="98"/>
      <c r="C195" s="98"/>
      <c r="D195" s="98"/>
      <c r="E195" s="98"/>
      <c r="F195" s="98"/>
      <c r="G195" s="98"/>
      <c r="H195" s="99"/>
      <c r="I195" s="67"/>
      <c r="J195" s="36"/>
    </row>
    <row r="196" spans="1:14" s="37" customFormat="1" ht="15.75" customHeight="1" x14ac:dyDescent="0.25">
      <c r="A196" s="42">
        <v>1</v>
      </c>
      <c r="B196" s="42" t="s">
        <v>183</v>
      </c>
      <c r="C196" s="42" t="s">
        <v>182</v>
      </c>
      <c r="D196" s="52">
        <f>(5.5*1.405)*(10.764)</f>
        <v>83.178809999999999</v>
      </c>
      <c r="E196" s="42">
        <v>0</v>
      </c>
      <c r="F196" s="42">
        <f t="shared" ref="F196:F204" si="0">(D196+E196)*(($F$191)+1)</f>
        <v>128.9271555</v>
      </c>
      <c r="G196" s="141" t="str">
        <f>A195</f>
        <v>Ground Floor For Commercial &amp; Parking</v>
      </c>
      <c r="H196" s="142"/>
      <c r="I196" s="67"/>
      <c r="L196" s="177"/>
      <c r="M196" s="177"/>
      <c r="N196" s="36"/>
    </row>
    <row r="197" spans="1:14" s="37" customFormat="1" ht="15.75" customHeight="1" x14ac:dyDescent="0.25">
      <c r="A197" s="42">
        <f t="shared" ref="A197:A204" si="1">A196+1</f>
        <v>2</v>
      </c>
      <c r="B197" s="42" t="s">
        <v>183</v>
      </c>
      <c r="C197" s="42" t="s">
        <v>182</v>
      </c>
      <c r="D197" s="52">
        <f>(5.5*3.895)*(10.764)</f>
        <v>230.59178999999997</v>
      </c>
      <c r="E197" s="42">
        <v>0</v>
      </c>
      <c r="F197" s="42">
        <f t="shared" si="0"/>
        <v>357.41727449999996</v>
      </c>
      <c r="G197" s="143"/>
      <c r="H197" s="144"/>
      <c r="I197" s="67"/>
      <c r="L197" s="177"/>
      <c r="M197" s="177"/>
      <c r="N197" s="36"/>
    </row>
    <row r="198" spans="1:14" s="37" customFormat="1" ht="15.75" customHeight="1" x14ac:dyDescent="0.25">
      <c r="A198" s="42">
        <f t="shared" si="1"/>
        <v>3</v>
      </c>
      <c r="B198" s="42" t="s">
        <v>183</v>
      </c>
      <c r="C198" s="42" t="s">
        <v>182</v>
      </c>
      <c r="D198" s="52">
        <f>(1.95*5.05+6.65*4.05)*(10.764)</f>
        <v>395.89992000000001</v>
      </c>
      <c r="E198" s="42">
        <v>0</v>
      </c>
      <c r="F198" s="42">
        <f t="shared" si="0"/>
        <v>613.64487600000007</v>
      </c>
      <c r="G198" s="143"/>
      <c r="H198" s="144"/>
      <c r="I198" s="67"/>
      <c r="L198" s="177"/>
      <c r="M198" s="177"/>
      <c r="N198" s="36"/>
    </row>
    <row r="199" spans="1:14" s="37" customFormat="1" ht="15.75" customHeight="1" x14ac:dyDescent="0.25">
      <c r="A199" s="42">
        <f t="shared" si="1"/>
        <v>4</v>
      </c>
      <c r="B199" s="42" t="s">
        <v>183</v>
      </c>
      <c r="C199" s="42" t="s">
        <v>182</v>
      </c>
      <c r="D199" s="52">
        <f>(3.1*4.55+1*1)*(10.764)</f>
        <v>162.59021999999999</v>
      </c>
      <c r="E199" s="42">
        <v>0</v>
      </c>
      <c r="F199" s="42">
        <f t="shared" si="0"/>
        <v>252.01484099999999</v>
      </c>
      <c r="G199" s="143"/>
      <c r="H199" s="144"/>
      <c r="I199" s="67"/>
      <c r="L199" s="177"/>
      <c r="M199" s="177"/>
      <c r="N199" s="36"/>
    </row>
    <row r="200" spans="1:14" s="37" customFormat="1" x14ac:dyDescent="0.25">
      <c r="A200" s="42">
        <f t="shared" si="1"/>
        <v>5</v>
      </c>
      <c r="B200" s="42" t="s">
        <v>183</v>
      </c>
      <c r="C200" s="42" t="s">
        <v>182</v>
      </c>
      <c r="D200" s="52">
        <f>(3.91*4.05+3.2*1.5)*(10.764)</f>
        <v>222.12052199999999</v>
      </c>
      <c r="E200" s="42">
        <v>0</v>
      </c>
      <c r="F200" s="42">
        <f t="shared" si="0"/>
        <v>344.28680910000003</v>
      </c>
      <c r="G200" s="143"/>
      <c r="H200" s="144"/>
      <c r="I200" s="67"/>
      <c r="L200" s="177"/>
      <c r="M200" s="177"/>
      <c r="N200" s="36"/>
    </row>
    <row r="201" spans="1:14" s="37" customFormat="1" x14ac:dyDescent="0.25">
      <c r="A201" s="42">
        <f t="shared" si="1"/>
        <v>6</v>
      </c>
      <c r="B201" s="42" t="s">
        <v>183</v>
      </c>
      <c r="C201" s="42" t="s">
        <v>182</v>
      </c>
      <c r="D201" s="52">
        <f>(2.89*4.05+1.75*1.35+1.55*2.55)*(10.764)</f>
        <v>193.96189799999999</v>
      </c>
      <c r="E201" s="42">
        <v>0</v>
      </c>
      <c r="F201" s="42">
        <f t="shared" si="0"/>
        <v>300.64094189999997</v>
      </c>
      <c r="G201" s="143"/>
      <c r="H201" s="144"/>
      <c r="I201" s="67"/>
      <c r="L201" s="177"/>
      <c r="M201" s="177"/>
      <c r="N201" s="36"/>
    </row>
    <row r="202" spans="1:14" s="37" customFormat="1" x14ac:dyDescent="0.25">
      <c r="A202" s="42">
        <f t="shared" si="1"/>
        <v>7</v>
      </c>
      <c r="B202" s="42" t="s">
        <v>183</v>
      </c>
      <c r="C202" s="42" t="s">
        <v>182</v>
      </c>
      <c r="D202" s="52">
        <f>(2.6*7.95)*(10.764)</f>
        <v>222.49188000000001</v>
      </c>
      <c r="E202" s="42">
        <v>0</v>
      </c>
      <c r="F202" s="42">
        <f t="shared" si="0"/>
        <v>344.862414</v>
      </c>
      <c r="G202" s="143"/>
      <c r="H202" s="144"/>
      <c r="I202" s="67"/>
      <c r="L202" s="177"/>
      <c r="M202" s="177"/>
      <c r="N202" s="36"/>
    </row>
    <row r="203" spans="1:14" s="37" customFormat="1" x14ac:dyDescent="0.25">
      <c r="A203" s="42">
        <f t="shared" si="1"/>
        <v>8</v>
      </c>
      <c r="B203" s="42" t="s">
        <v>183</v>
      </c>
      <c r="C203" s="42" t="s">
        <v>182</v>
      </c>
      <c r="D203" s="52">
        <f>(2.7*7.95)*(10.764)</f>
        <v>231.04926000000003</v>
      </c>
      <c r="E203" s="42">
        <v>0</v>
      </c>
      <c r="F203" s="42">
        <f t="shared" si="0"/>
        <v>358.12635300000005</v>
      </c>
      <c r="G203" s="143"/>
      <c r="H203" s="144"/>
      <c r="I203" s="67"/>
      <c r="L203" s="177"/>
      <c r="M203" s="177"/>
      <c r="N203" s="36"/>
    </row>
    <row r="204" spans="1:14" s="37" customFormat="1" x14ac:dyDescent="0.25">
      <c r="A204" s="42">
        <f t="shared" si="1"/>
        <v>9</v>
      </c>
      <c r="B204" s="42" t="s">
        <v>183</v>
      </c>
      <c r="C204" s="42" t="s">
        <v>182</v>
      </c>
      <c r="D204" s="52">
        <f>(3.195*7.2)*(10.764)</f>
        <v>247.61505599999995</v>
      </c>
      <c r="E204" s="42">
        <v>0</v>
      </c>
      <c r="F204" s="42">
        <f t="shared" si="0"/>
        <v>383.80333679999995</v>
      </c>
      <c r="G204" s="143"/>
      <c r="H204" s="144"/>
      <c r="I204" s="67"/>
      <c r="L204" s="177"/>
      <c r="M204" s="177"/>
      <c r="N204" s="36"/>
    </row>
    <row r="205" spans="1:14" s="37" customFormat="1" ht="15.75" customHeight="1" x14ac:dyDescent="0.25">
      <c r="A205" s="42">
        <v>10</v>
      </c>
      <c r="B205" s="42" t="s">
        <v>183</v>
      </c>
      <c r="C205" s="42" t="s">
        <v>182</v>
      </c>
      <c r="D205" s="52">
        <f>(2.505*2.45+3.455*4.65)*(10.764)</f>
        <v>238.99309200000002</v>
      </c>
      <c r="E205" s="42">
        <v>0</v>
      </c>
      <c r="F205" s="42">
        <f t="shared" ref="F205:F215" si="2">(D205+E205)*(($F$191)+1)</f>
        <v>370.43929260000004</v>
      </c>
      <c r="G205" s="143"/>
      <c r="H205" s="144"/>
      <c r="I205" s="67"/>
      <c r="L205" s="177"/>
      <c r="M205" s="177"/>
      <c r="N205" s="36"/>
    </row>
    <row r="206" spans="1:14" s="37" customFormat="1" ht="15.75" customHeight="1" x14ac:dyDescent="0.25">
      <c r="A206" s="42">
        <f t="shared" ref="A206:A216" si="3">A205+1</f>
        <v>11</v>
      </c>
      <c r="B206" s="42" t="s">
        <v>183</v>
      </c>
      <c r="C206" s="42" t="s">
        <v>182</v>
      </c>
      <c r="D206" s="52">
        <f>(5.4*2.35+4.35*2.75+3.4*2+1.1*1.1+1.8*2.55+1*1.25)*(10.764)</f>
        <v>414.44090999999997</v>
      </c>
      <c r="E206" s="42">
        <v>0</v>
      </c>
      <c r="F206" s="42">
        <f t="shared" si="2"/>
        <v>642.38341049999997</v>
      </c>
      <c r="G206" s="143"/>
      <c r="H206" s="144"/>
      <c r="I206" s="67"/>
      <c r="L206" s="177"/>
      <c r="M206" s="177"/>
      <c r="N206" s="36"/>
    </row>
    <row r="207" spans="1:14" s="37" customFormat="1" ht="15.75" customHeight="1" x14ac:dyDescent="0.25">
      <c r="A207" s="42">
        <f t="shared" si="3"/>
        <v>12</v>
      </c>
      <c r="B207" s="42" t="s">
        <v>183</v>
      </c>
      <c r="C207" s="42" t="s">
        <v>182</v>
      </c>
      <c r="D207" s="52">
        <f>(2.85*5.2+4.3*2+4.1*2.45+1*1.2+1.1*1.35)*(10.764)</f>
        <v>389.11860000000001</v>
      </c>
      <c r="E207" s="42">
        <v>0</v>
      </c>
      <c r="F207" s="42">
        <f t="shared" si="2"/>
        <v>603.13382999999999</v>
      </c>
      <c r="G207" s="143"/>
      <c r="H207" s="144"/>
      <c r="I207" s="67"/>
      <c r="L207" s="177"/>
      <c r="M207" s="177"/>
      <c r="N207" s="36"/>
    </row>
    <row r="208" spans="1:14" s="37" customFormat="1" ht="15.75" customHeight="1" x14ac:dyDescent="0.25">
      <c r="A208" s="42">
        <f t="shared" si="3"/>
        <v>13</v>
      </c>
      <c r="B208" s="42" t="s">
        <v>183</v>
      </c>
      <c r="C208" s="42" t="s">
        <v>182</v>
      </c>
      <c r="D208" s="52">
        <f>(2.5*7.1)*(10.764)</f>
        <v>191.06099999999998</v>
      </c>
      <c r="E208" s="42">
        <v>0</v>
      </c>
      <c r="F208" s="42">
        <f t="shared" si="2"/>
        <v>296.14454999999998</v>
      </c>
      <c r="G208" s="143"/>
      <c r="H208" s="144"/>
      <c r="I208" s="67"/>
      <c r="L208" s="177"/>
      <c r="M208" s="177"/>
      <c r="N208" s="36"/>
    </row>
    <row r="209" spans="1:20" s="37" customFormat="1" x14ac:dyDescent="0.25">
      <c r="A209" s="42">
        <f t="shared" si="3"/>
        <v>14</v>
      </c>
      <c r="B209" s="58" t="s">
        <v>212</v>
      </c>
      <c r="C209" s="42" t="s">
        <v>182</v>
      </c>
      <c r="D209" s="52">
        <f>(11.35*5.5+12.85*1.7+7.05*0.75)*(10.764)</f>
        <v>963.99692999999979</v>
      </c>
      <c r="E209" s="42">
        <v>0</v>
      </c>
      <c r="F209" s="42">
        <f t="shared" si="2"/>
        <v>1494.1952414999996</v>
      </c>
      <c r="G209" s="143"/>
      <c r="H209" s="144"/>
      <c r="I209" s="67"/>
      <c r="L209" s="177"/>
      <c r="M209" s="177"/>
      <c r="N209" s="36"/>
    </row>
    <row r="210" spans="1:20" s="37" customFormat="1" x14ac:dyDescent="0.25">
      <c r="A210" s="42">
        <f t="shared" si="3"/>
        <v>15</v>
      </c>
      <c r="B210" s="42" t="s">
        <v>183</v>
      </c>
      <c r="C210" s="42" t="s">
        <v>182</v>
      </c>
      <c r="D210" s="52">
        <f>(1.75*1.35+3.2*4.05)*(10.764)</f>
        <v>164.93138999999999</v>
      </c>
      <c r="E210" s="42">
        <v>0</v>
      </c>
      <c r="F210" s="42">
        <f t="shared" si="2"/>
        <v>255.6436545</v>
      </c>
      <c r="G210" s="143"/>
      <c r="H210" s="144"/>
      <c r="I210" s="67"/>
      <c r="L210" s="177"/>
      <c r="M210" s="177"/>
      <c r="N210" s="36"/>
    </row>
    <row r="211" spans="1:20" s="37" customFormat="1" x14ac:dyDescent="0.25">
      <c r="A211" s="42">
        <f t="shared" si="3"/>
        <v>16</v>
      </c>
      <c r="B211" s="42" t="s">
        <v>183</v>
      </c>
      <c r="C211" s="42" t="s">
        <v>182</v>
      </c>
      <c r="D211" s="52">
        <f>(2.9*1.5+3.25*4.3+4.95*2.3)*(10.764)</f>
        <v>319.79843999999997</v>
      </c>
      <c r="E211" s="42">
        <v>0</v>
      </c>
      <c r="F211" s="42">
        <f t="shared" si="2"/>
        <v>495.68758199999996</v>
      </c>
      <c r="G211" s="143"/>
      <c r="H211" s="144"/>
      <c r="I211" s="36"/>
      <c r="L211" s="177"/>
      <c r="M211" s="177"/>
      <c r="N211" s="36"/>
    </row>
    <row r="212" spans="1:20" s="37" customFormat="1" x14ac:dyDescent="0.25">
      <c r="A212" s="42">
        <f t="shared" si="3"/>
        <v>17</v>
      </c>
      <c r="B212" s="42" t="s">
        <v>183</v>
      </c>
      <c r="C212" s="42" t="s">
        <v>182</v>
      </c>
      <c r="D212" s="52">
        <f>(3.47*5.05+1.35*0.5)*(10.764)</f>
        <v>195.88865400000003</v>
      </c>
      <c r="E212" s="42">
        <v>0</v>
      </c>
      <c r="F212" s="42">
        <f t="shared" si="2"/>
        <v>303.62741370000003</v>
      </c>
      <c r="G212" s="143"/>
      <c r="H212" s="144"/>
      <c r="I212" s="36"/>
      <c r="L212" s="177"/>
      <c r="M212" s="177"/>
      <c r="N212" s="36"/>
    </row>
    <row r="213" spans="1:20" s="37" customFormat="1" x14ac:dyDescent="0.25">
      <c r="A213" s="42">
        <f t="shared" si="3"/>
        <v>18</v>
      </c>
      <c r="B213" s="42" t="s">
        <v>183</v>
      </c>
      <c r="C213" s="42" t="s">
        <v>182</v>
      </c>
      <c r="D213" s="52">
        <f>(3.22*1.39+1.8*0.7)*(10.764)</f>
        <v>61.740151199999993</v>
      </c>
      <c r="E213" s="42">
        <v>0</v>
      </c>
      <c r="F213" s="42">
        <f t="shared" si="2"/>
        <v>95.697234359999996</v>
      </c>
      <c r="G213" s="143"/>
      <c r="H213" s="144"/>
      <c r="I213" s="36">
        <f>2.7*5.6+1.7*1.45</f>
        <v>17.585000000000001</v>
      </c>
      <c r="L213" s="177"/>
      <c r="M213" s="177"/>
      <c r="N213" s="36"/>
    </row>
    <row r="214" spans="1:20" s="37" customFormat="1" x14ac:dyDescent="0.25">
      <c r="A214" s="42">
        <f t="shared" si="3"/>
        <v>19</v>
      </c>
      <c r="B214" s="42" t="s">
        <v>183</v>
      </c>
      <c r="C214" s="42" t="s">
        <v>182</v>
      </c>
      <c r="D214" s="52">
        <f>(2.75*2.02)*(10.764)</f>
        <v>59.794019999999996</v>
      </c>
      <c r="E214" s="42">
        <v>0</v>
      </c>
      <c r="F214" s="42">
        <f t="shared" si="2"/>
        <v>92.680730999999994</v>
      </c>
      <c r="G214" s="143"/>
      <c r="H214" s="144"/>
      <c r="I214" s="36"/>
      <c r="L214" s="177"/>
      <c r="M214" s="177"/>
      <c r="N214" s="36"/>
    </row>
    <row r="215" spans="1:20" s="37" customFormat="1" x14ac:dyDescent="0.25">
      <c r="A215" s="42">
        <f t="shared" si="3"/>
        <v>20</v>
      </c>
      <c r="B215" s="42" t="s">
        <v>183</v>
      </c>
      <c r="C215" s="42" t="s">
        <v>182</v>
      </c>
      <c r="D215" s="52">
        <f>(2.75*2.02)*(10.764)</f>
        <v>59.794019999999996</v>
      </c>
      <c r="E215" s="42">
        <v>0</v>
      </c>
      <c r="F215" s="42">
        <f t="shared" si="2"/>
        <v>92.680730999999994</v>
      </c>
      <c r="G215" s="143"/>
      <c r="H215" s="144"/>
      <c r="I215" s="36">
        <f>2.7*5.6+1.7*1.45</f>
        <v>17.585000000000001</v>
      </c>
      <c r="L215" s="177"/>
      <c r="M215" s="177"/>
      <c r="N215" s="36"/>
    </row>
    <row r="216" spans="1:20" s="37" customFormat="1" x14ac:dyDescent="0.25">
      <c r="A216" s="42">
        <f t="shared" si="3"/>
        <v>21</v>
      </c>
      <c r="B216" s="42" t="s">
        <v>183</v>
      </c>
      <c r="C216" s="42" t="s">
        <v>182</v>
      </c>
      <c r="D216" s="52">
        <f>(5.5*5.5)*(10.764)</f>
        <v>325.61099999999999</v>
      </c>
      <c r="E216" s="42">
        <v>0</v>
      </c>
      <c r="F216" s="42">
        <f t="shared" ref="F216" si="4">(D216+E216)*(($F$191)+1)</f>
        <v>504.69704999999999</v>
      </c>
      <c r="G216" s="145"/>
      <c r="H216" s="146"/>
      <c r="I216" s="36">
        <f>2.7*5.6+1.7*1.45</f>
        <v>17.585000000000001</v>
      </c>
      <c r="L216" s="177"/>
      <c r="M216" s="177"/>
      <c r="N216" s="36"/>
    </row>
    <row r="217" spans="1:20" s="37" customFormat="1" hidden="1" x14ac:dyDescent="0.25">
      <c r="A217" s="97" t="s">
        <v>240</v>
      </c>
      <c r="B217" s="98"/>
      <c r="C217" s="98"/>
      <c r="D217" s="98"/>
      <c r="E217" s="98"/>
      <c r="F217" s="98"/>
      <c r="G217" s="98"/>
      <c r="H217" s="99"/>
      <c r="J217" s="36"/>
    </row>
    <row r="218" spans="1:20" s="37" customFormat="1" hidden="1" x14ac:dyDescent="0.25">
      <c r="A218" s="97" t="s">
        <v>180</v>
      </c>
      <c r="B218" s="98"/>
      <c r="C218" s="98"/>
      <c r="D218" s="98"/>
      <c r="E218" s="98"/>
      <c r="F218" s="98"/>
      <c r="G218" s="98"/>
      <c r="H218" s="99"/>
      <c r="J218" s="36"/>
    </row>
    <row r="219" spans="1:20" s="37" customFormat="1" hidden="1" x14ac:dyDescent="0.25">
      <c r="A219" s="97" t="s">
        <v>209</v>
      </c>
      <c r="B219" s="98"/>
      <c r="C219" s="98"/>
      <c r="D219" s="98"/>
      <c r="E219" s="98"/>
      <c r="F219" s="98"/>
      <c r="G219" s="98"/>
      <c r="H219" s="99"/>
      <c r="J219" s="36"/>
    </row>
    <row r="220" spans="1:20" s="37" customFormat="1" ht="15.75" hidden="1" customHeight="1" x14ac:dyDescent="0.25">
      <c r="A220" s="42">
        <v>1</v>
      </c>
      <c r="B220" s="42" t="s">
        <v>183</v>
      </c>
      <c r="C220" s="147" t="s">
        <v>207</v>
      </c>
      <c r="D220" s="153"/>
      <c r="E220" s="153"/>
      <c r="F220" s="148"/>
      <c r="G220" s="141" t="str">
        <f>A219</f>
        <v>Ground Floor + 1st Podium Floor For Commercial &amp; Parking</v>
      </c>
      <c r="H220" s="142"/>
      <c r="I220" s="36">
        <f>3.13*8.4+1.1*1.3+1*1.35</f>
        <v>29.072000000000003</v>
      </c>
      <c r="L220" s="177"/>
      <c r="M220" s="177"/>
      <c r="N220" s="36"/>
    </row>
    <row r="221" spans="1:20" s="37" customFormat="1" x14ac:dyDescent="0.25">
      <c r="A221" s="190"/>
      <c r="B221" s="191"/>
      <c r="C221" s="191"/>
      <c r="D221" s="191"/>
      <c r="E221" s="191"/>
      <c r="F221" s="191"/>
      <c r="G221" s="191"/>
      <c r="H221" s="192"/>
      <c r="I221" s="36"/>
      <c r="N221" s="36"/>
    </row>
    <row r="222" spans="1:20" ht="47.25" customHeight="1" x14ac:dyDescent="0.25">
      <c r="A222" s="193" t="s">
        <v>278</v>
      </c>
      <c r="B222" s="195" t="s">
        <v>263</v>
      </c>
      <c r="C222" s="195" t="s">
        <v>58</v>
      </c>
      <c r="D222" s="195" t="s">
        <v>264</v>
      </c>
      <c r="E222" s="195" t="s">
        <v>265</v>
      </c>
      <c r="F222" s="195" t="s">
        <v>59</v>
      </c>
      <c r="G222" s="197" t="s">
        <v>60</v>
      </c>
      <c r="H222" s="64" t="s">
        <v>150</v>
      </c>
      <c r="I222" s="36"/>
      <c r="T222" s="37"/>
    </row>
    <row r="223" spans="1:20" s="37" customFormat="1" x14ac:dyDescent="0.25">
      <c r="A223" s="194"/>
      <c r="B223" s="196"/>
      <c r="C223" s="196"/>
      <c r="D223" s="196"/>
      <c r="E223" s="196"/>
      <c r="F223" s="196"/>
      <c r="G223" s="198"/>
      <c r="H223" s="65">
        <v>0.5</v>
      </c>
      <c r="I223" s="36"/>
    </row>
    <row r="224" spans="1:20" s="37" customFormat="1" x14ac:dyDescent="0.25">
      <c r="A224" s="208" t="s">
        <v>179</v>
      </c>
      <c r="B224" s="209"/>
      <c r="C224" s="209"/>
      <c r="D224" s="209"/>
      <c r="E224" s="209"/>
      <c r="F224" s="209"/>
      <c r="G224" s="209"/>
      <c r="H224" s="210"/>
      <c r="J224" s="36"/>
    </row>
    <row r="225" spans="1:20" s="37" customFormat="1" x14ac:dyDescent="0.25">
      <c r="A225" s="208" t="s">
        <v>180</v>
      </c>
      <c r="B225" s="209"/>
      <c r="C225" s="209"/>
      <c r="D225" s="209"/>
      <c r="E225" s="209"/>
      <c r="F225" s="209"/>
      <c r="G225" s="209"/>
      <c r="H225" s="210"/>
      <c r="J225" s="52">
        <v>10.763999999999999</v>
      </c>
    </row>
    <row r="226" spans="1:20" s="37" customFormat="1" x14ac:dyDescent="0.25">
      <c r="A226" s="199" t="s">
        <v>266</v>
      </c>
      <c r="B226" s="200"/>
      <c r="C226" s="200"/>
      <c r="D226" s="200"/>
      <c r="E226" s="200"/>
      <c r="F226" s="200"/>
      <c r="G226" s="200"/>
      <c r="H226" s="201"/>
      <c r="J226" s="36"/>
    </row>
    <row r="227" spans="1:20" s="37" customFormat="1" ht="15.75" customHeight="1" x14ac:dyDescent="0.25">
      <c r="A227" s="190">
        <v>1</v>
      </c>
      <c r="B227" s="192"/>
      <c r="C227" s="66" t="s">
        <v>187</v>
      </c>
      <c r="D227" s="52">
        <f>(3*7.05+2.45*3.35+2.45*3.65+2.75*3.65+1.35*2.2+1.3*1.2+1.4*0.9)*10.764</f>
        <v>582.62841000000003</v>
      </c>
      <c r="E227" s="66">
        <v>0</v>
      </c>
      <c r="F227" s="66">
        <f>D227+E227</f>
        <v>582.62841000000003</v>
      </c>
      <c r="G227" s="66">
        <v>0</v>
      </c>
      <c r="H227" s="66">
        <f>F227*(($H$223)+1)+(IF(G227&lt;101,G227,IF(G227&lt;201,G227/2,IF(G227&lt;=301,G227/3,G227/4))))</f>
        <v>873.94261500000005</v>
      </c>
      <c r="I227" s="61">
        <f>3*7.05+2.45*3.35+2.45*3.65+2.75*3.65+1.35*2.2+1.3*1.2+1.4*0.9</f>
        <v>54.127500000000005</v>
      </c>
      <c r="L227" s="177"/>
      <c r="M227" s="177"/>
      <c r="N227" s="36"/>
    </row>
    <row r="228" spans="1:20" s="37" customFormat="1" ht="15.75" customHeight="1" x14ac:dyDescent="0.25">
      <c r="A228" s="190">
        <f>A227+1</f>
        <v>2</v>
      </c>
      <c r="B228" s="192"/>
      <c r="C228" s="66" t="s">
        <v>187</v>
      </c>
      <c r="D228" s="52">
        <f>(2.9*7+2.45*3.35+2.45*3.65+2.75*3.65+1.35*2.2+1.3*1.2+1.4*0.9)*10.764</f>
        <v>573.47901000000002</v>
      </c>
      <c r="E228" s="66">
        <v>0</v>
      </c>
      <c r="F228" s="66">
        <f>D228+E228</f>
        <v>573.47901000000002</v>
      </c>
      <c r="G228" s="66">
        <v>0</v>
      </c>
      <c r="H228" s="66">
        <f t="shared" ref="H228:H230" si="5">F228*(($H$223)+1)+(IF(G228&lt;101,G228,IF(G228&lt;201,G228/2,IF(G228&lt;=301,G228/3,G228/4))))</f>
        <v>860.21851500000002</v>
      </c>
      <c r="I228" s="36">
        <f>2.9*7+2.45*3.35+2.45*3.65+2.75*3.65+1.35*2.2+1.3*1.2+1.4*0.9</f>
        <v>53.277500000000003</v>
      </c>
      <c r="L228" s="177"/>
      <c r="M228" s="177"/>
      <c r="N228" s="36"/>
    </row>
    <row r="229" spans="1:20" s="37" customFormat="1" ht="15.75" customHeight="1" x14ac:dyDescent="0.25">
      <c r="A229" s="190">
        <f>A228+1</f>
        <v>3</v>
      </c>
      <c r="B229" s="192"/>
      <c r="C229" s="66" t="s">
        <v>187</v>
      </c>
      <c r="D229" s="52">
        <f>(2.9*7+2.45*3.35+2.45*3.65+2.75*3.65+1.35*2.2+1.3*1.2+1.4*0.9)*10.764</f>
        <v>573.47901000000002</v>
      </c>
      <c r="E229" s="66">
        <v>0</v>
      </c>
      <c r="F229" s="66">
        <f>D229+E229</f>
        <v>573.47901000000002</v>
      </c>
      <c r="G229" s="66">
        <v>0</v>
      </c>
      <c r="H229" s="66">
        <f t="shared" si="5"/>
        <v>860.21851500000002</v>
      </c>
      <c r="I229" s="36"/>
      <c r="L229" s="177"/>
      <c r="M229" s="177"/>
      <c r="N229" s="36"/>
    </row>
    <row r="230" spans="1:20" s="37" customFormat="1" ht="15.75" customHeight="1" x14ac:dyDescent="0.25">
      <c r="A230" s="147">
        <f>A229+1</f>
        <v>4</v>
      </c>
      <c r="B230" s="148"/>
      <c r="C230" s="42" t="s">
        <v>187</v>
      </c>
      <c r="D230" s="52">
        <f>(7.1*2.9+3.35*2.45+3.65*2.45+3.65*2.75+2.2*1.35+1.2*1.3+0.9*1.4)*10.764</f>
        <v>576.60056999999995</v>
      </c>
      <c r="E230" s="42">
        <v>0</v>
      </c>
      <c r="F230" s="42">
        <f>D230+E230</f>
        <v>576.60056999999995</v>
      </c>
      <c r="G230" s="42">
        <v>0</v>
      </c>
      <c r="H230" s="42">
        <f t="shared" si="5"/>
        <v>864.90085499999986</v>
      </c>
      <c r="I230" s="36"/>
      <c r="L230" s="177"/>
      <c r="M230" s="177"/>
      <c r="N230" s="36"/>
      <c r="T230" s="21"/>
    </row>
    <row r="231" spans="1:20" s="37" customFormat="1" ht="15.75" customHeight="1" x14ac:dyDescent="0.25">
      <c r="A231" s="147">
        <f>A230+1</f>
        <v>5</v>
      </c>
      <c r="B231" s="148"/>
      <c r="C231" s="42" t="s">
        <v>187</v>
      </c>
      <c r="D231" s="52">
        <f>(7*2.9+3.35*2.45+3.65*2.45+3.65*2.75+2.2*1.35+1.2*1.3+0.9*1.4)*10.764</f>
        <v>573.47901000000002</v>
      </c>
      <c r="E231" s="42">
        <v>0</v>
      </c>
      <c r="F231" s="42">
        <f>D231+E231</f>
        <v>573.47901000000002</v>
      </c>
      <c r="G231" s="42">
        <v>0</v>
      </c>
      <c r="H231" s="42">
        <f t="shared" ref="H231" si="6">F231*(($H$223)+1)+(IF(G231&lt;101,G231,IF(G231&lt;201,G231/2,IF(G231&lt;=301,G231/3,G231/4))))</f>
        <v>860.21851500000002</v>
      </c>
      <c r="I231" s="36"/>
      <c r="L231" s="177"/>
      <c r="M231" s="177"/>
      <c r="N231" s="36"/>
      <c r="T231" s="21"/>
    </row>
    <row r="232" spans="1:20" s="37" customFormat="1" x14ac:dyDescent="0.25">
      <c r="A232" s="97" t="s">
        <v>267</v>
      </c>
      <c r="B232" s="98"/>
      <c r="C232" s="98"/>
      <c r="D232" s="98"/>
      <c r="E232" s="98"/>
      <c r="F232" s="98"/>
      <c r="G232" s="98"/>
      <c r="H232" s="99"/>
      <c r="J232" s="36"/>
    </row>
    <row r="233" spans="1:20" s="37" customFormat="1" ht="15.75" customHeight="1" x14ac:dyDescent="0.25">
      <c r="A233" s="147">
        <v>1</v>
      </c>
      <c r="B233" s="148"/>
      <c r="C233" s="42" t="s">
        <v>187</v>
      </c>
      <c r="D233" s="52">
        <f>(3*7.05+2.45*3.35+2.45*3.65+2.75*3.65+1.35*2.2+1.3*1.2+1.4*0.9)*10.764</f>
        <v>582.62841000000003</v>
      </c>
      <c r="E233" s="42">
        <v>0</v>
      </c>
      <c r="F233" s="42">
        <f>D233+E233</f>
        <v>582.62841000000003</v>
      </c>
      <c r="G233" s="42">
        <v>0</v>
      </c>
      <c r="H233" s="42">
        <f>F233*(($H$223)+1)+(IF(G233&lt;101,G233,IF(G233&lt;201,G233/2,IF(G233&lt;=301,G233/3,G233/4))))</f>
        <v>873.94261500000005</v>
      </c>
      <c r="I233" s="61"/>
      <c r="L233" s="177"/>
      <c r="M233" s="177"/>
      <c r="N233" s="36"/>
    </row>
    <row r="234" spans="1:20" s="37" customFormat="1" ht="15.75" customHeight="1" x14ac:dyDescent="0.25">
      <c r="A234" s="147">
        <f>A233+1</f>
        <v>2</v>
      </c>
      <c r="B234" s="148"/>
      <c r="C234" s="42" t="s">
        <v>187</v>
      </c>
      <c r="D234" s="52">
        <f>(2.9*7+2.45*3.35+2.45*3.65+2.75*3.65+1.35*2.2+1.3*1.2+1.4*0.9)*10.764</f>
        <v>573.47901000000002</v>
      </c>
      <c r="E234" s="42">
        <v>0</v>
      </c>
      <c r="F234" s="42">
        <f>D234+E234</f>
        <v>573.47901000000002</v>
      </c>
      <c r="G234" s="42">
        <v>0</v>
      </c>
      <c r="H234" s="42">
        <f t="shared" ref="H234:H237" si="7">F234*(($H$223)+1)+(IF(G234&lt;101,G234,IF(G234&lt;201,G234/2,IF(G234&lt;=301,G234/3,G234/4))))</f>
        <v>860.21851500000002</v>
      </c>
      <c r="I234" s="36"/>
      <c r="L234" s="177"/>
      <c r="M234" s="177"/>
      <c r="N234" s="36"/>
    </row>
    <row r="235" spans="1:20" s="37" customFormat="1" ht="15.75" customHeight="1" x14ac:dyDescent="0.25">
      <c r="A235" s="147">
        <f>A234+1</f>
        <v>3</v>
      </c>
      <c r="B235" s="148"/>
      <c r="C235" s="42" t="s">
        <v>187</v>
      </c>
      <c r="D235" s="52">
        <f>(2.9*7+2.45*3.35+2.45*3.65+2.75*3.65+1.35*2.2+1.3*1.2+1.4*0.9)*10.764</f>
        <v>573.47901000000002</v>
      </c>
      <c r="E235" s="42">
        <v>0</v>
      </c>
      <c r="F235" s="42">
        <f>D235+E235</f>
        <v>573.47901000000002</v>
      </c>
      <c r="G235" s="42">
        <v>0</v>
      </c>
      <c r="H235" s="42">
        <f t="shared" si="7"/>
        <v>860.21851500000002</v>
      </c>
      <c r="I235" s="36"/>
      <c r="L235" s="177"/>
      <c r="M235" s="177"/>
      <c r="N235" s="36"/>
    </row>
    <row r="236" spans="1:20" s="37" customFormat="1" ht="15.75" customHeight="1" x14ac:dyDescent="0.25">
      <c r="A236" s="147">
        <f>A235+1</f>
        <v>4</v>
      </c>
      <c r="B236" s="148"/>
      <c r="C236" s="42" t="s">
        <v>187</v>
      </c>
      <c r="D236" s="52">
        <f>(7.1*2.9+3.35*2.45+3.65*2.45+3.65*2.75+2.2*1.35+1.2*1.3+0.9*1.4)*10.764</f>
        <v>576.60056999999995</v>
      </c>
      <c r="E236" s="42">
        <v>0</v>
      </c>
      <c r="F236" s="42">
        <f>D236+E236</f>
        <v>576.60056999999995</v>
      </c>
      <c r="G236" s="42">
        <v>0</v>
      </c>
      <c r="H236" s="42">
        <f t="shared" si="7"/>
        <v>864.90085499999986</v>
      </c>
      <c r="I236" s="36"/>
      <c r="L236" s="177"/>
      <c r="M236" s="177"/>
      <c r="N236" s="36"/>
      <c r="T236" s="21"/>
    </row>
    <row r="237" spans="1:20" s="37" customFormat="1" ht="15.75" customHeight="1" x14ac:dyDescent="0.25">
      <c r="A237" s="147">
        <f>A236+1</f>
        <v>5</v>
      </c>
      <c r="B237" s="148"/>
      <c r="C237" s="42" t="s">
        <v>187</v>
      </c>
      <c r="D237" s="52">
        <f>(7*2.9+3.35*2.45+3.65*2.45+3.65*2.75+2.2*1.35+1.2*1.3+0.9*1.4)*10.764</f>
        <v>573.47901000000002</v>
      </c>
      <c r="E237" s="42">
        <v>0</v>
      </c>
      <c r="F237" s="42">
        <f>D237+E237</f>
        <v>573.47901000000002</v>
      </c>
      <c r="G237" s="42">
        <v>0</v>
      </c>
      <c r="H237" s="42">
        <f t="shared" si="7"/>
        <v>860.21851500000002</v>
      </c>
      <c r="I237" s="36"/>
      <c r="L237" s="177"/>
      <c r="M237" s="177"/>
      <c r="N237" s="36"/>
      <c r="T237" s="21"/>
    </row>
    <row r="238" spans="1:20" s="37" customFormat="1" x14ac:dyDescent="0.25">
      <c r="A238" s="97" t="s">
        <v>188</v>
      </c>
      <c r="B238" s="98"/>
      <c r="C238" s="98"/>
      <c r="D238" s="98"/>
      <c r="E238" s="98"/>
      <c r="F238" s="98"/>
      <c r="G238" s="98"/>
      <c r="H238" s="99"/>
      <c r="J238" s="36"/>
    </row>
    <row r="239" spans="1:20" s="37" customFormat="1" ht="15.75" customHeight="1" x14ac:dyDescent="0.25">
      <c r="A239" s="147">
        <v>1</v>
      </c>
      <c r="B239" s="148"/>
      <c r="C239" s="42" t="s">
        <v>187</v>
      </c>
      <c r="D239" s="52">
        <f>(3*7.05+2.45*3.35+2.45*3.65+2.75*3.65+1.35*2.2+1.3*1.2+1.4*0.9)*10.764</f>
        <v>582.62841000000003</v>
      </c>
      <c r="E239" s="42">
        <v>0</v>
      </c>
      <c r="F239" s="42">
        <f>D239+E239</f>
        <v>582.62841000000003</v>
      </c>
      <c r="G239" s="42">
        <v>0</v>
      </c>
      <c r="H239" s="42">
        <f>F239*(($H$223)+1)+(IF(G239&lt;101,G239,IF(G239&lt;201,G239/2,IF(G239&lt;=301,G239/3,G239/4))))</f>
        <v>873.94261500000005</v>
      </c>
      <c r="I239" s="61"/>
      <c r="L239" s="177"/>
      <c r="M239" s="177"/>
      <c r="N239" s="36"/>
    </row>
    <row r="240" spans="1:20" s="37" customFormat="1" ht="15.75" customHeight="1" x14ac:dyDescent="0.25">
      <c r="A240" s="147">
        <f>A239+1</f>
        <v>2</v>
      </c>
      <c r="B240" s="148"/>
      <c r="C240" s="141" t="s">
        <v>191</v>
      </c>
      <c r="D240" s="211"/>
      <c r="E240" s="211"/>
      <c r="F240" s="211"/>
      <c r="G240" s="211"/>
      <c r="H240" s="142"/>
      <c r="I240" s="36"/>
      <c r="L240" s="177"/>
      <c r="M240" s="177"/>
      <c r="N240" s="36"/>
    </row>
    <row r="241" spans="1:20" s="37" customFormat="1" ht="15.75" customHeight="1" x14ac:dyDescent="0.25">
      <c r="A241" s="147">
        <f>A240+1</f>
        <v>3</v>
      </c>
      <c r="B241" s="148"/>
      <c r="C241" s="145"/>
      <c r="D241" s="212"/>
      <c r="E241" s="212"/>
      <c r="F241" s="212"/>
      <c r="G241" s="212"/>
      <c r="H241" s="146"/>
      <c r="I241" s="36"/>
      <c r="L241" s="177"/>
      <c r="M241" s="177"/>
      <c r="N241" s="36"/>
    </row>
    <row r="242" spans="1:20" s="37" customFormat="1" ht="15.75" customHeight="1" x14ac:dyDescent="0.25">
      <c r="A242" s="147">
        <f>A241+1</f>
        <v>4</v>
      </c>
      <c r="B242" s="148"/>
      <c r="C242" s="42" t="s">
        <v>187</v>
      </c>
      <c r="D242" s="52">
        <f>(7.1*2.9+3.35*2.45+3.65*2.45+3.65*2.75+2.2*1.35+1.2*1.3+0.9*1.4)*10.764</f>
        <v>576.60056999999995</v>
      </c>
      <c r="E242" s="42">
        <v>0</v>
      </c>
      <c r="F242" s="42">
        <f>D242+E242</f>
        <v>576.60056999999995</v>
      </c>
      <c r="G242" s="42">
        <v>0</v>
      </c>
      <c r="H242" s="42">
        <f t="shared" ref="H242:H243" si="8">F242*(($H$223)+1)+(IF(G242&lt;101,G242,IF(G242&lt;201,G242/2,IF(G242&lt;=301,G242/3,G242/4))))</f>
        <v>864.90085499999986</v>
      </c>
      <c r="I242" s="36"/>
      <c r="L242" s="177"/>
      <c r="M242" s="177"/>
      <c r="N242" s="36"/>
      <c r="T242" s="21"/>
    </row>
    <row r="243" spans="1:20" s="37" customFormat="1" ht="15.75" customHeight="1" x14ac:dyDescent="0.25">
      <c r="A243" s="147">
        <f>A242+1</f>
        <v>5</v>
      </c>
      <c r="B243" s="148"/>
      <c r="C243" s="42" t="s">
        <v>187</v>
      </c>
      <c r="D243" s="52">
        <f>(7*2.9+3.35*2.45+3.65*2.45+3.65*2.75+2.2*1.35+1.2*1.3+0.9*1.4)*10.764</f>
        <v>573.47901000000002</v>
      </c>
      <c r="E243" s="42">
        <v>0</v>
      </c>
      <c r="F243" s="42">
        <f>D243+E243</f>
        <v>573.47901000000002</v>
      </c>
      <c r="G243" s="42">
        <v>0</v>
      </c>
      <c r="H243" s="42">
        <f t="shared" si="8"/>
        <v>860.21851500000002</v>
      </c>
      <c r="I243" s="36"/>
      <c r="L243" s="177"/>
      <c r="M243" s="177"/>
      <c r="N243" s="36"/>
      <c r="T243" s="21"/>
    </row>
    <row r="244" spans="1:20" s="37" customFormat="1" x14ac:dyDescent="0.25">
      <c r="A244" s="97" t="s">
        <v>189</v>
      </c>
      <c r="B244" s="98"/>
      <c r="C244" s="98"/>
      <c r="D244" s="98"/>
      <c r="E244" s="98"/>
      <c r="F244" s="98"/>
      <c r="G244" s="98"/>
      <c r="H244" s="99"/>
      <c r="J244" s="36"/>
    </row>
    <row r="245" spans="1:20" s="37" customFormat="1" ht="15.75" customHeight="1" x14ac:dyDescent="0.25">
      <c r="A245" s="147">
        <v>1</v>
      </c>
      <c r="B245" s="148"/>
      <c r="C245" s="42" t="s">
        <v>187</v>
      </c>
      <c r="D245" s="52">
        <f>(3*7.05+2.45*3.35+2.45*3.65+2.75*3.65+1.35*2.2+1.3*1.2+1.4*0.9)*10.764</f>
        <v>582.62841000000003</v>
      </c>
      <c r="E245" s="42">
        <v>0</v>
      </c>
      <c r="F245" s="42">
        <f>D245+E245</f>
        <v>582.62841000000003</v>
      </c>
      <c r="G245" s="42">
        <v>0</v>
      </c>
      <c r="H245" s="42">
        <f>F245*(($H$223)+1)+(IF(G245&lt;101,G245,IF(G245&lt;201,G245/2,IF(G245&lt;=301,G245/3,G245/4))))</f>
        <v>873.94261500000005</v>
      </c>
      <c r="I245" s="61"/>
      <c r="L245" s="177"/>
      <c r="M245" s="177"/>
      <c r="N245" s="36"/>
    </row>
    <row r="246" spans="1:20" s="37" customFormat="1" ht="15.75" customHeight="1" x14ac:dyDescent="0.25">
      <c r="A246" s="147">
        <f>A245+1</f>
        <v>2</v>
      </c>
      <c r="B246" s="148"/>
      <c r="C246" s="141" t="s">
        <v>191</v>
      </c>
      <c r="D246" s="211"/>
      <c r="E246" s="211"/>
      <c r="F246" s="211"/>
      <c r="G246" s="211"/>
      <c r="H246" s="142"/>
      <c r="I246" s="36"/>
      <c r="L246" s="177"/>
      <c r="M246" s="177"/>
      <c r="N246" s="36"/>
    </row>
    <row r="247" spans="1:20" s="37" customFormat="1" ht="15.75" customHeight="1" x14ac:dyDescent="0.25">
      <c r="A247" s="147">
        <f>A246+1</f>
        <v>3</v>
      </c>
      <c r="B247" s="148"/>
      <c r="C247" s="145"/>
      <c r="D247" s="212"/>
      <c r="E247" s="212"/>
      <c r="F247" s="212"/>
      <c r="G247" s="212"/>
      <c r="H247" s="146"/>
      <c r="I247" s="36"/>
      <c r="L247" s="177"/>
      <c r="M247" s="177"/>
      <c r="N247" s="36"/>
    </row>
    <row r="248" spans="1:20" s="37" customFormat="1" ht="15.75" customHeight="1" x14ac:dyDescent="0.25">
      <c r="A248" s="147">
        <f>A247+1</f>
        <v>4</v>
      </c>
      <c r="B248" s="148"/>
      <c r="C248" s="42" t="s">
        <v>187</v>
      </c>
      <c r="D248" s="52">
        <f>(7.1*2.9+3.35*2.45+3.65*2.45+3.65*2.75+2.2*1.35+1.2*1.3+0.9*1.4)*10.764</f>
        <v>576.60056999999995</v>
      </c>
      <c r="E248" s="42">
        <v>0</v>
      </c>
      <c r="F248" s="42">
        <f>D248+E248</f>
        <v>576.60056999999995</v>
      </c>
      <c r="G248" s="42">
        <v>0</v>
      </c>
      <c r="H248" s="42">
        <f t="shared" ref="H248:H249" si="9">F248*(($H$223)+1)+(IF(G248&lt;101,G248,IF(G248&lt;201,G248/2,IF(G248&lt;=301,G248/3,G248/4))))</f>
        <v>864.90085499999986</v>
      </c>
      <c r="I248" s="36"/>
      <c r="L248" s="177"/>
      <c r="M248" s="177"/>
      <c r="N248" s="36"/>
      <c r="T248" s="21"/>
    </row>
    <row r="249" spans="1:20" s="37" customFormat="1" ht="15.75" customHeight="1" x14ac:dyDescent="0.25">
      <c r="A249" s="147">
        <f>A248+1</f>
        <v>5</v>
      </c>
      <c r="B249" s="148"/>
      <c r="C249" s="42" t="s">
        <v>187</v>
      </c>
      <c r="D249" s="52">
        <f>(7*2.9+3.35*2.45+3.65*2.45+3.65*2.75+2.2*1.35+1.2*1.3+0.9*1.4)*10.764</f>
        <v>573.47901000000002</v>
      </c>
      <c r="E249" s="42">
        <v>0</v>
      </c>
      <c r="F249" s="42">
        <f>D249+E249</f>
        <v>573.47901000000002</v>
      </c>
      <c r="G249" s="42">
        <v>0</v>
      </c>
      <c r="H249" s="42">
        <f t="shared" si="9"/>
        <v>860.21851500000002</v>
      </c>
      <c r="I249" s="36"/>
      <c r="L249" s="177"/>
      <c r="M249" s="177"/>
      <c r="N249" s="36"/>
      <c r="T249" s="21"/>
    </row>
    <row r="250" spans="1:20" s="37" customFormat="1" x14ac:dyDescent="0.25">
      <c r="A250" s="102" t="s">
        <v>193</v>
      </c>
      <c r="B250" s="103"/>
      <c r="C250" s="103"/>
      <c r="D250" s="103"/>
      <c r="E250" s="103"/>
      <c r="F250" s="103"/>
      <c r="G250" s="103"/>
      <c r="H250" s="104"/>
      <c r="J250" s="36"/>
    </row>
    <row r="251" spans="1:20" s="37" customFormat="1" x14ac:dyDescent="0.25">
      <c r="A251" s="97" t="s">
        <v>266</v>
      </c>
      <c r="B251" s="98"/>
      <c r="C251" s="98"/>
      <c r="D251" s="98"/>
      <c r="E251" s="98"/>
      <c r="F251" s="98"/>
      <c r="G251" s="98"/>
      <c r="H251" s="99"/>
      <c r="J251" s="36"/>
    </row>
    <row r="252" spans="1:20" s="37" customFormat="1" ht="15.75" customHeight="1" x14ac:dyDescent="0.25">
      <c r="A252" s="147">
        <v>1</v>
      </c>
      <c r="B252" s="148"/>
      <c r="C252" s="42" t="s">
        <v>187</v>
      </c>
      <c r="D252" s="52">
        <f>(3*7.05+2.45*3.35+2.45*3.65+2.75*3.65+1.35*2.2+1.3*1.2+1.4*0.9)*10.764</f>
        <v>582.62841000000003</v>
      </c>
      <c r="E252" s="42">
        <v>0</v>
      </c>
      <c r="F252" s="42">
        <f>D252+E252</f>
        <v>582.62841000000003</v>
      </c>
      <c r="G252" s="42">
        <v>0</v>
      </c>
      <c r="H252" s="42">
        <f>F252*(($H$223)+1)+(IF(G252&lt;101,G252,IF(G252&lt;201,G252/2,IF(G252&lt;=301,G252/3,G252/4))))</f>
        <v>873.94261500000005</v>
      </c>
      <c r="I252" s="36"/>
      <c r="L252" s="177"/>
      <c r="M252" s="177"/>
      <c r="N252" s="36"/>
    </row>
    <row r="253" spans="1:20" s="37" customFormat="1" ht="15.75" customHeight="1" x14ac:dyDescent="0.25">
      <c r="A253" s="147">
        <f>A252+1</f>
        <v>2</v>
      </c>
      <c r="B253" s="148"/>
      <c r="C253" s="42" t="s">
        <v>187</v>
      </c>
      <c r="D253" s="52">
        <f>(2.9*7+2.45*3.35+2.45*3.65+2.75*3.65+1.35*2.2+1.3*1.2+1.4*0.9)*10.764</f>
        <v>573.47901000000002</v>
      </c>
      <c r="E253" s="42">
        <v>0</v>
      </c>
      <c r="F253" s="42">
        <f>D253+E253</f>
        <v>573.47901000000002</v>
      </c>
      <c r="G253" s="42">
        <v>0</v>
      </c>
      <c r="H253" s="42">
        <f t="shared" ref="H253:H256" si="10">F253*(($H$223)+1)+(IF(G253&lt;101,G253,IF(G253&lt;201,G253/2,IF(G253&lt;=301,G253/3,G253/4))))</f>
        <v>860.21851500000002</v>
      </c>
      <c r="I253" s="36"/>
      <c r="L253" s="177"/>
      <c r="M253" s="177"/>
      <c r="N253" s="36"/>
    </row>
    <row r="254" spans="1:20" s="37" customFormat="1" ht="15.75" customHeight="1" x14ac:dyDescent="0.25">
      <c r="A254" s="147">
        <f>A253+1</f>
        <v>3</v>
      </c>
      <c r="B254" s="148"/>
      <c r="C254" s="42" t="s">
        <v>187</v>
      </c>
      <c r="D254" s="52">
        <f>(2.9*7+2.45*3.35+2.45*3.65+2.75*3.65+1.35*2.2+1.3*1.2+1.4*0.9)*10.764</f>
        <v>573.47901000000002</v>
      </c>
      <c r="E254" s="42">
        <v>0</v>
      </c>
      <c r="F254" s="42">
        <f>D254+E254</f>
        <v>573.47901000000002</v>
      </c>
      <c r="G254" s="42">
        <v>0</v>
      </c>
      <c r="H254" s="42">
        <f t="shared" si="10"/>
        <v>860.21851500000002</v>
      </c>
      <c r="I254" s="36"/>
      <c r="L254" s="177"/>
      <c r="M254" s="177"/>
      <c r="N254" s="36"/>
    </row>
    <row r="255" spans="1:20" s="37" customFormat="1" ht="15.75" customHeight="1" x14ac:dyDescent="0.25">
      <c r="A255" s="147">
        <f>A254+1</f>
        <v>4</v>
      </c>
      <c r="B255" s="148"/>
      <c r="C255" s="42" t="s">
        <v>187</v>
      </c>
      <c r="D255" s="52">
        <f>(7.1*2.9+3.35*2.45+3.65*2.45+3.65*2.75+2.2*1.35+1.2*1.3+0.9*1.4)*10.764</f>
        <v>576.60056999999995</v>
      </c>
      <c r="E255" s="42">
        <v>0</v>
      </c>
      <c r="F255" s="42">
        <f>D255+E255</f>
        <v>576.60056999999995</v>
      </c>
      <c r="G255" s="42">
        <v>0</v>
      </c>
      <c r="H255" s="42">
        <f t="shared" si="10"/>
        <v>864.90085499999986</v>
      </c>
      <c r="I255" s="36"/>
      <c r="L255" s="177"/>
      <c r="M255" s="177"/>
      <c r="N255" s="36"/>
      <c r="T255" s="21"/>
    </row>
    <row r="256" spans="1:20" s="37" customFormat="1" ht="15.75" customHeight="1" x14ac:dyDescent="0.25">
      <c r="A256" s="147">
        <f>A255+1</f>
        <v>5</v>
      </c>
      <c r="B256" s="148"/>
      <c r="C256" s="42" t="s">
        <v>187</v>
      </c>
      <c r="D256" s="52">
        <f>(7*2.9+3.35*2.45+3.65*2.45+3.65*2.75+2.2*1.35+1.2*1.3+0.9*1.4)*10.764</f>
        <v>573.47901000000002</v>
      </c>
      <c r="E256" s="42">
        <v>0</v>
      </c>
      <c r="F256" s="42">
        <f>D256+E256</f>
        <v>573.47901000000002</v>
      </c>
      <c r="G256" s="42">
        <v>0</v>
      </c>
      <c r="H256" s="42">
        <f t="shared" si="10"/>
        <v>860.21851500000002</v>
      </c>
      <c r="I256" s="36"/>
      <c r="L256" s="177"/>
      <c r="M256" s="177"/>
      <c r="N256" s="36"/>
      <c r="T256" s="21"/>
    </row>
    <row r="257" spans="1:20" s="37" customFormat="1" x14ac:dyDescent="0.25">
      <c r="A257" s="97" t="s">
        <v>267</v>
      </c>
      <c r="B257" s="98"/>
      <c r="C257" s="98"/>
      <c r="D257" s="98"/>
      <c r="E257" s="98"/>
      <c r="F257" s="98"/>
      <c r="G257" s="98"/>
      <c r="H257" s="99"/>
      <c r="J257" s="36"/>
    </row>
    <row r="258" spans="1:20" s="37" customFormat="1" ht="15.75" customHeight="1" x14ac:dyDescent="0.25">
      <c r="A258" s="147">
        <v>1</v>
      </c>
      <c r="B258" s="148"/>
      <c r="C258" s="42" t="s">
        <v>187</v>
      </c>
      <c r="D258" s="52">
        <f>(3*7.05+2.45*3.35+2.45*3.65+2.75*3.65+1.35*2.2+1.3*1.2+1.4*0.9)*10.764</f>
        <v>582.62841000000003</v>
      </c>
      <c r="E258" s="42">
        <v>0</v>
      </c>
      <c r="F258" s="42">
        <f>D258+E258</f>
        <v>582.62841000000003</v>
      </c>
      <c r="G258" s="42">
        <v>0</v>
      </c>
      <c r="H258" s="42">
        <f>F258*(($H$223)+1)+(IF(G258&lt;101,G258,IF(G258&lt;201,G258/2,IF(G258&lt;=301,G258/3,G258/4))))</f>
        <v>873.94261500000005</v>
      </c>
      <c r="I258" s="61"/>
      <c r="L258" s="177"/>
      <c r="M258" s="177"/>
      <c r="N258" s="36"/>
    </row>
    <row r="259" spans="1:20" s="37" customFormat="1" ht="15.75" customHeight="1" x14ac:dyDescent="0.25">
      <c r="A259" s="147">
        <f>A258+1</f>
        <v>2</v>
      </c>
      <c r="B259" s="148"/>
      <c r="C259" s="42" t="s">
        <v>187</v>
      </c>
      <c r="D259" s="52">
        <f>(2.9*7+2.45*3.35+2.45*3.65+2.75*3.65+1.35*2.2+1.3*1.2+1.4*0.9)*10.764</f>
        <v>573.47901000000002</v>
      </c>
      <c r="E259" s="42">
        <v>0</v>
      </c>
      <c r="F259" s="42">
        <f>D259+E259</f>
        <v>573.47901000000002</v>
      </c>
      <c r="G259" s="42">
        <v>0</v>
      </c>
      <c r="H259" s="42">
        <f t="shared" ref="H259:H262" si="11">F259*(($H$223)+1)+(IF(G259&lt;101,G259,IF(G259&lt;201,G259/2,IF(G259&lt;=301,G259/3,G259/4))))</f>
        <v>860.21851500000002</v>
      </c>
      <c r="I259" s="36"/>
      <c r="L259" s="177"/>
      <c r="M259" s="177"/>
      <c r="N259" s="36"/>
    </row>
    <row r="260" spans="1:20" s="37" customFormat="1" ht="15.75" customHeight="1" x14ac:dyDescent="0.25">
      <c r="A260" s="147">
        <f>A259+1</f>
        <v>3</v>
      </c>
      <c r="B260" s="148"/>
      <c r="C260" s="42" t="s">
        <v>187</v>
      </c>
      <c r="D260" s="52">
        <f>(2.9*7+2.45*3.35+2.45*3.65+2.75*3.65+1.35*2.2+1.3*1.2+1.4*0.9)*10.764</f>
        <v>573.47901000000002</v>
      </c>
      <c r="E260" s="42">
        <v>0</v>
      </c>
      <c r="F260" s="42">
        <f>D260+E260</f>
        <v>573.47901000000002</v>
      </c>
      <c r="G260" s="42">
        <v>0</v>
      </c>
      <c r="H260" s="42">
        <f t="shared" si="11"/>
        <v>860.21851500000002</v>
      </c>
      <c r="I260" s="36"/>
      <c r="L260" s="177"/>
      <c r="M260" s="177"/>
      <c r="N260" s="36"/>
    </row>
    <row r="261" spans="1:20" s="37" customFormat="1" ht="15.75" customHeight="1" x14ac:dyDescent="0.25">
      <c r="A261" s="147">
        <f>A260+1</f>
        <v>4</v>
      </c>
      <c r="B261" s="148"/>
      <c r="C261" s="42" t="s">
        <v>187</v>
      </c>
      <c r="D261" s="52">
        <f>(7.1*2.9+3.35*2.45+3.65*2.45+3.65*2.75+2.2*1.35+1.2*1.3+0.9*1.4)*10.764</f>
        <v>576.60056999999995</v>
      </c>
      <c r="E261" s="42">
        <v>0</v>
      </c>
      <c r="F261" s="42">
        <f>D261+E261</f>
        <v>576.60056999999995</v>
      </c>
      <c r="G261" s="42">
        <v>0</v>
      </c>
      <c r="H261" s="42">
        <f t="shared" si="11"/>
        <v>864.90085499999986</v>
      </c>
      <c r="I261" s="36"/>
      <c r="L261" s="177"/>
      <c r="M261" s="177"/>
      <c r="N261" s="36"/>
      <c r="T261" s="21"/>
    </row>
    <row r="262" spans="1:20" s="37" customFormat="1" ht="15.75" customHeight="1" x14ac:dyDescent="0.25">
      <c r="A262" s="147">
        <f>A261+1</f>
        <v>5</v>
      </c>
      <c r="B262" s="148"/>
      <c r="C262" s="42" t="s">
        <v>187</v>
      </c>
      <c r="D262" s="52">
        <f>(7*2.9+3.35*2.45+3.65*2.45+3.65*2.75+2.2*1.35+1.2*1.3+0.9*1.4)*10.764</f>
        <v>573.47901000000002</v>
      </c>
      <c r="E262" s="42">
        <v>0</v>
      </c>
      <c r="F262" s="42">
        <f>D262+E262</f>
        <v>573.47901000000002</v>
      </c>
      <c r="G262" s="42">
        <v>0</v>
      </c>
      <c r="H262" s="42">
        <f t="shared" si="11"/>
        <v>860.21851500000002</v>
      </c>
      <c r="I262" s="36"/>
      <c r="L262" s="177"/>
      <c r="M262" s="177"/>
      <c r="N262" s="36"/>
      <c r="T262" s="21"/>
    </row>
    <row r="263" spans="1:20" s="37" customFormat="1" x14ac:dyDescent="0.25">
      <c r="A263" s="97" t="s">
        <v>188</v>
      </c>
      <c r="B263" s="98"/>
      <c r="C263" s="98"/>
      <c r="D263" s="98"/>
      <c r="E263" s="98"/>
      <c r="F263" s="98"/>
      <c r="G263" s="98"/>
      <c r="H263" s="99"/>
      <c r="J263" s="36"/>
    </row>
    <row r="264" spans="1:20" s="37" customFormat="1" ht="15.75" customHeight="1" x14ac:dyDescent="0.25">
      <c r="A264" s="147">
        <v>1</v>
      </c>
      <c r="B264" s="148"/>
      <c r="C264" s="42" t="s">
        <v>187</v>
      </c>
      <c r="D264" s="52">
        <f>(3*7.05+2.45*3.35+2.45*3.65+2.75*3.65+1.35*2.2+1.3*1.2+1.4*0.9)*10.764</f>
        <v>582.62841000000003</v>
      </c>
      <c r="E264" s="42">
        <v>0</v>
      </c>
      <c r="F264" s="42">
        <f>D264+E264</f>
        <v>582.62841000000003</v>
      </c>
      <c r="G264" s="42">
        <v>0</v>
      </c>
      <c r="H264" s="42">
        <f>F264*(($H$223)+1)+(IF(G264&lt;101,G264,IF(G264&lt;201,G264/2,IF(G264&lt;=301,G264/3,G264/4))))</f>
        <v>873.94261500000005</v>
      </c>
      <c r="I264" s="61"/>
      <c r="L264" s="177"/>
      <c r="M264" s="177"/>
      <c r="N264" s="36"/>
    </row>
    <row r="265" spans="1:20" s="37" customFormat="1" ht="15.75" customHeight="1" x14ac:dyDescent="0.25">
      <c r="A265" s="147">
        <f>A264+1</f>
        <v>2</v>
      </c>
      <c r="B265" s="148"/>
      <c r="C265" s="147" t="s">
        <v>191</v>
      </c>
      <c r="D265" s="153"/>
      <c r="E265" s="153"/>
      <c r="F265" s="153"/>
      <c r="G265" s="153"/>
      <c r="H265" s="148"/>
      <c r="I265" s="36"/>
      <c r="L265" s="177"/>
      <c r="M265" s="177"/>
      <c r="N265" s="36"/>
    </row>
    <row r="266" spans="1:20" s="37" customFormat="1" ht="15.75" customHeight="1" x14ac:dyDescent="0.25">
      <c r="A266" s="147">
        <f>A265+1</f>
        <v>3</v>
      </c>
      <c r="B266" s="148"/>
      <c r="C266" s="42" t="s">
        <v>187</v>
      </c>
      <c r="D266" s="52">
        <f>(2.9*7+2.45*3.35+2.45*3.65+2.75*3.65+1.35*2.2+1.3*1.2+1.4*0.9)*10.764</f>
        <v>573.47901000000002</v>
      </c>
      <c r="E266" s="42">
        <v>0</v>
      </c>
      <c r="F266" s="42">
        <f>D266+E266</f>
        <v>573.47901000000002</v>
      </c>
      <c r="G266" s="42">
        <v>0</v>
      </c>
      <c r="H266" s="42">
        <f t="shared" ref="H266:H268" si="12">F266*(($H$223)+1)+(IF(G266&lt;101,G266,IF(G266&lt;201,G266/2,IF(G266&lt;=301,G266/3,G266/4))))</f>
        <v>860.21851500000002</v>
      </c>
      <c r="I266" s="36"/>
      <c r="L266" s="177"/>
      <c r="M266" s="177"/>
      <c r="N266" s="36"/>
    </row>
    <row r="267" spans="1:20" s="37" customFormat="1" ht="15.75" customHeight="1" x14ac:dyDescent="0.25">
      <c r="A267" s="147">
        <f>A266+1</f>
        <v>4</v>
      </c>
      <c r="B267" s="148"/>
      <c r="C267" s="42" t="s">
        <v>187</v>
      </c>
      <c r="D267" s="52">
        <f>(7.1*2.9+3.35*2.45+3.65*2.45+3.65*2.75+2.2*1.35+1.2*1.3+0.9*1.4)*10.764</f>
        <v>576.60056999999995</v>
      </c>
      <c r="E267" s="42">
        <v>0</v>
      </c>
      <c r="F267" s="42">
        <f>D267+E267</f>
        <v>576.60056999999995</v>
      </c>
      <c r="G267" s="42">
        <v>0</v>
      </c>
      <c r="H267" s="42">
        <f t="shared" si="12"/>
        <v>864.90085499999986</v>
      </c>
      <c r="I267" s="36"/>
      <c r="L267" s="177"/>
      <c r="M267" s="177"/>
      <c r="N267" s="36"/>
      <c r="T267" s="21"/>
    </row>
    <row r="268" spans="1:20" s="37" customFormat="1" ht="15.75" customHeight="1" x14ac:dyDescent="0.25">
      <c r="A268" s="147">
        <f>A267+1</f>
        <v>5</v>
      </c>
      <c r="B268" s="148"/>
      <c r="C268" s="42" t="s">
        <v>187</v>
      </c>
      <c r="D268" s="52">
        <f>(7*2.9+3.35*2.45+3.65*2.45+3.65*2.75+2.2*1.35+1.2*1.3+0.9*1.4)*10.764</f>
        <v>573.47901000000002</v>
      </c>
      <c r="E268" s="42">
        <v>0</v>
      </c>
      <c r="F268" s="42">
        <f>D268+E268</f>
        <v>573.47901000000002</v>
      </c>
      <c r="G268" s="42">
        <v>0</v>
      </c>
      <c r="H268" s="42">
        <f t="shared" si="12"/>
        <v>860.21851500000002</v>
      </c>
      <c r="I268" s="36"/>
      <c r="L268" s="177"/>
      <c r="M268" s="177"/>
      <c r="N268" s="36"/>
      <c r="T268" s="21"/>
    </row>
    <row r="269" spans="1:20" s="37" customFormat="1" x14ac:dyDescent="0.25">
      <c r="A269" s="97" t="s">
        <v>268</v>
      </c>
      <c r="B269" s="98"/>
      <c r="C269" s="98"/>
      <c r="D269" s="98"/>
      <c r="E269" s="98"/>
      <c r="F269" s="98"/>
      <c r="G269" s="98"/>
      <c r="H269" s="99"/>
      <c r="J269" s="36"/>
    </row>
    <row r="270" spans="1:20" s="37" customFormat="1" ht="15.75" customHeight="1" x14ac:dyDescent="0.25">
      <c r="A270" s="147">
        <v>1</v>
      </c>
      <c r="B270" s="148"/>
      <c r="C270" s="42" t="s">
        <v>187</v>
      </c>
      <c r="D270" s="52">
        <f>(3*7.05+2.45*3.35+2.45*3.65+2.75*3.65+1.35*2.2+1.3*1.2+1.4*0.9)*10.764</f>
        <v>582.62841000000003</v>
      </c>
      <c r="E270" s="42">
        <v>0</v>
      </c>
      <c r="F270" s="42">
        <f>D270+E270</f>
        <v>582.62841000000003</v>
      </c>
      <c r="G270" s="42">
        <v>0</v>
      </c>
      <c r="H270" s="42">
        <f>F270*(($H$223)+1)+(IF(G270&lt;101,G270,IF(G270&lt;201,G270/2,IF(G270&lt;=301,G270/3,G270/4))))</f>
        <v>873.94261500000005</v>
      </c>
      <c r="I270" s="61"/>
      <c r="L270" s="177"/>
      <c r="M270" s="177"/>
      <c r="N270" s="36"/>
    </row>
    <row r="271" spans="1:20" s="37" customFormat="1" ht="15.75" customHeight="1" x14ac:dyDescent="0.25">
      <c r="A271" s="147">
        <f>A270+1</f>
        <v>2</v>
      </c>
      <c r="B271" s="148"/>
      <c r="C271" s="141" t="s">
        <v>269</v>
      </c>
      <c r="D271" s="211"/>
      <c r="E271" s="211"/>
      <c r="F271" s="211"/>
      <c r="G271" s="211"/>
      <c r="H271" s="142"/>
      <c r="I271" s="36"/>
      <c r="L271" s="177"/>
      <c r="M271" s="177"/>
      <c r="N271" s="36"/>
    </row>
    <row r="272" spans="1:20" s="37" customFormat="1" ht="15.75" customHeight="1" x14ac:dyDescent="0.25">
      <c r="A272" s="147">
        <f>A271+1</f>
        <v>3</v>
      </c>
      <c r="B272" s="148"/>
      <c r="C272" s="145"/>
      <c r="D272" s="212"/>
      <c r="E272" s="212"/>
      <c r="F272" s="212"/>
      <c r="G272" s="212"/>
      <c r="H272" s="146"/>
      <c r="I272" s="36"/>
      <c r="L272" s="177"/>
      <c r="M272" s="177"/>
      <c r="N272" s="36"/>
    </row>
    <row r="273" spans="1:20" s="37" customFormat="1" ht="15.75" customHeight="1" x14ac:dyDescent="0.25">
      <c r="A273" s="147">
        <f>A272+1</f>
        <v>4</v>
      </c>
      <c r="B273" s="148"/>
      <c r="C273" s="42" t="s">
        <v>187</v>
      </c>
      <c r="D273" s="52">
        <f>(7.1*2.9+3.35*2.45+3.65*2.45+3.65*2.75+2.2*1.35+1.2*1.3+0.9*1.4)*10.764</f>
        <v>576.60056999999995</v>
      </c>
      <c r="E273" s="42">
        <v>0</v>
      </c>
      <c r="F273" s="42">
        <f>D273+E273</f>
        <v>576.60056999999995</v>
      </c>
      <c r="G273" s="42">
        <v>0</v>
      </c>
      <c r="H273" s="42">
        <f t="shared" ref="H273:H274" si="13">F273*(($H$223)+1)+(IF(G273&lt;101,G273,IF(G273&lt;201,G273/2,IF(G273&lt;=301,G273/3,G273/4))))</f>
        <v>864.90085499999986</v>
      </c>
      <c r="I273" s="36"/>
      <c r="L273" s="177"/>
      <c r="M273" s="177"/>
      <c r="N273" s="36"/>
      <c r="T273" s="21"/>
    </row>
    <row r="274" spans="1:20" s="37" customFormat="1" ht="15.75" customHeight="1" x14ac:dyDescent="0.25">
      <c r="A274" s="147">
        <f>A273+1</f>
        <v>5</v>
      </c>
      <c r="B274" s="148"/>
      <c r="C274" s="42" t="s">
        <v>187</v>
      </c>
      <c r="D274" s="52">
        <f>(7*2.9+3.35*2.45+3.65*2.45+3.65*2.75+2.2*1.35+1.2*1.3+0.9*1.4)*10.764</f>
        <v>573.47901000000002</v>
      </c>
      <c r="E274" s="42">
        <v>0</v>
      </c>
      <c r="F274" s="42">
        <f>D274+E274</f>
        <v>573.47901000000002</v>
      </c>
      <c r="G274" s="42">
        <v>0</v>
      </c>
      <c r="H274" s="42">
        <f t="shared" si="13"/>
        <v>860.21851500000002</v>
      </c>
      <c r="I274" s="36"/>
      <c r="L274" s="177"/>
      <c r="M274" s="177"/>
      <c r="N274" s="36"/>
      <c r="T274" s="21"/>
    </row>
    <row r="275" spans="1:20" s="37" customFormat="1" x14ac:dyDescent="0.25">
      <c r="A275" s="102" t="s">
        <v>205</v>
      </c>
      <c r="B275" s="103"/>
      <c r="C275" s="103"/>
      <c r="D275" s="103"/>
      <c r="E275" s="103"/>
      <c r="F275" s="103"/>
      <c r="G275" s="103"/>
      <c r="H275" s="104"/>
      <c r="J275" s="36"/>
    </row>
    <row r="276" spans="1:20" s="37" customFormat="1" x14ac:dyDescent="0.25">
      <c r="A276" s="102" t="s">
        <v>180</v>
      </c>
      <c r="B276" s="103"/>
      <c r="C276" s="103"/>
      <c r="D276" s="103"/>
      <c r="E276" s="103"/>
      <c r="F276" s="103"/>
      <c r="G276" s="103"/>
      <c r="H276" s="104"/>
      <c r="J276" s="36"/>
    </row>
    <row r="277" spans="1:20" s="37" customFormat="1" x14ac:dyDescent="0.25">
      <c r="A277" s="97" t="s">
        <v>285</v>
      </c>
      <c r="B277" s="98"/>
      <c r="C277" s="98"/>
      <c r="D277" s="98"/>
      <c r="E277" s="98"/>
      <c r="F277" s="98"/>
      <c r="G277" s="98"/>
      <c r="H277" s="99"/>
      <c r="I277" s="36"/>
    </row>
    <row r="278" spans="1:20" s="37" customFormat="1" x14ac:dyDescent="0.25">
      <c r="A278" s="97" t="s">
        <v>283</v>
      </c>
      <c r="B278" s="98"/>
      <c r="C278" s="98"/>
      <c r="D278" s="98"/>
      <c r="E278" s="98"/>
      <c r="F278" s="98"/>
      <c r="G278" s="98"/>
      <c r="H278" s="99"/>
      <c r="I278" s="36"/>
    </row>
    <row r="279" spans="1:20" s="37" customFormat="1" x14ac:dyDescent="0.25">
      <c r="A279" s="97" t="s">
        <v>270</v>
      </c>
      <c r="B279" s="98"/>
      <c r="C279" s="98"/>
      <c r="D279" s="98"/>
      <c r="E279" s="98"/>
      <c r="F279" s="98"/>
      <c r="G279" s="98"/>
      <c r="H279" s="99"/>
      <c r="I279" s="36"/>
    </row>
    <row r="280" spans="1:20" s="37" customFormat="1" x14ac:dyDescent="0.25">
      <c r="A280" s="97" t="s">
        <v>208</v>
      </c>
      <c r="B280" s="98"/>
      <c r="C280" s="98"/>
      <c r="D280" s="98"/>
      <c r="E280" s="98"/>
      <c r="F280" s="98"/>
      <c r="G280" s="98"/>
      <c r="H280" s="99"/>
      <c r="I280" s="36"/>
    </row>
    <row r="281" spans="1:20" s="37" customFormat="1" ht="15.6" customHeight="1" x14ac:dyDescent="0.25">
      <c r="A281" s="97" t="s">
        <v>279</v>
      </c>
      <c r="B281" s="98"/>
      <c r="C281" s="98"/>
      <c r="D281" s="98"/>
      <c r="E281" s="98"/>
      <c r="F281" s="98"/>
      <c r="G281" s="98"/>
      <c r="H281" s="99"/>
      <c r="I281" s="36"/>
    </row>
    <row r="282" spans="1:20" s="37" customFormat="1" x14ac:dyDescent="0.25">
      <c r="A282" s="97" t="s">
        <v>271</v>
      </c>
      <c r="B282" s="98"/>
      <c r="C282" s="98"/>
      <c r="D282" s="98"/>
      <c r="E282" s="98"/>
      <c r="F282" s="98"/>
      <c r="G282" s="98"/>
      <c r="H282" s="99"/>
      <c r="J282" s="36"/>
    </row>
    <row r="283" spans="1:20" s="37" customFormat="1" ht="15.75" customHeight="1" x14ac:dyDescent="0.25">
      <c r="A283" s="42">
        <v>1</v>
      </c>
      <c r="B283" s="42" t="s">
        <v>183</v>
      </c>
      <c r="C283" s="42" t="s">
        <v>187</v>
      </c>
      <c r="D283" s="52">
        <f>(5.05*2.85+2.25*2.9+3.4*2.9+3.1*3.95+2.35*1.35+2.35*1.35+3.25*1.3+1*2+0.9*1.3)*10.764</f>
        <v>610.99154999999996</v>
      </c>
      <c r="E283" s="52">
        <v>0</v>
      </c>
      <c r="F283" s="42">
        <f t="shared" ref="F283:F290" si="14">D283+E283</f>
        <v>610.99154999999996</v>
      </c>
      <c r="G283" s="52">
        <f>(0.7*2.85)*10.764</f>
        <v>21.474179999999997</v>
      </c>
      <c r="H283" s="42">
        <f>F283*(($H$223)+1)+(IF(G283&lt;101,G283,IF(G283&lt;201,G283/2,IF(G283&lt;=301,G283/3,G283/4))))</f>
        <v>937.96150499999999</v>
      </c>
      <c r="I283" s="61"/>
      <c r="L283" s="177"/>
      <c r="M283" s="177"/>
      <c r="N283" s="36"/>
    </row>
    <row r="284" spans="1:20" s="37" customFormat="1" ht="15.75" customHeight="1" x14ac:dyDescent="0.25">
      <c r="A284" s="42">
        <f t="shared" ref="A284:A290" si="15">A283+1</f>
        <v>2</v>
      </c>
      <c r="B284" s="42" t="s">
        <v>183</v>
      </c>
      <c r="C284" s="42" t="s">
        <v>202</v>
      </c>
      <c r="D284" s="52">
        <f>(5.25*2.9+2.5*2.15+3.4*2.9+1.35*2.35+1.4*2.4+1*1.65)*10.764</f>
        <v>415.94786999999997</v>
      </c>
      <c r="E284" s="52">
        <v>0</v>
      </c>
      <c r="F284" s="42">
        <f t="shared" si="14"/>
        <v>415.94786999999997</v>
      </c>
      <c r="G284" s="52">
        <f>(0.7*2.9)*10.764</f>
        <v>21.850919999999995</v>
      </c>
      <c r="H284" s="42">
        <f t="shared" ref="H284:H287" si="16">F284*(($H$223)+1)+(IF(G284&lt;101,G284,IF(G284&lt;201,G284/2,IF(G284&lt;=301,G284/3,G284/4))))</f>
        <v>645.77272499999992</v>
      </c>
      <c r="I284" s="36"/>
      <c r="L284" s="177"/>
      <c r="M284" s="177"/>
      <c r="N284" s="36"/>
    </row>
    <row r="285" spans="1:20" s="37" customFormat="1" ht="15.75" customHeight="1" x14ac:dyDescent="0.25">
      <c r="A285" s="42">
        <f t="shared" si="15"/>
        <v>3</v>
      </c>
      <c r="B285" s="42" t="s">
        <v>183</v>
      </c>
      <c r="C285" s="42" t="s">
        <v>202</v>
      </c>
      <c r="D285" s="52">
        <f>(5.25*2.9+2.5*2.15+3.4*2.9+1.35*2.35+1.4*2.4+1*1.65)*10.764</f>
        <v>415.94786999999997</v>
      </c>
      <c r="E285" s="52">
        <v>0</v>
      </c>
      <c r="F285" s="42">
        <f t="shared" si="14"/>
        <v>415.94786999999997</v>
      </c>
      <c r="G285" s="52">
        <f>(0.7*2.9)*10.764</f>
        <v>21.850919999999995</v>
      </c>
      <c r="H285" s="42">
        <f t="shared" si="16"/>
        <v>645.77272499999992</v>
      </c>
      <c r="I285" s="36"/>
      <c r="L285" s="177"/>
      <c r="M285" s="177"/>
      <c r="N285" s="36"/>
    </row>
    <row r="286" spans="1:20" s="37" customFormat="1" ht="15.75" customHeight="1" x14ac:dyDescent="0.25">
      <c r="A286" s="42">
        <f t="shared" si="15"/>
        <v>4</v>
      </c>
      <c r="B286" s="42" t="s">
        <v>183</v>
      </c>
      <c r="C286" s="42" t="s">
        <v>187</v>
      </c>
      <c r="D286" s="52">
        <f t="shared" ref="D286:D287" si="17">(5.05*2.85+2.25*2.9+3.4*2.9+3.1*3.95+2.35*1.35+2.35*1.35+3.25*1.3+1*2+0.9*1.3)*10.764</f>
        <v>610.99154999999996</v>
      </c>
      <c r="E286" s="52">
        <v>0</v>
      </c>
      <c r="F286" s="42">
        <f t="shared" si="14"/>
        <v>610.99154999999996</v>
      </c>
      <c r="G286" s="52">
        <f>(0.7*2.85)*10.764</f>
        <v>21.474179999999997</v>
      </c>
      <c r="H286" s="42">
        <f t="shared" si="16"/>
        <v>937.96150499999999</v>
      </c>
      <c r="I286" s="36"/>
      <c r="L286" s="177"/>
      <c r="M286" s="177"/>
      <c r="N286" s="36"/>
      <c r="T286" s="21"/>
    </row>
    <row r="287" spans="1:20" s="37" customFormat="1" ht="15.75" customHeight="1" x14ac:dyDescent="0.25">
      <c r="A287" s="42">
        <f t="shared" si="15"/>
        <v>5</v>
      </c>
      <c r="B287" s="42" t="s">
        <v>183</v>
      </c>
      <c r="C287" s="42" t="s">
        <v>187</v>
      </c>
      <c r="D287" s="52">
        <f t="shared" si="17"/>
        <v>610.99154999999996</v>
      </c>
      <c r="E287" s="52">
        <v>0</v>
      </c>
      <c r="F287" s="42">
        <f t="shared" si="14"/>
        <v>610.99154999999996</v>
      </c>
      <c r="G287" s="52">
        <f>(0.7*2.85)*10.764</f>
        <v>21.474179999999997</v>
      </c>
      <c r="H287" s="42">
        <f t="shared" si="16"/>
        <v>937.96150499999999</v>
      </c>
      <c r="I287" s="36"/>
      <c r="L287" s="177"/>
      <c r="M287" s="177"/>
      <c r="N287" s="36"/>
      <c r="T287" s="21"/>
    </row>
    <row r="288" spans="1:20" s="37" customFormat="1" ht="15.75" customHeight="1" x14ac:dyDescent="0.25">
      <c r="A288" s="42">
        <f t="shared" si="15"/>
        <v>6</v>
      </c>
      <c r="B288" s="42" t="s">
        <v>183</v>
      </c>
      <c r="C288" s="42" t="s">
        <v>202</v>
      </c>
      <c r="D288" s="52">
        <f>(5.25*2.9+2.5*2.15+3.4*2.9+1.35*2.35+1.4*2.4+1*1.65)*10.764</f>
        <v>415.94786999999997</v>
      </c>
      <c r="E288" s="52">
        <v>0</v>
      </c>
      <c r="F288" s="42">
        <f t="shared" si="14"/>
        <v>415.94786999999997</v>
      </c>
      <c r="G288" s="52">
        <f>(0.7*2.9)*10.764</f>
        <v>21.850919999999995</v>
      </c>
      <c r="H288" s="42">
        <f t="shared" ref="H288:H290" si="18">F288*(($H$223)+1)+(IF(G288&lt;101,G288,IF(G288&lt;201,G288/2,IF(G288&lt;=301,G288/3,G288/4))))</f>
        <v>645.77272499999992</v>
      </c>
      <c r="I288" s="36"/>
      <c r="L288" s="177"/>
      <c r="M288" s="177"/>
      <c r="N288" s="36"/>
    </row>
    <row r="289" spans="1:20" s="37" customFormat="1" ht="15.75" customHeight="1" x14ac:dyDescent="0.25">
      <c r="A289" s="42">
        <f t="shared" si="15"/>
        <v>7</v>
      </c>
      <c r="B289" s="42" t="s">
        <v>183</v>
      </c>
      <c r="C289" s="42" t="s">
        <v>202</v>
      </c>
      <c r="D289" s="52">
        <f>(5.25*2.9+2.5*2.15+3.4*2.9+1.35*2.35+1.4*2.4+1*1.65)*10.764</f>
        <v>415.94786999999997</v>
      </c>
      <c r="E289" s="52">
        <v>0</v>
      </c>
      <c r="F289" s="42">
        <f t="shared" si="14"/>
        <v>415.94786999999997</v>
      </c>
      <c r="G289" s="52">
        <f>(0.7*2.9)*10.764</f>
        <v>21.850919999999995</v>
      </c>
      <c r="H289" s="42">
        <f t="shared" si="18"/>
        <v>645.77272499999992</v>
      </c>
      <c r="I289" s="36"/>
      <c r="L289" s="177"/>
      <c r="M289" s="177"/>
      <c r="N289" s="36"/>
      <c r="T289" s="21"/>
    </row>
    <row r="290" spans="1:20" s="37" customFormat="1" ht="15.75" customHeight="1" x14ac:dyDescent="0.25">
      <c r="A290" s="42">
        <f t="shared" si="15"/>
        <v>8</v>
      </c>
      <c r="B290" s="42" t="s">
        <v>183</v>
      </c>
      <c r="C290" s="42" t="s">
        <v>187</v>
      </c>
      <c r="D290" s="52">
        <f>(5.05*2.85+2.25*2.9+3.4*2.9+3.1*3.95+2.35*1.35+2.35*1.35+3.25*1.3+1*2+0.9*1.3)*10.764</f>
        <v>610.99154999999996</v>
      </c>
      <c r="E290" s="52">
        <v>0</v>
      </c>
      <c r="F290" s="42">
        <f t="shared" si="14"/>
        <v>610.99154999999996</v>
      </c>
      <c r="G290" s="52">
        <f>(0.7*2.9)*10.764</f>
        <v>21.850919999999995</v>
      </c>
      <c r="H290" s="42">
        <f t="shared" si="18"/>
        <v>938.33824499999992</v>
      </c>
      <c r="I290" s="36"/>
      <c r="L290" s="177"/>
      <c r="M290" s="177"/>
      <c r="N290" s="36"/>
      <c r="T290" s="21"/>
    </row>
    <row r="291" spans="1:20" s="37" customFormat="1" x14ac:dyDescent="0.25">
      <c r="A291" s="97" t="s">
        <v>213</v>
      </c>
      <c r="B291" s="98"/>
      <c r="C291" s="98"/>
      <c r="D291" s="98"/>
      <c r="E291" s="98"/>
      <c r="F291" s="98"/>
      <c r="G291" s="98"/>
      <c r="H291" s="99"/>
      <c r="J291" s="36"/>
    </row>
    <row r="292" spans="1:20" s="37" customFormat="1" ht="15.75" customHeight="1" x14ac:dyDescent="0.25">
      <c r="A292" s="42">
        <v>1</v>
      </c>
      <c r="B292" s="42" t="s">
        <v>183</v>
      </c>
      <c r="C292" s="42" t="s">
        <v>187</v>
      </c>
      <c r="D292" s="52">
        <f>(5.05*2.85+2.25*2.9+3.4*2.9+3.1*3.95+2.35*1.35+2.35*1.35+3.25*1.3+1*2+0.9*1.3)*10.764</f>
        <v>610.99154999999996</v>
      </c>
      <c r="E292" s="42">
        <v>0</v>
      </c>
      <c r="F292" s="42">
        <f t="shared" ref="F292:F299" si="19">D292+E292</f>
        <v>610.99154999999996</v>
      </c>
      <c r="G292" s="42">
        <v>0</v>
      </c>
      <c r="H292" s="42">
        <f>F292*(($H$223)+1)+(IF(G292&lt;101,G292,IF(G292&lt;201,G292/2,IF(G292&lt;=301,G292/3,G292/4))))</f>
        <v>916.48732499999994</v>
      </c>
      <c r="I292" s="61"/>
      <c r="L292" s="177"/>
      <c r="M292" s="177"/>
      <c r="N292" s="36"/>
    </row>
    <row r="293" spans="1:20" s="37" customFormat="1" ht="15.75" customHeight="1" x14ac:dyDescent="0.25">
      <c r="A293" s="42">
        <f t="shared" ref="A293:A299" si="20">A292+1</f>
        <v>2</v>
      </c>
      <c r="B293" s="42" t="s">
        <v>183</v>
      </c>
      <c r="C293" s="42" t="s">
        <v>202</v>
      </c>
      <c r="D293" s="52">
        <f>(5.25*2.9+2.5*2.15+3.4*2.9+1.35*2.35+1.4*2.4+1*1.65)*10.764</f>
        <v>415.94786999999997</v>
      </c>
      <c r="E293" s="42">
        <v>0</v>
      </c>
      <c r="F293" s="42">
        <f t="shared" si="19"/>
        <v>415.94786999999997</v>
      </c>
      <c r="G293" s="42">
        <v>0</v>
      </c>
      <c r="H293" s="42">
        <f t="shared" ref="H293:H299" si="21">F293*(($H$223)+1)+(IF(G293&lt;101,G293,IF(G293&lt;201,G293/2,IF(G293&lt;=301,G293/3,G293/4))))</f>
        <v>623.92180499999995</v>
      </c>
      <c r="I293" s="36"/>
      <c r="L293" s="177"/>
      <c r="M293" s="177"/>
      <c r="N293" s="36"/>
    </row>
    <row r="294" spans="1:20" s="37" customFormat="1" ht="15.75" customHeight="1" x14ac:dyDescent="0.25">
      <c r="A294" s="42">
        <f t="shared" si="20"/>
        <v>3</v>
      </c>
      <c r="B294" s="42" t="s">
        <v>183</v>
      </c>
      <c r="C294" s="42" t="s">
        <v>202</v>
      </c>
      <c r="D294" s="52">
        <f>(5.25*2.9+2.5*2.15+3.4*2.9+1.35*2.35+1.4*2.4+1*1.65)*10.764</f>
        <v>415.94786999999997</v>
      </c>
      <c r="E294" s="42">
        <v>0</v>
      </c>
      <c r="F294" s="42">
        <f t="shared" si="19"/>
        <v>415.94786999999997</v>
      </c>
      <c r="G294" s="42">
        <v>0</v>
      </c>
      <c r="H294" s="42">
        <f t="shared" si="21"/>
        <v>623.92180499999995</v>
      </c>
      <c r="I294" s="36"/>
      <c r="L294" s="177"/>
      <c r="M294" s="177"/>
      <c r="N294" s="36"/>
    </row>
    <row r="295" spans="1:20" s="37" customFormat="1" ht="15.75" customHeight="1" x14ac:dyDescent="0.25">
      <c r="A295" s="42">
        <f t="shared" si="20"/>
        <v>4</v>
      </c>
      <c r="B295" s="42" t="s">
        <v>183</v>
      </c>
      <c r="C295" s="42" t="s">
        <v>187</v>
      </c>
      <c r="D295" s="52">
        <f t="shared" ref="D295:D296" si="22">(5.05*2.85+2.25*2.9+3.4*2.9+3.1*3.95+2.35*1.35+2.35*1.35+3.25*1.3+1*2+0.9*1.3)*10.764</f>
        <v>610.99154999999996</v>
      </c>
      <c r="E295" s="42">
        <v>0</v>
      </c>
      <c r="F295" s="42">
        <f t="shared" si="19"/>
        <v>610.99154999999996</v>
      </c>
      <c r="G295" s="42">
        <v>0</v>
      </c>
      <c r="H295" s="42">
        <f t="shared" si="21"/>
        <v>916.48732499999994</v>
      </c>
      <c r="I295" s="36"/>
      <c r="L295" s="177"/>
      <c r="M295" s="177"/>
      <c r="N295" s="36"/>
      <c r="T295" s="21"/>
    </row>
    <row r="296" spans="1:20" s="37" customFormat="1" ht="15.75" customHeight="1" x14ac:dyDescent="0.25">
      <c r="A296" s="42">
        <f t="shared" si="20"/>
        <v>5</v>
      </c>
      <c r="B296" s="42" t="s">
        <v>183</v>
      </c>
      <c r="C296" s="42" t="s">
        <v>187</v>
      </c>
      <c r="D296" s="52">
        <f t="shared" si="22"/>
        <v>610.99154999999996</v>
      </c>
      <c r="E296" s="42">
        <v>0</v>
      </c>
      <c r="F296" s="42">
        <f t="shared" si="19"/>
        <v>610.99154999999996</v>
      </c>
      <c r="G296" s="42">
        <v>0</v>
      </c>
      <c r="H296" s="42">
        <f t="shared" si="21"/>
        <v>916.48732499999994</v>
      </c>
      <c r="I296" s="36"/>
      <c r="L296" s="177"/>
      <c r="M296" s="177"/>
      <c r="N296" s="36"/>
      <c r="T296" s="21"/>
    </row>
    <row r="297" spans="1:20" s="37" customFormat="1" ht="15.75" customHeight="1" x14ac:dyDescent="0.25">
      <c r="A297" s="42">
        <f t="shared" si="20"/>
        <v>6</v>
      </c>
      <c r="B297" s="42" t="s">
        <v>183</v>
      </c>
      <c r="C297" s="42" t="s">
        <v>202</v>
      </c>
      <c r="D297" s="52">
        <f>(5.25*2.9+2.5*2.15+3.4*2.9+1.35*2.35+1.4*2.4+1*1.65)*10.764</f>
        <v>415.94786999999997</v>
      </c>
      <c r="E297" s="42">
        <v>0</v>
      </c>
      <c r="F297" s="42">
        <f t="shared" si="19"/>
        <v>415.94786999999997</v>
      </c>
      <c r="G297" s="42">
        <v>0</v>
      </c>
      <c r="H297" s="42">
        <f t="shared" si="21"/>
        <v>623.92180499999995</v>
      </c>
      <c r="I297" s="36"/>
      <c r="L297" s="177"/>
      <c r="M297" s="177"/>
      <c r="N297" s="36"/>
    </row>
    <row r="298" spans="1:20" s="37" customFormat="1" ht="15.75" customHeight="1" x14ac:dyDescent="0.25">
      <c r="A298" s="42">
        <f t="shared" si="20"/>
        <v>7</v>
      </c>
      <c r="B298" s="42" t="s">
        <v>183</v>
      </c>
      <c r="C298" s="42" t="s">
        <v>202</v>
      </c>
      <c r="D298" s="52">
        <f>(5.25*2.9+2.5*2.15+3.4*2.9+1.35*2.35+1.4*2.4+1*1.65)*10.764</f>
        <v>415.94786999999997</v>
      </c>
      <c r="E298" s="42">
        <v>0</v>
      </c>
      <c r="F298" s="42">
        <f t="shared" si="19"/>
        <v>415.94786999999997</v>
      </c>
      <c r="G298" s="42">
        <v>0</v>
      </c>
      <c r="H298" s="42">
        <f t="shared" si="21"/>
        <v>623.92180499999995</v>
      </c>
      <c r="I298" s="36"/>
      <c r="L298" s="177"/>
      <c r="M298" s="177"/>
      <c r="N298" s="36"/>
      <c r="T298" s="21"/>
    </row>
    <row r="299" spans="1:20" s="37" customFormat="1" ht="15.75" customHeight="1" x14ac:dyDescent="0.25">
      <c r="A299" s="42">
        <f t="shared" si="20"/>
        <v>8</v>
      </c>
      <c r="B299" s="42" t="s">
        <v>183</v>
      </c>
      <c r="C299" s="42" t="s">
        <v>187</v>
      </c>
      <c r="D299" s="52">
        <f>(5.05*2.85+2.25*2.9+3.4*2.9+3.1*3.95+2.35*1.35+2.35*1.35+3.25*1.3+1*2+0.9*1.3)*10.764</f>
        <v>610.99154999999996</v>
      </c>
      <c r="E299" s="42">
        <v>0</v>
      </c>
      <c r="F299" s="42">
        <f t="shared" si="19"/>
        <v>610.99154999999996</v>
      </c>
      <c r="G299" s="42">
        <v>0</v>
      </c>
      <c r="H299" s="42">
        <f t="shared" si="21"/>
        <v>916.48732499999994</v>
      </c>
      <c r="I299" s="36"/>
      <c r="L299" s="177"/>
      <c r="M299" s="177"/>
      <c r="N299" s="36"/>
      <c r="T299" s="21"/>
    </row>
    <row r="300" spans="1:20" s="37" customFormat="1" x14ac:dyDescent="0.25">
      <c r="A300" s="97" t="s">
        <v>214</v>
      </c>
      <c r="B300" s="98"/>
      <c r="C300" s="98"/>
      <c r="D300" s="98"/>
      <c r="E300" s="98"/>
      <c r="F300" s="98"/>
      <c r="G300" s="98"/>
      <c r="H300" s="99"/>
      <c r="J300" s="36"/>
    </row>
    <row r="301" spans="1:20" s="37" customFormat="1" ht="15.75" customHeight="1" x14ac:dyDescent="0.25">
      <c r="A301" s="42">
        <v>1</v>
      </c>
      <c r="B301" s="42" t="s">
        <v>183</v>
      </c>
      <c r="C301" s="42" t="s">
        <v>187</v>
      </c>
      <c r="D301" s="52">
        <f>(5.05*2.85+2.25*2.9+3.4*2.9+3.1*3.95+2.35*1.35+2.35*1.35+3.25*1.3+1*2+0.9*1.3)*10.764</f>
        <v>610.99154999999996</v>
      </c>
      <c r="E301" s="42">
        <v>0</v>
      </c>
      <c r="F301" s="42">
        <f t="shared" ref="F301:F308" si="23">D301+E301</f>
        <v>610.99154999999996</v>
      </c>
      <c r="G301" s="42">
        <v>0</v>
      </c>
      <c r="H301" s="42">
        <f>F301*(($H$223)+1)+(IF(G301&lt;101,G301,IF(G301&lt;201,G301/2,IF(G301&lt;=301,G301/3,G301/4))))</f>
        <v>916.48732499999994</v>
      </c>
      <c r="I301" s="61"/>
      <c r="L301" s="177"/>
      <c r="M301" s="177"/>
      <c r="N301" s="36"/>
    </row>
    <row r="302" spans="1:20" s="37" customFormat="1" ht="15.75" customHeight="1" x14ac:dyDescent="0.25">
      <c r="A302" s="42">
        <f t="shared" ref="A302:A308" si="24">A301+1</f>
        <v>2</v>
      </c>
      <c r="B302" s="42" t="s">
        <v>183</v>
      </c>
      <c r="C302" s="42" t="s">
        <v>202</v>
      </c>
      <c r="D302" s="52">
        <f>(5.25*2.9+2.5*2.15+3.4*2.9+1.35*2.35+1.4*2.4+1*1.65)*10.764</f>
        <v>415.94786999999997</v>
      </c>
      <c r="E302" s="42">
        <v>0</v>
      </c>
      <c r="F302" s="42">
        <f t="shared" si="23"/>
        <v>415.94786999999997</v>
      </c>
      <c r="G302" s="42">
        <v>0</v>
      </c>
      <c r="H302" s="42">
        <f t="shared" ref="H302:H308" si="25">F302*(($H$223)+1)+(IF(G302&lt;101,G302,IF(G302&lt;201,G302/2,IF(G302&lt;=301,G302/3,G302/4))))</f>
        <v>623.92180499999995</v>
      </c>
      <c r="I302" s="36"/>
      <c r="L302" s="177"/>
      <c r="M302" s="177"/>
      <c r="N302" s="36"/>
    </row>
    <row r="303" spans="1:20" s="37" customFormat="1" ht="15.75" customHeight="1" x14ac:dyDescent="0.25">
      <c r="A303" s="42">
        <f t="shared" si="24"/>
        <v>3</v>
      </c>
      <c r="B303" s="42" t="s">
        <v>183</v>
      </c>
      <c r="C303" s="42" t="s">
        <v>202</v>
      </c>
      <c r="D303" s="52">
        <f>(5.25*2.9+2.5*2.15+3.4*2.9+1.35*2.35+1.4*2.4+1*1.65)*10.764</f>
        <v>415.94786999999997</v>
      </c>
      <c r="E303" s="42">
        <v>0</v>
      </c>
      <c r="F303" s="42">
        <f t="shared" si="23"/>
        <v>415.94786999999997</v>
      </c>
      <c r="G303" s="42">
        <v>0</v>
      </c>
      <c r="H303" s="42">
        <f t="shared" si="25"/>
        <v>623.92180499999995</v>
      </c>
      <c r="I303" s="36"/>
      <c r="L303" s="177"/>
      <c r="M303" s="177"/>
      <c r="N303" s="36"/>
    </row>
    <row r="304" spans="1:20" s="37" customFormat="1" ht="15.75" customHeight="1" x14ac:dyDescent="0.25">
      <c r="A304" s="42">
        <f t="shared" si="24"/>
        <v>4</v>
      </c>
      <c r="B304" s="42" t="s">
        <v>183</v>
      </c>
      <c r="C304" s="42" t="s">
        <v>187</v>
      </c>
      <c r="D304" s="52">
        <f t="shared" ref="D304:D305" si="26">(5.05*2.85+2.25*2.9+3.4*2.9+3.1*3.95+2.35*1.35+2.35*1.35+3.25*1.3+1*2+0.9*1.3)*10.764</f>
        <v>610.99154999999996</v>
      </c>
      <c r="E304" s="42">
        <v>0</v>
      </c>
      <c r="F304" s="42">
        <f t="shared" si="23"/>
        <v>610.99154999999996</v>
      </c>
      <c r="G304" s="42">
        <v>0</v>
      </c>
      <c r="H304" s="42">
        <f t="shared" si="25"/>
        <v>916.48732499999994</v>
      </c>
      <c r="I304" s="36"/>
      <c r="L304" s="177"/>
      <c r="M304" s="177"/>
      <c r="N304" s="36"/>
      <c r="T304" s="21"/>
    </row>
    <row r="305" spans="1:20" s="37" customFormat="1" ht="15.75" customHeight="1" x14ac:dyDescent="0.25">
      <c r="A305" s="42">
        <f t="shared" si="24"/>
        <v>5</v>
      </c>
      <c r="B305" s="42" t="s">
        <v>183</v>
      </c>
      <c r="C305" s="42" t="s">
        <v>187</v>
      </c>
      <c r="D305" s="52">
        <f t="shared" si="26"/>
        <v>610.99154999999996</v>
      </c>
      <c r="E305" s="42">
        <v>0</v>
      </c>
      <c r="F305" s="42">
        <f t="shared" si="23"/>
        <v>610.99154999999996</v>
      </c>
      <c r="G305" s="42">
        <v>0</v>
      </c>
      <c r="H305" s="42">
        <f t="shared" si="25"/>
        <v>916.48732499999994</v>
      </c>
      <c r="I305" s="36"/>
      <c r="L305" s="177"/>
      <c r="M305" s="177"/>
      <c r="N305" s="36"/>
      <c r="T305" s="21"/>
    </row>
    <row r="306" spans="1:20" s="37" customFormat="1" ht="15.75" customHeight="1" x14ac:dyDescent="0.25">
      <c r="A306" s="42">
        <f t="shared" si="24"/>
        <v>6</v>
      </c>
      <c r="B306" s="42" t="s">
        <v>183</v>
      </c>
      <c r="C306" s="42" t="s">
        <v>202</v>
      </c>
      <c r="D306" s="52">
        <f>(5.25*2.9+2.5*2.15+3.4*2.9+1.35*2.35+1.4*2.4+1*1.65)*10.764</f>
        <v>415.94786999999997</v>
      </c>
      <c r="E306" s="42">
        <v>0</v>
      </c>
      <c r="F306" s="42">
        <f t="shared" si="23"/>
        <v>415.94786999999997</v>
      </c>
      <c r="G306" s="42">
        <v>0</v>
      </c>
      <c r="H306" s="42">
        <f t="shared" si="25"/>
        <v>623.92180499999995</v>
      </c>
      <c r="I306" s="36"/>
      <c r="L306" s="177"/>
      <c r="M306" s="177"/>
      <c r="N306" s="36"/>
    </row>
    <row r="307" spans="1:20" s="37" customFormat="1" ht="15.75" customHeight="1" x14ac:dyDescent="0.25">
      <c r="A307" s="42">
        <f t="shared" si="24"/>
        <v>7</v>
      </c>
      <c r="B307" s="42" t="s">
        <v>183</v>
      </c>
      <c r="C307" s="42" t="s">
        <v>202</v>
      </c>
      <c r="D307" s="52">
        <f>(5.25*2.9+2.5*2.15+3.4*2.9+1.35*2.35+1.4*2.4+1*1.65)*10.764</f>
        <v>415.94786999999997</v>
      </c>
      <c r="E307" s="42">
        <v>0</v>
      </c>
      <c r="F307" s="42">
        <f t="shared" si="23"/>
        <v>415.94786999999997</v>
      </c>
      <c r="G307" s="42">
        <v>0</v>
      </c>
      <c r="H307" s="42">
        <f t="shared" si="25"/>
        <v>623.92180499999995</v>
      </c>
      <c r="I307" s="36"/>
      <c r="L307" s="177"/>
      <c r="M307" s="177"/>
      <c r="N307" s="36"/>
      <c r="T307" s="21"/>
    </row>
    <row r="308" spans="1:20" s="37" customFormat="1" ht="15.75" customHeight="1" x14ac:dyDescent="0.25">
      <c r="A308" s="42">
        <f t="shared" si="24"/>
        <v>8</v>
      </c>
      <c r="B308" s="42" t="s">
        <v>183</v>
      </c>
      <c r="C308" s="42" t="s">
        <v>187</v>
      </c>
      <c r="D308" s="52">
        <f>(5.05*2.85+2.25*2.9+3.4*2.9+3.1*3.95+2.35*1.35+2.35*1.35+3.25*1.3+1*2+0.9*1.3)*10.764</f>
        <v>610.99154999999996</v>
      </c>
      <c r="E308" s="42">
        <v>0</v>
      </c>
      <c r="F308" s="42">
        <f t="shared" si="23"/>
        <v>610.99154999999996</v>
      </c>
      <c r="G308" s="42">
        <v>0</v>
      </c>
      <c r="H308" s="42">
        <f t="shared" si="25"/>
        <v>916.48732499999994</v>
      </c>
      <c r="I308" s="36"/>
      <c r="L308" s="177"/>
      <c r="M308" s="177"/>
      <c r="N308" s="36"/>
      <c r="T308" s="21"/>
    </row>
    <row r="309" spans="1:20" s="37" customFormat="1" x14ac:dyDescent="0.25">
      <c r="A309" s="97" t="s">
        <v>272</v>
      </c>
      <c r="B309" s="98"/>
      <c r="C309" s="98"/>
      <c r="D309" s="98"/>
      <c r="E309" s="98"/>
      <c r="F309" s="98"/>
      <c r="G309" s="98"/>
      <c r="H309" s="99"/>
      <c r="J309" s="36"/>
    </row>
    <row r="310" spans="1:20" s="37" customFormat="1" ht="15.75" customHeight="1" x14ac:dyDescent="0.25">
      <c r="A310" s="42">
        <v>1</v>
      </c>
      <c r="B310" s="42" t="s">
        <v>203</v>
      </c>
      <c r="C310" s="42" t="s">
        <v>187</v>
      </c>
      <c r="D310" s="52">
        <f>(5.05*2.85+2.25*2.9+3.4*2.9+3.1*3.95+2.35*1.35+2.35*1.35+3.25*1.3+1*2+0.9*1.3)*10.764</f>
        <v>610.99154999999996</v>
      </c>
      <c r="E310" s="42">
        <v>0</v>
      </c>
      <c r="F310" s="42">
        <f t="shared" ref="F310:F317" si="27">D310+E310</f>
        <v>610.99154999999996</v>
      </c>
      <c r="G310" s="42">
        <v>0</v>
      </c>
      <c r="H310" s="42">
        <f>F310*(($H$223)+1)+(IF(G310&lt;101,G310,IF(G310&lt;201,G310/2,IF(G310&lt;=301,G310/3,G310/4))))</f>
        <v>916.48732499999994</v>
      </c>
      <c r="I310" s="61"/>
      <c r="L310" s="177"/>
      <c r="M310" s="177"/>
      <c r="N310" s="36"/>
    </row>
    <row r="311" spans="1:20" s="37" customFormat="1" ht="15.75" customHeight="1" x14ac:dyDescent="0.25">
      <c r="A311" s="42">
        <f t="shared" ref="A311:A317" si="28">A310+1</f>
        <v>2</v>
      </c>
      <c r="B311" s="42" t="s">
        <v>203</v>
      </c>
      <c r="C311" s="42" t="s">
        <v>202</v>
      </c>
      <c r="D311" s="52">
        <f>(5.25*2.9+2.5*2.15+3.4*2.9+1.35*2.35+1.4*2.4+1*1.65)*10.764</f>
        <v>415.94786999999997</v>
      </c>
      <c r="E311" s="42">
        <v>0</v>
      </c>
      <c r="F311" s="42">
        <f t="shared" si="27"/>
        <v>415.94786999999997</v>
      </c>
      <c r="G311" s="42">
        <v>0</v>
      </c>
      <c r="H311" s="42">
        <f t="shared" ref="H311:H317" si="29">F311*(($H$223)+1)+(IF(G311&lt;101,G311,IF(G311&lt;201,G311/2,IF(G311&lt;=301,G311/3,G311/4))))</f>
        <v>623.92180499999995</v>
      </c>
      <c r="I311" s="36"/>
      <c r="L311" s="177"/>
      <c r="M311" s="177"/>
      <c r="N311" s="36"/>
    </row>
    <row r="312" spans="1:20" s="37" customFormat="1" ht="15.75" customHeight="1" x14ac:dyDescent="0.25">
      <c r="A312" s="42">
        <f t="shared" si="28"/>
        <v>3</v>
      </c>
      <c r="B312" s="42" t="s">
        <v>203</v>
      </c>
      <c r="C312" s="42" t="s">
        <v>202</v>
      </c>
      <c r="D312" s="52">
        <f>(5.25*2.9+2.5*2.15+3.4*2.9+1.35*2.35+1.4*2.4+1*1.65)*10.764</f>
        <v>415.94786999999997</v>
      </c>
      <c r="E312" s="42">
        <v>0</v>
      </c>
      <c r="F312" s="42">
        <f t="shared" si="27"/>
        <v>415.94786999999997</v>
      </c>
      <c r="G312" s="42">
        <v>0</v>
      </c>
      <c r="H312" s="42">
        <f t="shared" si="29"/>
        <v>623.92180499999995</v>
      </c>
      <c r="I312" s="36"/>
      <c r="L312" s="177"/>
      <c r="M312" s="177"/>
      <c r="N312" s="36"/>
    </row>
    <row r="313" spans="1:20" s="37" customFormat="1" ht="15.75" customHeight="1" x14ac:dyDescent="0.25">
      <c r="A313" s="42">
        <f t="shared" si="28"/>
        <v>4</v>
      </c>
      <c r="B313" s="42" t="s">
        <v>203</v>
      </c>
      <c r="C313" s="42" t="s">
        <v>187</v>
      </c>
      <c r="D313" s="52">
        <f t="shared" ref="D313:D314" si="30">(5.05*2.85+2.25*2.9+3.4*2.9+3.1*3.95+2.35*1.35+2.35*1.35+3.25*1.3+1*2+0.9*1.3)*10.764</f>
        <v>610.99154999999996</v>
      </c>
      <c r="E313" s="42">
        <v>0</v>
      </c>
      <c r="F313" s="42">
        <f t="shared" si="27"/>
        <v>610.99154999999996</v>
      </c>
      <c r="G313" s="42">
        <v>0</v>
      </c>
      <c r="H313" s="42">
        <f t="shared" si="29"/>
        <v>916.48732499999994</v>
      </c>
      <c r="I313" s="36"/>
      <c r="L313" s="177"/>
      <c r="M313" s="177"/>
      <c r="N313" s="36"/>
      <c r="T313" s="21"/>
    </row>
    <row r="314" spans="1:20" s="37" customFormat="1" ht="15.75" customHeight="1" x14ac:dyDescent="0.25">
      <c r="A314" s="42">
        <f t="shared" si="28"/>
        <v>5</v>
      </c>
      <c r="B314" s="42" t="s">
        <v>203</v>
      </c>
      <c r="C314" s="42" t="s">
        <v>187</v>
      </c>
      <c r="D314" s="52">
        <f t="shared" si="30"/>
        <v>610.99154999999996</v>
      </c>
      <c r="E314" s="42">
        <v>0</v>
      </c>
      <c r="F314" s="42">
        <f t="shared" si="27"/>
        <v>610.99154999999996</v>
      </c>
      <c r="G314" s="42">
        <v>0</v>
      </c>
      <c r="H314" s="42">
        <f t="shared" si="29"/>
        <v>916.48732499999994</v>
      </c>
      <c r="I314" s="36"/>
      <c r="L314" s="177"/>
      <c r="M314" s="177"/>
      <c r="N314" s="36"/>
      <c r="T314" s="21"/>
    </row>
    <row r="315" spans="1:20" s="37" customFormat="1" ht="15.75" customHeight="1" x14ac:dyDescent="0.25">
      <c r="A315" s="42">
        <f t="shared" si="28"/>
        <v>6</v>
      </c>
      <c r="B315" s="42" t="s">
        <v>203</v>
      </c>
      <c r="C315" s="42" t="s">
        <v>202</v>
      </c>
      <c r="D315" s="52">
        <f>(5.25*2.9+2.5*2.15+3.4*2.9+1.35*2.35+1.4*2.4+1*1.65)*10.764</f>
        <v>415.94786999999997</v>
      </c>
      <c r="E315" s="42">
        <v>0</v>
      </c>
      <c r="F315" s="42">
        <f t="shared" si="27"/>
        <v>415.94786999999997</v>
      </c>
      <c r="G315" s="42">
        <v>0</v>
      </c>
      <c r="H315" s="42">
        <f t="shared" si="29"/>
        <v>623.92180499999995</v>
      </c>
      <c r="I315" s="36"/>
      <c r="L315" s="177"/>
      <c r="M315" s="177"/>
      <c r="N315" s="36"/>
    </row>
    <row r="316" spans="1:20" s="37" customFormat="1" ht="15.75" customHeight="1" x14ac:dyDescent="0.25">
      <c r="A316" s="42">
        <f t="shared" si="28"/>
        <v>7</v>
      </c>
      <c r="B316" s="42" t="s">
        <v>203</v>
      </c>
      <c r="C316" s="42" t="s">
        <v>202</v>
      </c>
      <c r="D316" s="52">
        <f>(5.25*2.9+2.5*2.15+3.4*2.9+1.35*2.35+1.4*2.4+1*1.65)*10.764</f>
        <v>415.94786999999997</v>
      </c>
      <c r="E316" s="42">
        <v>0</v>
      </c>
      <c r="F316" s="42">
        <f t="shared" si="27"/>
        <v>415.94786999999997</v>
      </c>
      <c r="G316" s="42">
        <v>0</v>
      </c>
      <c r="H316" s="42">
        <f t="shared" si="29"/>
        <v>623.92180499999995</v>
      </c>
      <c r="I316" s="36"/>
      <c r="L316" s="177"/>
      <c r="M316" s="177"/>
      <c r="N316" s="36"/>
      <c r="T316" s="21"/>
    </row>
    <row r="317" spans="1:20" s="37" customFormat="1" ht="15.75" customHeight="1" x14ac:dyDescent="0.25">
      <c r="A317" s="42">
        <f t="shared" si="28"/>
        <v>8</v>
      </c>
      <c r="B317" s="42" t="s">
        <v>203</v>
      </c>
      <c r="C317" s="42" t="s">
        <v>187</v>
      </c>
      <c r="D317" s="52">
        <f>(5.05*2.85+2.25*2.9+3.4*2.9+3.1*3.95+2.35*1.35+2.35*1.35+3.25*1.3+1*2+0.9*1.3)*10.764</f>
        <v>610.99154999999996</v>
      </c>
      <c r="E317" s="42">
        <v>0</v>
      </c>
      <c r="F317" s="42">
        <f t="shared" si="27"/>
        <v>610.99154999999996</v>
      </c>
      <c r="G317" s="42">
        <v>0</v>
      </c>
      <c r="H317" s="42">
        <f t="shared" si="29"/>
        <v>916.48732499999994</v>
      </c>
      <c r="I317" s="36"/>
      <c r="L317" s="177"/>
      <c r="M317" s="177"/>
      <c r="N317" s="36"/>
      <c r="T317" s="21"/>
    </row>
    <row r="318" spans="1:20" s="37" customFormat="1" x14ac:dyDescent="0.25">
      <c r="A318" s="97" t="s">
        <v>273</v>
      </c>
      <c r="B318" s="98"/>
      <c r="C318" s="98"/>
      <c r="D318" s="98"/>
      <c r="E318" s="98"/>
      <c r="F318" s="98"/>
      <c r="G318" s="98"/>
      <c r="H318" s="99"/>
      <c r="J318" s="36"/>
    </row>
    <row r="319" spans="1:20" s="37" customFormat="1" ht="15.75" customHeight="1" x14ac:dyDescent="0.25">
      <c r="A319" s="42">
        <v>1</v>
      </c>
      <c r="B319" s="42" t="s">
        <v>203</v>
      </c>
      <c r="C319" s="42" t="s">
        <v>187</v>
      </c>
      <c r="D319" s="52">
        <f>(5.05*2.85+2.25*2.9+3.4*2.9+3.1*3.95+2.35*1.35+2.35*1.35+3.25*1.3+1*2+0.9*1.3)*10.764</f>
        <v>610.99154999999996</v>
      </c>
      <c r="E319" s="42">
        <v>0</v>
      </c>
      <c r="F319" s="42">
        <f>D319+E319</f>
        <v>610.99154999999996</v>
      </c>
      <c r="G319" s="42">
        <v>0</v>
      </c>
      <c r="H319" s="42">
        <f>F319*(($H$223)+1)+(IF(G319&lt;101,G319,IF(G319&lt;201,G319/2,IF(G319&lt;=301,G319/3,G319/4))))</f>
        <v>916.48732499999994</v>
      </c>
      <c r="I319" s="61"/>
      <c r="L319" s="177"/>
      <c r="M319" s="177"/>
      <c r="N319" s="36"/>
    </row>
    <row r="320" spans="1:20" s="37" customFormat="1" ht="15.75" customHeight="1" x14ac:dyDescent="0.25">
      <c r="A320" s="42">
        <f t="shared" ref="A320:A326" si="31">A319+1</f>
        <v>2</v>
      </c>
      <c r="B320" s="42" t="s">
        <v>203</v>
      </c>
      <c r="C320" s="42" t="s">
        <v>202</v>
      </c>
      <c r="D320" s="52">
        <f>(5.25*2.9+2.5*2.15+3.4*2.9+1.35*2.35+1.4*2.4+1*1.65)*10.764</f>
        <v>415.94786999999997</v>
      </c>
      <c r="E320" s="42">
        <v>0</v>
      </c>
      <c r="F320" s="42">
        <f>D320+E320</f>
        <v>415.94786999999997</v>
      </c>
      <c r="G320" s="42">
        <v>0</v>
      </c>
      <c r="H320" s="42">
        <f>F320*(($H$223)+1)+(IF(G320&lt;101,G320,IF(G320&lt;201,G320/2,IF(G320&lt;=301,G320/3,G320/4))))</f>
        <v>623.92180499999995</v>
      </c>
      <c r="I320" s="36"/>
      <c r="L320" s="177"/>
      <c r="M320" s="177"/>
      <c r="N320" s="36"/>
    </row>
    <row r="321" spans="1:20" s="37" customFormat="1" ht="15.75" customHeight="1" x14ac:dyDescent="0.25">
      <c r="A321" s="42">
        <f t="shared" si="31"/>
        <v>3</v>
      </c>
      <c r="B321" s="42" t="s">
        <v>203</v>
      </c>
      <c r="C321" s="42" t="s">
        <v>202</v>
      </c>
      <c r="D321" s="52">
        <f>(5.25*2.9+2.5*2.15+3.4*2.9+1.35*2.35+1.4*2.4+1*1.65)*10.764</f>
        <v>415.94786999999997</v>
      </c>
      <c r="E321" s="42">
        <v>0</v>
      </c>
      <c r="F321" s="42">
        <f>D321+E321</f>
        <v>415.94786999999997</v>
      </c>
      <c r="G321" s="42">
        <v>0</v>
      </c>
      <c r="H321" s="42">
        <f>F321*(($H$223)+1)+(IF(G321&lt;101,G321,IF(G321&lt;201,G321/2,IF(G321&lt;=301,G321/3,G321/4))))</f>
        <v>623.92180499999995</v>
      </c>
      <c r="I321" s="36"/>
      <c r="L321" s="177"/>
      <c r="M321" s="177"/>
      <c r="N321" s="36"/>
    </row>
    <row r="322" spans="1:20" s="37" customFormat="1" ht="15.75" customHeight="1" x14ac:dyDescent="0.25">
      <c r="A322" s="42">
        <f t="shared" si="31"/>
        <v>4</v>
      </c>
      <c r="B322" s="42" t="s">
        <v>203</v>
      </c>
      <c r="C322" s="42" t="s">
        <v>187</v>
      </c>
      <c r="D322" s="52">
        <f t="shared" ref="D322" si="32">(5.05*2.85+2.25*2.9+3.4*2.9+3.1*3.95+2.35*1.35+2.35*1.35+3.25*1.3+1*2+0.9*1.3)*10.764</f>
        <v>610.99154999999996</v>
      </c>
      <c r="E322" s="42">
        <v>0</v>
      </c>
      <c r="F322" s="42">
        <f>D322+E322</f>
        <v>610.99154999999996</v>
      </c>
      <c r="G322" s="42">
        <v>0</v>
      </c>
      <c r="H322" s="42">
        <f>F322*(($H$223)+1)+(IF(G322&lt;101,G322,IF(G322&lt;201,G322/2,IF(G322&lt;=301,G322/3,G322/4))))</f>
        <v>916.48732499999994</v>
      </c>
      <c r="I322" s="36"/>
      <c r="L322" s="177"/>
      <c r="M322" s="177"/>
      <c r="N322" s="36"/>
      <c r="T322" s="21"/>
    </row>
    <row r="323" spans="1:20" s="37" customFormat="1" ht="15.75" customHeight="1" x14ac:dyDescent="0.25">
      <c r="A323" s="42">
        <f t="shared" si="31"/>
        <v>5</v>
      </c>
      <c r="B323" s="42" t="s">
        <v>190</v>
      </c>
      <c r="C323" s="141" t="s">
        <v>191</v>
      </c>
      <c r="D323" s="211"/>
      <c r="E323" s="211"/>
      <c r="F323" s="211"/>
      <c r="G323" s="211"/>
      <c r="H323" s="142"/>
      <c r="I323" s="36"/>
      <c r="L323" s="177"/>
      <c r="M323" s="177"/>
      <c r="N323" s="36"/>
      <c r="T323" s="21"/>
    </row>
    <row r="324" spans="1:20" s="37" customFormat="1" ht="15.75" customHeight="1" x14ac:dyDescent="0.25">
      <c r="A324" s="42">
        <f t="shared" si="31"/>
        <v>6</v>
      </c>
      <c r="B324" s="42" t="s">
        <v>190</v>
      </c>
      <c r="C324" s="145"/>
      <c r="D324" s="212"/>
      <c r="E324" s="212"/>
      <c r="F324" s="212"/>
      <c r="G324" s="212"/>
      <c r="H324" s="146"/>
      <c r="I324" s="36"/>
      <c r="L324" s="177"/>
      <c r="M324" s="177"/>
      <c r="N324" s="36"/>
    </row>
    <row r="325" spans="1:20" s="37" customFormat="1" ht="15.75" customHeight="1" x14ac:dyDescent="0.25">
      <c r="A325" s="42">
        <f t="shared" si="31"/>
        <v>7</v>
      </c>
      <c r="B325" s="42" t="s">
        <v>203</v>
      </c>
      <c r="C325" s="42" t="s">
        <v>202</v>
      </c>
      <c r="D325" s="52">
        <f>(5.25*2.9+2.5*2.15+3.4*2.9+1.35*2.35+1.4*2.4+1*1.65)*10.764</f>
        <v>415.94786999999997</v>
      </c>
      <c r="E325" s="42">
        <v>0</v>
      </c>
      <c r="F325" s="42">
        <f>D325+E325</f>
        <v>415.94786999999997</v>
      </c>
      <c r="G325" s="42">
        <v>0</v>
      </c>
      <c r="H325" s="42">
        <f>F325*(($H$223)+1)+(IF(G325&lt;101,G325,IF(G325&lt;201,G325/2,IF(G325&lt;=301,G325/3,G325/4))))</f>
        <v>623.92180499999995</v>
      </c>
      <c r="I325" s="36"/>
      <c r="L325" s="177"/>
      <c r="M325" s="177"/>
      <c r="N325" s="36"/>
      <c r="T325" s="21"/>
    </row>
    <row r="326" spans="1:20" s="37" customFormat="1" ht="15.75" customHeight="1" x14ac:dyDescent="0.25">
      <c r="A326" s="42">
        <f t="shared" si="31"/>
        <v>8</v>
      </c>
      <c r="B326" s="42" t="s">
        <v>203</v>
      </c>
      <c r="C326" s="42" t="s">
        <v>187</v>
      </c>
      <c r="D326" s="52">
        <f>(5.05*2.85+2.15*2.9+3.4*2.9+3.1*3.95+2.35*1.35+2.35*1.35+3.25*1.3+1*2)*10.764</f>
        <v>595.27611000000002</v>
      </c>
      <c r="E326" s="42">
        <v>0</v>
      </c>
      <c r="F326" s="42">
        <f>D326+E326</f>
        <v>595.27611000000002</v>
      </c>
      <c r="G326" s="42">
        <v>0</v>
      </c>
      <c r="H326" s="42">
        <f>F326*(($H$223)+1)+(IF(G326&lt;101,G326,IF(G326&lt;201,G326/2,IF(G326&lt;=301,G326/3,G326/4))))</f>
        <v>892.91416500000003</v>
      </c>
      <c r="I326" s="36"/>
      <c r="L326" s="177"/>
      <c r="M326" s="177"/>
      <c r="N326" s="36"/>
      <c r="T326" s="21"/>
    </row>
    <row r="327" spans="1:20" s="37" customFormat="1" x14ac:dyDescent="0.25">
      <c r="A327" s="97" t="s">
        <v>274</v>
      </c>
      <c r="B327" s="98"/>
      <c r="C327" s="98"/>
      <c r="D327" s="98"/>
      <c r="E327" s="98"/>
      <c r="F327" s="98"/>
      <c r="G327" s="98"/>
      <c r="H327" s="99"/>
      <c r="J327" s="36"/>
    </row>
    <row r="328" spans="1:20" s="37" customFormat="1" ht="15.75" customHeight="1" x14ac:dyDescent="0.25">
      <c r="A328" s="42">
        <v>1</v>
      </c>
      <c r="B328" s="42" t="s">
        <v>183</v>
      </c>
      <c r="C328" s="42" t="s">
        <v>187</v>
      </c>
      <c r="D328" s="52">
        <f>(5.05*2.85+2.25*2.9+3.4*2.9+3.1*3.95+2.35*1.35+2.35*1.35+3.25*1.3+1*2+0.9*1.3)*10.764</f>
        <v>610.99154999999996</v>
      </c>
      <c r="E328" s="42">
        <v>0</v>
      </c>
      <c r="F328" s="42">
        <f t="shared" ref="F328:F335" si="33">D328+E328</f>
        <v>610.99154999999996</v>
      </c>
      <c r="G328" s="42">
        <v>0</v>
      </c>
      <c r="H328" s="42">
        <f>F328*(($H$223)+1)+(IF(G328&lt;101,G328,IF(G328&lt;201,G328/2,IF(G328&lt;=301,G328/3,G328/4))))</f>
        <v>916.48732499999994</v>
      </c>
      <c r="I328" s="61"/>
      <c r="L328" s="177"/>
      <c r="M328" s="177"/>
      <c r="N328" s="36"/>
    </row>
    <row r="329" spans="1:20" s="37" customFormat="1" ht="15.75" customHeight="1" x14ac:dyDescent="0.25">
      <c r="A329" s="42">
        <f t="shared" ref="A329:A335" si="34">A328+1</f>
        <v>2</v>
      </c>
      <c r="B329" s="42" t="s">
        <v>183</v>
      </c>
      <c r="C329" s="42" t="s">
        <v>202</v>
      </c>
      <c r="D329" s="52">
        <f>(5.25*2.9+2.5*2.15+3.4*2.9+1.35*2.35+1.4*2.4+1*1.65)*10.764</f>
        <v>415.94786999999997</v>
      </c>
      <c r="E329" s="42">
        <v>0</v>
      </c>
      <c r="F329" s="42">
        <f t="shared" si="33"/>
        <v>415.94786999999997</v>
      </c>
      <c r="G329" s="42">
        <v>0</v>
      </c>
      <c r="H329" s="42">
        <f t="shared" ref="H329:H335" si="35">F329*(($H$223)+1)+(IF(G329&lt;101,G329,IF(G329&lt;201,G329/2,IF(G329&lt;=301,G329/3,G329/4))))</f>
        <v>623.92180499999995</v>
      </c>
      <c r="I329" s="36"/>
      <c r="L329" s="177"/>
      <c r="M329" s="177"/>
      <c r="N329" s="36"/>
    </row>
    <row r="330" spans="1:20" s="37" customFormat="1" ht="15.75" customHeight="1" x14ac:dyDescent="0.25">
      <c r="A330" s="42">
        <f t="shared" si="34"/>
        <v>3</v>
      </c>
      <c r="B330" s="42" t="s">
        <v>183</v>
      </c>
      <c r="C330" s="42" t="s">
        <v>202</v>
      </c>
      <c r="D330" s="52">
        <f>(5.25*2.9+2.5*2.15+3.4*2.9+1.35*2.35+1.4*2.4+1*1.65)*10.764</f>
        <v>415.94786999999997</v>
      </c>
      <c r="E330" s="42">
        <v>0</v>
      </c>
      <c r="F330" s="42">
        <f t="shared" si="33"/>
        <v>415.94786999999997</v>
      </c>
      <c r="G330" s="42">
        <v>0</v>
      </c>
      <c r="H330" s="42">
        <f t="shared" si="35"/>
        <v>623.92180499999995</v>
      </c>
      <c r="I330" s="36"/>
      <c r="L330" s="177"/>
      <c r="M330" s="177"/>
      <c r="N330" s="36"/>
    </row>
    <row r="331" spans="1:20" s="37" customFormat="1" ht="15.75" customHeight="1" x14ac:dyDescent="0.25">
      <c r="A331" s="42">
        <f t="shared" si="34"/>
        <v>4</v>
      </c>
      <c r="B331" s="42" t="s">
        <v>183</v>
      </c>
      <c r="C331" s="42" t="s">
        <v>187</v>
      </c>
      <c r="D331" s="52">
        <f t="shared" ref="D331:D332" si="36">(5.05*2.85+2.25*2.9+3.4*2.9+3.1*3.95+2.35*1.35+2.35*1.35+3.25*1.3+1*2+0.9*1.3)*10.764</f>
        <v>610.99154999999996</v>
      </c>
      <c r="E331" s="42">
        <v>0</v>
      </c>
      <c r="F331" s="42">
        <f t="shared" si="33"/>
        <v>610.99154999999996</v>
      </c>
      <c r="G331" s="42">
        <v>0</v>
      </c>
      <c r="H331" s="42">
        <f t="shared" si="35"/>
        <v>916.48732499999994</v>
      </c>
      <c r="I331" s="36"/>
      <c r="L331" s="177"/>
      <c r="M331" s="177"/>
      <c r="N331" s="36"/>
      <c r="T331" s="21"/>
    </row>
    <row r="332" spans="1:20" s="37" customFormat="1" ht="15.75" customHeight="1" x14ac:dyDescent="0.25">
      <c r="A332" s="42">
        <f t="shared" si="34"/>
        <v>5</v>
      </c>
      <c r="B332" s="42" t="s">
        <v>183</v>
      </c>
      <c r="C332" s="42" t="s">
        <v>187</v>
      </c>
      <c r="D332" s="52">
        <f t="shared" si="36"/>
        <v>610.99154999999996</v>
      </c>
      <c r="E332" s="42">
        <v>0</v>
      </c>
      <c r="F332" s="42">
        <f t="shared" si="33"/>
        <v>610.99154999999996</v>
      </c>
      <c r="G332" s="42">
        <v>0</v>
      </c>
      <c r="H332" s="42">
        <f t="shared" si="35"/>
        <v>916.48732499999994</v>
      </c>
      <c r="I332" s="36"/>
      <c r="L332" s="177"/>
      <c r="M332" s="177"/>
      <c r="N332" s="36"/>
      <c r="T332" s="21"/>
    </row>
    <row r="333" spans="1:20" s="37" customFormat="1" ht="15.75" customHeight="1" x14ac:dyDescent="0.25">
      <c r="A333" s="42">
        <f t="shared" si="34"/>
        <v>6</v>
      </c>
      <c r="B333" s="42" t="s">
        <v>183</v>
      </c>
      <c r="C333" s="42" t="s">
        <v>202</v>
      </c>
      <c r="D333" s="52">
        <f>(5.25*2.9+2.5*2.15+3.4*2.9+1.35*2.35+1.4*2.4+1*1.65)*10.764</f>
        <v>415.94786999999997</v>
      </c>
      <c r="E333" s="42">
        <v>0</v>
      </c>
      <c r="F333" s="42">
        <f t="shared" si="33"/>
        <v>415.94786999999997</v>
      </c>
      <c r="G333" s="42">
        <v>0</v>
      </c>
      <c r="H333" s="42">
        <f t="shared" si="35"/>
        <v>623.92180499999995</v>
      </c>
      <c r="I333" s="36"/>
      <c r="L333" s="177"/>
      <c r="M333" s="177"/>
      <c r="N333" s="36"/>
    </row>
    <row r="334" spans="1:20" s="37" customFormat="1" ht="15.75" customHeight="1" x14ac:dyDescent="0.25">
      <c r="A334" s="42">
        <f t="shared" si="34"/>
        <v>7</v>
      </c>
      <c r="B334" s="42" t="s">
        <v>183</v>
      </c>
      <c r="C334" s="42" t="s">
        <v>202</v>
      </c>
      <c r="D334" s="52">
        <f>(5.25*2.9+2.5*2.15+3.4*2.9+1.35*2.35+1.4*2.4+1*1.65)*10.764</f>
        <v>415.94786999999997</v>
      </c>
      <c r="E334" s="42">
        <v>0</v>
      </c>
      <c r="F334" s="42">
        <f t="shared" si="33"/>
        <v>415.94786999999997</v>
      </c>
      <c r="G334" s="42">
        <v>0</v>
      </c>
      <c r="H334" s="42">
        <f t="shared" si="35"/>
        <v>623.92180499999995</v>
      </c>
      <c r="I334" s="36"/>
      <c r="L334" s="177"/>
      <c r="M334" s="177"/>
      <c r="N334" s="36"/>
      <c r="T334" s="21"/>
    </row>
    <row r="335" spans="1:20" s="37" customFormat="1" ht="15.75" customHeight="1" x14ac:dyDescent="0.25">
      <c r="A335" s="42">
        <f t="shared" si="34"/>
        <v>8</v>
      </c>
      <c r="B335" s="42" t="s">
        <v>183</v>
      </c>
      <c r="C335" s="42" t="s">
        <v>187</v>
      </c>
      <c r="D335" s="52">
        <f>(5.05*2.85+2.25*2.9+3.4*2.9+3.1*3.95+2.35*1.35+2.35*1.35+3.25*1.3+1*2+0.9*1.3)*10.764</f>
        <v>610.99154999999996</v>
      </c>
      <c r="E335" s="42">
        <v>0</v>
      </c>
      <c r="F335" s="42">
        <f t="shared" si="33"/>
        <v>610.99154999999996</v>
      </c>
      <c r="G335" s="42">
        <v>0</v>
      </c>
      <c r="H335" s="42">
        <f t="shared" si="35"/>
        <v>916.48732499999994</v>
      </c>
      <c r="I335" s="36"/>
      <c r="L335" s="177"/>
      <c r="M335" s="177"/>
      <c r="N335" s="36"/>
      <c r="T335" s="21"/>
    </row>
    <row r="336" spans="1:20" s="37" customFormat="1" x14ac:dyDescent="0.25">
      <c r="A336" s="97" t="s">
        <v>275</v>
      </c>
      <c r="B336" s="98"/>
      <c r="C336" s="98"/>
      <c r="D336" s="98"/>
      <c r="E336" s="98"/>
      <c r="F336" s="98"/>
      <c r="G336" s="98"/>
      <c r="H336" s="99"/>
      <c r="J336" s="36"/>
    </row>
    <row r="337" spans="1:20" s="37" customFormat="1" ht="15.75" customHeight="1" x14ac:dyDescent="0.25">
      <c r="A337" s="42">
        <v>1</v>
      </c>
      <c r="B337" s="42" t="s">
        <v>183</v>
      </c>
      <c r="C337" s="42" t="s">
        <v>187</v>
      </c>
      <c r="D337" s="52">
        <f>(5.05*2.85+2.25*2.9+3.4*2.9+3.1*3.95+2.35*1.35+2.35*1.35+3.25*1.3+1*2+0.9*1.3)*10.764</f>
        <v>610.99154999999996</v>
      </c>
      <c r="E337" s="42">
        <v>0</v>
      </c>
      <c r="F337" s="42">
        <f>D337+E337</f>
        <v>610.99154999999996</v>
      </c>
      <c r="G337" s="42">
        <v>0</v>
      </c>
      <c r="H337" s="42">
        <f>F337*(($H$223)+1)+(IF(G337&lt;101,G337,IF(G337&lt;201,G337/2,IF(G337&lt;=301,G337/3,G337/4))))</f>
        <v>916.48732499999994</v>
      </c>
      <c r="I337" s="61"/>
      <c r="L337" s="177"/>
      <c r="M337" s="177"/>
      <c r="N337" s="36"/>
    </row>
    <row r="338" spans="1:20" s="37" customFormat="1" ht="15.75" customHeight="1" x14ac:dyDescent="0.25">
      <c r="A338" s="42">
        <f t="shared" ref="A338:A344" si="37">A337+1</f>
        <v>2</v>
      </c>
      <c r="B338" s="42" t="s">
        <v>183</v>
      </c>
      <c r="C338" s="42" t="s">
        <v>202</v>
      </c>
      <c r="D338" s="52">
        <f>(5.25*2.9+2.5*2.15+3.4*2.9+1.35*2.35+1.4*2.4+1*1.65)*10.764</f>
        <v>415.94786999999997</v>
      </c>
      <c r="E338" s="42">
        <v>0</v>
      </c>
      <c r="F338" s="42">
        <f>D338+E338</f>
        <v>415.94786999999997</v>
      </c>
      <c r="G338" s="42">
        <v>0</v>
      </c>
      <c r="H338" s="42">
        <f t="shared" ref="H338:H340" si="38">F338*(($H$223)+1)+(IF(G338&lt;101,G338,IF(G338&lt;201,G338/2,IF(G338&lt;=301,G338/3,G338/4))))</f>
        <v>623.92180499999995</v>
      </c>
      <c r="I338" s="36"/>
      <c r="L338" s="177"/>
      <c r="M338" s="177"/>
      <c r="N338" s="36"/>
    </row>
    <row r="339" spans="1:20" s="37" customFormat="1" ht="15.75" customHeight="1" x14ac:dyDescent="0.25">
      <c r="A339" s="42">
        <f t="shared" si="37"/>
        <v>3</v>
      </c>
      <c r="B339" s="42" t="s">
        <v>183</v>
      </c>
      <c r="C339" s="42" t="s">
        <v>202</v>
      </c>
      <c r="D339" s="52">
        <f>(5.25*2.9+2.5*2.15+3.4*2.9+1.35*2.35+1.4*2.4+1*1.65)*10.764</f>
        <v>415.94786999999997</v>
      </c>
      <c r="E339" s="42">
        <v>0</v>
      </c>
      <c r="F339" s="42">
        <f>D339+E339</f>
        <v>415.94786999999997</v>
      </c>
      <c r="G339" s="42">
        <v>0</v>
      </c>
      <c r="H339" s="42">
        <f t="shared" si="38"/>
        <v>623.92180499999995</v>
      </c>
      <c r="I339" s="36"/>
      <c r="L339" s="177"/>
      <c r="M339" s="177"/>
      <c r="N339" s="36"/>
    </row>
    <row r="340" spans="1:20" s="37" customFormat="1" ht="15.75" customHeight="1" x14ac:dyDescent="0.25">
      <c r="A340" s="42">
        <f t="shared" si="37"/>
        <v>4</v>
      </c>
      <c r="B340" s="42" t="s">
        <v>183</v>
      </c>
      <c r="C340" s="42" t="s">
        <v>187</v>
      </c>
      <c r="D340" s="52">
        <f t="shared" ref="D340" si="39">(5.05*2.85+2.25*2.9+3.4*2.9+3.1*3.95+2.35*1.35+2.35*1.35+3.25*1.3+1*2+0.9*1.3)*10.764</f>
        <v>610.99154999999996</v>
      </c>
      <c r="E340" s="42">
        <v>0</v>
      </c>
      <c r="F340" s="42">
        <f>D340+E340</f>
        <v>610.99154999999996</v>
      </c>
      <c r="G340" s="42">
        <v>0</v>
      </c>
      <c r="H340" s="42">
        <f t="shared" si="38"/>
        <v>916.48732499999994</v>
      </c>
      <c r="I340" s="36"/>
      <c r="L340" s="177"/>
      <c r="M340" s="177"/>
      <c r="N340" s="36"/>
      <c r="T340" s="21"/>
    </row>
    <row r="341" spans="1:20" s="37" customFormat="1" ht="15.75" customHeight="1" x14ac:dyDescent="0.25">
      <c r="A341" s="42">
        <f t="shared" si="37"/>
        <v>5</v>
      </c>
      <c r="B341" s="42" t="s">
        <v>190</v>
      </c>
      <c r="C341" s="141" t="s">
        <v>191</v>
      </c>
      <c r="D341" s="211"/>
      <c r="E341" s="211"/>
      <c r="F341" s="211"/>
      <c r="G341" s="211"/>
      <c r="H341" s="142"/>
      <c r="I341" s="36"/>
      <c r="L341" s="177"/>
      <c r="M341" s="177"/>
      <c r="N341" s="36"/>
      <c r="T341" s="21"/>
    </row>
    <row r="342" spans="1:20" s="37" customFormat="1" ht="15.75" customHeight="1" x14ac:dyDescent="0.25">
      <c r="A342" s="42">
        <f t="shared" si="37"/>
        <v>6</v>
      </c>
      <c r="B342" s="42" t="s">
        <v>190</v>
      </c>
      <c r="C342" s="145"/>
      <c r="D342" s="212"/>
      <c r="E342" s="212"/>
      <c r="F342" s="212"/>
      <c r="G342" s="212"/>
      <c r="H342" s="146"/>
      <c r="I342" s="36"/>
      <c r="L342" s="177"/>
      <c r="M342" s="177"/>
      <c r="N342" s="36"/>
    </row>
    <row r="343" spans="1:20" s="37" customFormat="1" ht="15.75" customHeight="1" x14ac:dyDescent="0.25">
      <c r="A343" s="42">
        <f t="shared" si="37"/>
        <v>7</v>
      </c>
      <c r="B343" s="58" t="s">
        <v>212</v>
      </c>
      <c r="C343" s="42" t="s">
        <v>202</v>
      </c>
      <c r="D343" s="52">
        <f>(5.25*2.9+2.5*2.15+3.4*2.9+1.35*2.35+1.4*2.4+1*1.65)*10.764</f>
        <v>415.94786999999997</v>
      </c>
      <c r="E343" s="42">
        <v>0</v>
      </c>
      <c r="F343" s="42">
        <f>D343+E343</f>
        <v>415.94786999999997</v>
      </c>
      <c r="G343" s="42">
        <v>0</v>
      </c>
      <c r="H343" s="42">
        <f t="shared" ref="H343:H344" si="40">F343*(($H$223)+1)+(IF(G343&lt;101,G343,IF(G343&lt;201,G343/2,IF(G343&lt;=301,G343/3,G343/4))))</f>
        <v>623.92180499999995</v>
      </c>
      <c r="I343" s="36"/>
      <c r="L343" s="177"/>
      <c r="M343" s="177"/>
      <c r="N343" s="36"/>
      <c r="T343" s="21"/>
    </row>
    <row r="344" spans="1:20" s="37" customFormat="1" ht="15.75" customHeight="1" x14ac:dyDescent="0.25">
      <c r="A344" s="42">
        <f t="shared" si="37"/>
        <v>8</v>
      </c>
      <c r="B344" s="42" t="s">
        <v>183</v>
      </c>
      <c r="C344" s="42" t="s">
        <v>187</v>
      </c>
      <c r="D344" s="52">
        <f>(5.05*2.85+2.25*2.9+3.4*2.9+3.1*3.95+2.35*1.35+2.35*1.35+3.25*1.3+1*2+0.9*1.3)*10.764</f>
        <v>610.99154999999996</v>
      </c>
      <c r="E344" s="42">
        <v>0</v>
      </c>
      <c r="F344" s="42">
        <f>D344+E344</f>
        <v>610.99154999999996</v>
      </c>
      <c r="G344" s="42">
        <v>0</v>
      </c>
      <c r="H344" s="42">
        <f t="shared" si="40"/>
        <v>916.48732499999994</v>
      </c>
      <c r="I344" s="36"/>
      <c r="L344" s="177"/>
      <c r="M344" s="177"/>
      <c r="N344" s="36"/>
      <c r="T344" s="21"/>
    </row>
    <row r="345" spans="1:20" s="37" customFormat="1" x14ac:dyDescent="0.25">
      <c r="A345" s="102" t="s">
        <v>193</v>
      </c>
      <c r="B345" s="103"/>
      <c r="C345" s="103"/>
      <c r="D345" s="103"/>
      <c r="E345" s="103"/>
      <c r="F345" s="103"/>
      <c r="G345" s="103"/>
      <c r="H345" s="104"/>
      <c r="J345" s="36"/>
    </row>
    <row r="346" spans="1:20" s="37" customFormat="1" x14ac:dyDescent="0.25">
      <c r="A346" s="97" t="s">
        <v>285</v>
      </c>
      <c r="B346" s="98"/>
      <c r="C346" s="98"/>
      <c r="D346" s="98"/>
      <c r="E346" s="98"/>
      <c r="F346" s="98"/>
      <c r="G346" s="98"/>
      <c r="H346" s="99"/>
      <c r="I346" s="36"/>
    </row>
    <row r="347" spans="1:20" s="37" customFormat="1" x14ac:dyDescent="0.25">
      <c r="A347" s="97" t="s">
        <v>283</v>
      </c>
      <c r="B347" s="98"/>
      <c r="C347" s="98"/>
      <c r="D347" s="98"/>
      <c r="E347" s="98"/>
      <c r="F347" s="98"/>
      <c r="G347" s="98"/>
      <c r="H347" s="99"/>
      <c r="I347" s="36"/>
    </row>
    <row r="348" spans="1:20" s="37" customFormat="1" x14ac:dyDescent="0.25">
      <c r="A348" s="97" t="s">
        <v>270</v>
      </c>
      <c r="B348" s="98"/>
      <c r="C348" s="98"/>
      <c r="D348" s="98"/>
      <c r="E348" s="98"/>
      <c r="F348" s="98"/>
      <c r="G348" s="98"/>
      <c r="H348" s="99"/>
      <c r="I348" s="36"/>
    </row>
    <row r="349" spans="1:20" s="37" customFormat="1" x14ac:dyDescent="0.25">
      <c r="A349" s="97" t="s">
        <v>208</v>
      </c>
      <c r="B349" s="98"/>
      <c r="C349" s="98"/>
      <c r="D349" s="98"/>
      <c r="E349" s="98"/>
      <c r="F349" s="98"/>
      <c r="G349" s="98"/>
      <c r="H349" s="99"/>
      <c r="I349" s="36"/>
    </row>
    <row r="350" spans="1:20" s="37" customFormat="1" ht="15.6" customHeight="1" x14ac:dyDescent="0.25">
      <c r="A350" s="199" t="s">
        <v>210</v>
      </c>
      <c r="B350" s="200"/>
      <c r="C350" s="200"/>
      <c r="D350" s="200"/>
      <c r="E350" s="200"/>
      <c r="F350" s="200"/>
      <c r="G350" s="200"/>
      <c r="H350" s="201"/>
      <c r="I350" s="36"/>
    </row>
    <row r="351" spans="1:20" s="37" customFormat="1" x14ac:dyDescent="0.25">
      <c r="A351" s="97" t="s">
        <v>271</v>
      </c>
      <c r="B351" s="98"/>
      <c r="C351" s="98"/>
      <c r="D351" s="98"/>
      <c r="E351" s="98"/>
      <c r="F351" s="98"/>
      <c r="G351" s="98"/>
      <c r="H351" s="99"/>
      <c r="J351" s="36"/>
    </row>
    <row r="352" spans="1:20" s="37" customFormat="1" ht="15.75" customHeight="1" x14ac:dyDescent="0.25">
      <c r="A352" s="42">
        <v>1</v>
      </c>
      <c r="B352" s="42" t="s">
        <v>183</v>
      </c>
      <c r="C352" s="42" t="s">
        <v>187</v>
      </c>
      <c r="D352" s="52">
        <f>(5.05*2.85+2.25*2.9+3.4*2.9+3.1*3.95+2.35*1.35+2.35*1.35+3.25*1.3+1*2+0.9*1.3)*10.764</f>
        <v>610.99154999999996</v>
      </c>
      <c r="E352" s="42">
        <v>0</v>
      </c>
      <c r="F352" s="42">
        <f t="shared" ref="F352:F357" si="41">D352+E352</f>
        <v>610.99154999999996</v>
      </c>
      <c r="G352" s="52">
        <f>(0.7*2.85)*10.764</f>
        <v>21.474179999999997</v>
      </c>
      <c r="H352" s="42">
        <f>F352*(($H$223)+1)+(IF(G352&lt;101,G352,IF(G352&lt;201,G352/2,IF(G352&lt;=301,G352/3,G352/4))))</f>
        <v>937.96150499999999</v>
      </c>
      <c r="I352" s="61"/>
      <c r="L352" s="177"/>
      <c r="M352" s="177"/>
      <c r="N352" s="36"/>
    </row>
    <row r="353" spans="1:20" s="37" customFormat="1" ht="15.75" customHeight="1" x14ac:dyDescent="0.25">
      <c r="A353" s="42">
        <f>A352+1</f>
        <v>2</v>
      </c>
      <c r="B353" s="42" t="s">
        <v>183</v>
      </c>
      <c r="C353" s="42" t="s">
        <v>202</v>
      </c>
      <c r="D353" s="52">
        <f>(5.25*2.9+2.5*2.15+3.4*2.9+1.35*2.35+1.4*2.4+0.9*1.65)*10.764</f>
        <v>414.17180999999999</v>
      </c>
      <c r="E353" s="42">
        <v>0</v>
      </c>
      <c r="F353" s="42">
        <f t="shared" si="41"/>
        <v>414.17180999999999</v>
      </c>
      <c r="G353" s="52">
        <f>(0.7*2.9)*10.764</f>
        <v>21.850919999999995</v>
      </c>
      <c r="H353" s="42">
        <f t="shared" ref="H353:H357" si="42">F353*(($H$223)+1)+(IF(G353&lt;101,G353,IF(G353&lt;201,G353/2,IF(G353&lt;=301,G353/3,G353/4))))</f>
        <v>643.10863499999994</v>
      </c>
      <c r="I353" s="36"/>
      <c r="L353" s="177"/>
      <c r="M353" s="177"/>
      <c r="N353" s="36"/>
    </row>
    <row r="354" spans="1:20" s="37" customFormat="1" ht="15.75" customHeight="1" x14ac:dyDescent="0.25">
      <c r="A354" s="42">
        <f>A353+1</f>
        <v>3</v>
      </c>
      <c r="B354" s="42" t="s">
        <v>183</v>
      </c>
      <c r="C354" s="42" t="s">
        <v>202</v>
      </c>
      <c r="D354" s="52">
        <f>(6.1*2.9+2.5*2.15+3.4*2.9+2.35*1.35+1.4*2.4+0.9*1.65+0.2*1.65)*10.764</f>
        <v>444.25718999999992</v>
      </c>
      <c r="E354" s="42">
        <v>0</v>
      </c>
      <c r="F354" s="42">
        <f t="shared" si="41"/>
        <v>444.25718999999992</v>
      </c>
      <c r="G354" s="52">
        <v>0</v>
      </c>
      <c r="H354" s="42">
        <f t="shared" si="42"/>
        <v>666.38578499999994</v>
      </c>
      <c r="I354" s="36"/>
      <c r="L354" s="177"/>
      <c r="M354" s="177"/>
      <c r="N354" s="36"/>
    </row>
    <row r="355" spans="1:20" s="37" customFormat="1" ht="15.75" customHeight="1" x14ac:dyDescent="0.25">
      <c r="A355" s="42">
        <f>A354+1</f>
        <v>4</v>
      </c>
      <c r="B355" s="42" t="s">
        <v>183</v>
      </c>
      <c r="C355" s="42" t="s">
        <v>187</v>
      </c>
      <c r="D355" s="52">
        <f>(6.1*2.9+2.5*2.15+3.4*2.9+2.35*1.35+1.4*2.4+0.9*1.65+4.15*3.1+2.5*1.35)*10.764</f>
        <v>615.51242999999988</v>
      </c>
      <c r="E355" s="42">
        <v>0</v>
      </c>
      <c r="F355" s="42">
        <f t="shared" si="41"/>
        <v>615.51242999999988</v>
      </c>
      <c r="G355" s="52">
        <f>(1.5*6+3*1.5)*10.764</f>
        <v>145.31399999999999</v>
      </c>
      <c r="H355" s="42">
        <f t="shared" si="42"/>
        <v>995.92564499999992</v>
      </c>
      <c r="I355" s="36"/>
      <c r="L355" s="177"/>
      <c r="M355" s="177"/>
      <c r="N355" s="36"/>
      <c r="T355" s="21"/>
    </row>
    <row r="356" spans="1:20" s="37" customFormat="1" ht="15.75" customHeight="1" x14ac:dyDescent="0.25">
      <c r="A356" s="42">
        <f>A355+1</f>
        <v>5</v>
      </c>
      <c r="B356" s="42" t="s">
        <v>183</v>
      </c>
      <c r="C356" s="42" t="s">
        <v>202</v>
      </c>
      <c r="D356" s="52">
        <f>(5.25*2.9+2.5*2.15+3.4*2.9+1.35*2.35+1.4*2.4+1*1.65)*10.764</f>
        <v>415.94786999999997</v>
      </c>
      <c r="E356" s="42">
        <v>0</v>
      </c>
      <c r="F356" s="42">
        <f t="shared" si="41"/>
        <v>415.94786999999997</v>
      </c>
      <c r="G356" s="52">
        <f>(0.7*2.85)*10.764</f>
        <v>21.474179999999997</v>
      </c>
      <c r="H356" s="42">
        <f t="shared" si="42"/>
        <v>645.395985</v>
      </c>
      <c r="I356" s="36"/>
      <c r="L356" s="177"/>
      <c r="M356" s="177"/>
      <c r="N356" s="36"/>
      <c r="T356" s="21"/>
    </row>
    <row r="357" spans="1:20" s="37" customFormat="1" ht="15.75" customHeight="1" x14ac:dyDescent="0.25">
      <c r="A357" s="42">
        <f>A356+1</f>
        <v>6</v>
      </c>
      <c r="B357" s="42" t="s">
        <v>183</v>
      </c>
      <c r="C357" s="42" t="s">
        <v>187</v>
      </c>
      <c r="D357" s="52">
        <f>(5.05*2.85+2.25*2.9+3.4*2.9+3.1*3.95+2.35*1.35+2.35*1.35+3.25*1.3+1*2+0.9*1.3)*10.764</f>
        <v>610.99154999999996</v>
      </c>
      <c r="E357" s="42">
        <v>0</v>
      </c>
      <c r="F357" s="42">
        <f t="shared" si="41"/>
        <v>610.99154999999996</v>
      </c>
      <c r="G357" s="52">
        <f>(0.7*2.9)*10.764</f>
        <v>21.850919999999995</v>
      </c>
      <c r="H357" s="42">
        <f t="shared" si="42"/>
        <v>938.33824499999992</v>
      </c>
      <c r="I357" s="36"/>
      <c r="L357" s="177"/>
      <c r="M357" s="177"/>
      <c r="N357" s="36"/>
    </row>
    <row r="358" spans="1:20" s="37" customFormat="1" x14ac:dyDescent="0.25">
      <c r="A358" s="97" t="s">
        <v>213</v>
      </c>
      <c r="B358" s="98"/>
      <c r="C358" s="98"/>
      <c r="D358" s="98"/>
      <c r="E358" s="98"/>
      <c r="F358" s="98"/>
      <c r="G358" s="98"/>
      <c r="H358" s="99"/>
      <c r="J358" s="36"/>
    </row>
    <row r="359" spans="1:20" s="37" customFormat="1" ht="15.75" customHeight="1" x14ac:dyDescent="0.25">
      <c r="A359" s="42">
        <v>1</v>
      </c>
      <c r="B359" s="42" t="s">
        <v>183</v>
      </c>
      <c r="C359" s="42" t="s">
        <v>187</v>
      </c>
      <c r="D359" s="52">
        <f>(5.05*2.85+2.25*2.9+3.4*2.9+3.1*3.95+2.35*1.35+2.35*1.35+3.25*1.3+1*2+0.9*1.3)*10.764</f>
        <v>610.99154999999996</v>
      </c>
      <c r="E359" s="42">
        <v>0</v>
      </c>
      <c r="F359" s="42">
        <f t="shared" ref="F359:F364" si="43">D359+E359</f>
        <v>610.99154999999996</v>
      </c>
      <c r="G359" s="42">
        <v>0</v>
      </c>
      <c r="H359" s="42">
        <f>F359*(($H$223)+1)+(IF(G359&lt;101,G359,IF(G359&lt;201,G359/2,IF(G359&lt;=301,G359/3,G359/4))))</f>
        <v>916.48732499999994</v>
      </c>
      <c r="I359" s="61"/>
      <c r="L359" s="177"/>
      <c r="M359" s="177"/>
      <c r="N359" s="36"/>
    </row>
    <row r="360" spans="1:20" s="37" customFormat="1" ht="15.75" customHeight="1" x14ac:dyDescent="0.25">
      <c r="A360" s="42">
        <f>A359+1</f>
        <v>2</v>
      </c>
      <c r="B360" s="42" t="s">
        <v>183</v>
      </c>
      <c r="C360" s="42" t="s">
        <v>202</v>
      </c>
      <c r="D360" s="52">
        <f>(5.25*2.9+2.5*2.15+3.4*2.9+1.35*2.35+1.4*2.4+0.9*1.65)*10.764</f>
        <v>414.17180999999999</v>
      </c>
      <c r="E360" s="42">
        <v>0</v>
      </c>
      <c r="F360" s="42">
        <f t="shared" si="43"/>
        <v>414.17180999999999</v>
      </c>
      <c r="G360" s="42">
        <v>0</v>
      </c>
      <c r="H360" s="42">
        <f t="shared" ref="H360:H364" si="44">F360*(($H$223)+1)+(IF(G360&lt;101,G360,IF(G360&lt;201,G360/2,IF(G360&lt;=301,G360/3,G360/4))))</f>
        <v>621.25771499999996</v>
      </c>
      <c r="I360" s="36"/>
      <c r="L360" s="177"/>
      <c r="M360" s="177"/>
      <c r="N360" s="36"/>
    </row>
    <row r="361" spans="1:20" s="37" customFormat="1" ht="15.75" customHeight="1" x14ac:dyDescent="0.25">
      <c r="A361" s="42">
        <f>A360+1</f>
        <v>3</v>
      </c>
      <c r="B361" s="42" t="s">
        <v>183</v>
      </c>
      <c r="C361" s="42" t="s">
        <v>202</v>
      </c>
      <c r="D361" s="52">
        <f>(6.1*2.9+2.5*2.15+3.4*2.9+2.35*1.35+1.4*2.4+0.9*1.65+0.2*1.65)*10.764</f>
        <v>444.25718999999992</v>
      </c>
      <c r="E361" s="42">
        <v>0</v>
      </c>
      <c r="F361" s="42">
        <f t="shared" si="43"/>
        <v>444.25718999999992</v>
      </c>
      <c r="G361" s="42">
        <v>0</v>
      </c>
      <c r="H361" s="42">
        <f t="shared" si="44"/>
        <v>666.38578499999994</v>
      </c>
      <c r="I361" s="36"/>
      <c r="L361" s="177"/>
      <c r="M361" s="177"/>
      <c r="N361" s="36"/>
    </row>
    <row r="362" spans="1:20" s="37" customFormat="1" ht="15.75" customHeight="1" x14ac:dyDescent="0.25">
      <c r="A362" s="42">
        <f>A361+1</f>
        <v>4</v>
      </c>
      <c r="B362" s="42" t="s">
        <v>183</v>
      </c>
      <c r="C362" s="42" t="s">
        <v>187</v>
      </c>
      <c r="D362" s="52">
        <f>(6.1*2.9+2.5*2.15+3.4*2.9+2.35*1.35+1.4*2.4+0.9*1.65+4.15*3.1+2.5*1.35)*10.764</f>
        <v>615.51242999999988</v>
      </c>
      <c r="E362" s="42">
        <v>0</v>
      </c>
      <c r="F362" s="42">
        <f t="shared" si="43"/>
        <v>615.51242999999988</v>
      </c>
      <c r="G362" s="42">
        <v>0</v>
      </c>
      <c r="H362" s="42">
        <f t="shared" si="44"/>
        <v>923.26864499999988</v>
      </c>
      <c r="I362" s="36"/>
      <c r="L362" s="177"/>
      <c r="M362" s="177"/>
      <c r="N362" s="36"/>
      <c r="T362" s="21"/>
    </row>
    <row r="363" spans="1:20" s="37" customFormat="1" ht="15.75" customHeight="1" x14ac:dyDescent="0.25">
      <c r="A363" s="42">
        <f>A362+1</f>
        <v>5</v>
      </c>
      <c r="B363" s="42" t="s">
        <v>183</v>
      </c>
      <c r="C363" s="42" t="s">
        <v>202</v>
      </c>
      <c r="D363" s="52">
        <f>(5.25*2.9+2.5*2.15+3.4*2.9+1.35*2.35+1.4*2.4+1*1.65)*10.764</f>
        <v>415.94786999999997</v>
      </c>
      <c r="E363" s="42">
        <v>0</v>
      </c>
      <c r="F363" s="42">
        <f t="shared" si="43"/>
        <v>415.94786999999997</v>
      </c>
      <c r="G363" s="42">
        <v>0</v>
      </c>
      <c r="H363" s="42">
        <f t="shared" si="44"/>
        <v>623.92180499999995</v>
      </c>
      <c r="I363" s="36"/>
      <c r="L363" s="177"/>
      <c r="M363" s="177"/>
      <c r="N363" s="36"/>
      <c r="T363" s="21"/>
    </row>
    <row r="364" spans="1:20" s="37" customFormat="1" ht="15.75" customHeight="1" x14ac:dyDescent="0.25">
      <c r="A364" s="42">
        <f>A363+1</f>
        <v>6</v>
      </c>
      <c r="B364" s="42" t="s">
        <v>183</v>
      </c>
      <c r="C364" s="42" t="s">
        <v>187</v>
      </c>
      <c r="D364" s="52">
        <f>(5.05*2.85+2.25*2.9+3.4*2.9+3.1*3.95+2.35*1.35+2.35*1.35+3.25*1.3+1*2+0.9*1.3)*10.764</f>
        <v>610.99154999999996</v>
      </c>
      <c r="E364" s="42">
        <v>0</v>
      </c>
      <c r="F364" s="42">
        <f t="shared" si="43"/>
        <v>610.99154999999996</v>
      </c>
      <c r="G364" s="42">
        <v>0</v>
      </c>
      <c r="H364" s="42">
        <f t="shared" si="44"/>
        <v>916.48732499999994</v>
      </c>
      <c r="I364" s="36"/>
      <c r="L364" s="177"/>
      <c r="M364" s="177"/>
      <c r="N364" s="36"/>
    </row>
    <row r="365" spans="1:20" s="37" customFormat="1" x14ac:dyDescent="0.25">
      <c r="A365" s="97" t="s">
        <v>214</v>
      </c>
      <c r="B365" s="98"/>
      <c r="C365" s="98"/>
      <c r="D365" s="98"/>
      <c r="E365" s="98"/>
      <c r="F365" s="98"/>
      <c r="G365" s="98"/>
      <c r="H365" s="99"/>
      <c r="J365" s="36"/>
    </row>
    <row r="366" spans="1:20" s="37" customFormat="1" ht="15.75" customHeight="1" x14ac:dyDescent="0.25">
      <c r="A366" s="42">
        <v>1</v>
      </c>
      <c r="B366" s="42" t="s">
        <v>183</v>
      </c>
      <c r="C366" s="42" t="s">
        <v>187</v>
      </c>
      <c r="D366" s="52">
        <f>(5.05*2.85+2.25*2.9+3.4*2.9+3.1*3.95+2.35*1.35+2.35*1.35+3.25*1.3+1*2+0.9*1.3)*10.764</f>
        <v>610.99154999999996</v>
      </c>
      <c r="E366" s="42">
        <v>0</v>
      </c>
      <c r="F366" s="42">
        <f t="shared" ref="F366:F371" si="45">D366+E366</f>
        <v>610.99154999999996</v>
      </c>
      <c r="G366" s="42">
        <v>0</v>
      </c>
      <c r="H366" s="42">
        <f>F366*(($H$223)+1)+(IF(G366&lt;101,G366,IF(G366&lt;201,G366/2,IF(G366&lt;=301,G366/3,G366/4))))</f>
        <v>916.48732499999994</v>
      </c>
      <c r="I366" s="61"/>
      <c r="L366" s="177"/>
      <c r="M366" s="177"/>
      <c r="N366" s="36"/>
    </row>
    <row r="367" spans="1:20" s="37" customFormat="1" ht="15.75" customHeight="1" x14ac:dyDescent="0.25">
      <c r="A367" s="42">
        <f>A366+1</f>
        <v>2</v>
      </c>
      <c r="B367" s="42" t="s">
        <v>183</v>
      </c>
      <c r="C367" s="42" t="s">
        <v>202</v>
      </c>
      <c r="D367" s="52">
        <f>(5.25*2.9+2.5*2.15+3.4*2.9+1.35*2.35+1.4*2.4+0.9*1.65)*10.764</f>
        <v>414.17180999999999</v>
      </c>
      <c r="E367" s="42">
        <v>0</v>
      </c>
      <c r="F367" s="42">
        <f t="shared" si="45"/>
        <v>414.17180999999999</v>
      </c>
      <c r="G367" s="42">
        <v>0</v>
      </c>
      <c r="H367" s="42">
        <f t="shared" ref="H367:H371" si="46">F367*(($H$223)+1)+(IF(G367&lt;101,G367,IF(G367&lt;201,G367/2,IF(G367&lt;=301,G367/3,G367/4))))</f>
        <v>621.25771499999996</v>
      </c>
      <c r="I367" s="36"/>
      <c r="L367" s="177"/>
      <c r="M367" s="177"/>
      <c r="N367" s="36"/>
    </row>
    <row r="368" spans="1:20" s="37" customFormat="1" ht="15.75" customHeight="1" x14ac:dyDescent="0.25">
      <c r="A368" s="42">
        <f>A367+1</f>
        <v>3</v>
      </c>
      <c r="B368" s="42" t="s">
        <v>183</v>
      </c>
      <c r="C368" s="42" t="s">
        <v>202</v>
      </c>
      <c r="D368" s="52">
        <f>(6.1*2.9+2.5*2.15+3.4*2.9+2.35*1.35+1.4*2.4+0.9*1.65+0.2*1.65)*10.764</f>
        <v>444.25718999999992</v>
      </c>
      <c r="E368" s="42">
        <v>0</v>
      </c>
      <c r="F368" s="42">
        <f t="shared" si="45"/>
        <v>444.25718999999992</v>
      </c>
      <c r="G368" s="42">
        <v>0</v>
      </c>
      <c r="H368" s="42">
        <f t="shared" si="46"/>
        <v>666.38578499999994</v>
      </c>
      <c r="I368" s="36"/>
      <c r="L368" s="177"/>
      <c r="M368" s="177"/>
      <c r="N368" s="36"/>
    </row>
    <row r="369" spans="1:20" s="37" customFormat="1" ht="15.75" customHeight="1" x14ac:dyDescent="0.25">
      <c r="A369" s="42">
        <f>A368+1</f>
        <v>4</v>
      </c>
      <c r="B369" s="42" t="s">
        <v>183</v>
      </c>
      <c r="C369" s="42" t="s">
        <v>187</v>
      </c>
      <c r="D369" s="52">
        <f>(6.1*2.9+2.5*2.15+3.4*2.9+2.35*1.35+1.4*2.4+0.9*1.65+4.15*3.1+2.5*1.35)*10.764</f>
        <v>615.51242999999988</v>
      </c>
      <c r="E369" s="42">
        <v>0</v>
      </c>
      <c r="F369" s="42">
        <f t="shared" si="45"/>
        <v>615.51242999999988</v>
      </c>
      <c r="G369" s="42">
        <v>0</v>
      </c>
      <c r="H369" s="42">
        <f t="shared" si="46"/>
        <v>923.26864499999988</v>
      </c>
      <c r="I369" s="36"/>
      <c r="L369" s="177"/>
      <c r="M369" s="177"/>
      <c r="N369" s="36"/>
      <c r="T369" s="21"/>
    </row>
    <row r="370" spans="1:20" s="37" customFormat="1" ht="15.75" customHeight="1" x14ac:dyDescent="0.25">
      <c r="A370" s="42">
        <f>A369+1</f>
        <v>5</v>
      </c>
      <c r="B370" s="42" t="s">
        <v>183</v>
      </c>
      <c r="C370" s="42" t="s">
        <v>202</v>
      </c>
      <c r="D370" s="52">
        <f>(5.25*2.9+2.5*2.15+3.4*2.9+1.35*2.35+1.4*2.4+1*1.65)*10.764</f>
        <v>415.94786999999997</v>
      </c>
      <c r="E370" s="42">
        <v>0</v>
      </c>
      <c r="F370" s="42">
        <f t="shared" si="45"/>
        <v>415.94786999999997</v>
      </c>
      <c r="G370" s="42">
        <v>0</v>
      </c>
      <c r="H370" s="42">
        <f t="shared" si="46"/>
        <v>623.92180499999995</v>
      </c>
      <c r="I370" s="36"/>
      <c r="L370" s="177"/>
      <c r="M370" s="177"/>
      <c r="N370" s="36"/>
      <c r="T370" s="21"/>
    </row>
    <row r="371" spans="1:20" s="37" customFormat="1" ht="15.75" customHeight="1" x14ac:dyDescent="0.25">
      <c r="A371" s="42">
        <f>A370+1</f>
        <v>6</v>
      </c>
      <c r="B371" s="42" t="s">
        <v>183</v>
      </c>
      <c r="C371" s="42" t="s">
        <v>187</v>
      </c>
      <c r="D371" s="52">
        <f>(5.05*2.85+2.25*2.9+3.4*2.9+3.1*3.95+2.35*1.35+2.35*1.35+3.25*1.3+1*2+0.9*1.3)*10.764</f>
        <v>610.99154999999996</v>
      </c>
      <c r="E371" s="42">
        <v>0</v>
      </c>
      <c r="F371" s="42">
        <f t="shared" si="45"/>
        <v>610.99154999999996</v>
      </c>
      <c r="G371" s="42">
        <v>0</v>
      </c>
      <c r="H371" s="42">
        <f t="shared" si="46"/>
        <v>916.48732499999994</v>
      </c>
      <c r="I371" s="36"/>
      <c r="L371" s="177"/>
      <c r="M371" s="177"/>
      <c r="N371" s="36"/>
    </row>
    <row r="372" spans="1:20" s="37" customFormat="1" x14ac:dyDescent="0.25">
      <c r="A372" s="97" t="s">
        <v>272</v>
      </c>
      <c r="B372" s="98"/>
      <c r="C372" s="98"/>
      <c r="D372" s="98"/>
      <c r="E372" s="98"/>
      <c r="F372" s="98"/>
      <c r="G372" s="98"/>
      <c r="H372" s="99"/>
      <c r="J372" s="36"/>
    </row>
    <row r="373" spans="1:20" s="37" customFormat="1" ht="15.75" customHeight="1" x14ac:dyDescent="0.25">
      <c r="A373" s="42">
        <v>1</v>
      </c>
      <c r="B373" s="58" t="s">
        <v>212</v>
      </c>
      <c r="C373" s="42" t="s">
        <v>187</v>
      </c>
      <c r="D373" s="52">
        <f>(5.05*2.85+2.25*2.9+3.4*2.9+3.1*3.95+2.35*1.35+2.35*1.35+3.25*1.3+1*2+0.9*1.3)*10.764</f>
        <v>610.99154999999996</v>
      </c>
      <c r="E373" s="42">
        <v>0</v>
      </c>
      <c r="F373" s="42">
        <f t="shared" ref="F373:F378" si="47">D373+E373</f>
        <v>610.99154999999996</v>
      </c>
      <c r="G373" s="42">
        <v>0</v>
      </c>
      <c r="H373" s="42">
        <f>F373*(($H$223)+1)+(IF(G373&lt;101,G373,IF(G373&lt;201,G373/2,IF(G373&lt;=301,G373/3,G373/4))))</f>
        <v>916.48732499999994</v>
      </c>
      <c r="I373" s="61"/>
      <c r="L373" s="177"/>
      <c r="M373" s="177"/>
      <c r="N373" s="36"/>
    </row>
    <row r="374" spans="1:20" s="37" customFormat="1" ht="15.75" customHeight="1" x14ac:dyDescent="0.25">
      <c r="A374" s="42">
        <f>A373+1</f>
        <v>2</v>
      </c>
      <c r="B374" s="58" t="s">
        <v>212</v>
      </c>
      <c r="C374" s="42" t="s">
        <v>202</v>
      </c>
      <c r="D374" s="52">
        <f>(5.25*2.9+2.5*2.15+3.4*2.9+1.35*2.35+1.4*2.4+0.9*1.65)*10.764</f>
        <v>414.17180999999999</v>
      </c>
      <c r="E374" s="42">
        <v>0</v>
      </c>
      <c r="F374" s="42">
        <f t="shared" si="47"/>
        <v>414.17180999999999</v>
      </c>
      <c r="G374" s="42">
        <v>0</v>
      </c>
      <c r="H374" s="42">
        <f t="shared" ref="H374:H378" si="48">F374*(($H$223)+1)+(IF(G374&lt;101,G374,IF(G374&lt;201,G374/2,IF(G374&lt;=301,G374/3,G374/4))))</f>
        <v>621.25771499999996</v>
      </c>
      <c r="I374" s="36"/>
      <c r="L374" s="177"/>
      <c r="M374" s="177"/>
      <c r="N374" s="36"/>
    </row>
    <row r="375" spans="1:20" s="37" customFormat="1" ht="15.75" customHeight="1" x14ac:dyDescent="0.25">
      <c r="A375" s="42">
        <f>A374+1</f>
        <v>3</v>
      </c>
      <c r="B375" s="58" t="s">
        <v>212</v>
      </c>
      <c r="C375" s="42" t="s">
        <v>202</v>
      </c>
      <c r="D375" s="52">
        <f>(6.1*2.9+2.5*2.15+3.4*2.9+2.35*1.35+1.4*2.4+0.9*1.65+0.2*1.65)*10.764</f>
        <v>444.25718999999992</v>
      </c>
      <c r="E375" s="42">
        <v>0</v>
      </c>
      <c r="F375" s="42">
        <f t="shared" si="47"/>
        <v>444.25718999999992</v>
      </c>
      <c r="G375" s="42">
        <v>0</v>
      </c>
      <c r="H375" s="42">
        <f t="shared" si="48"/>
        <v>666.38578499999994</v>
      </c>
      <c r="I375" s="36"/>
      <c r="L375" s="177"/>
      <c r="M375" s="177"/>
      <c r="N375" s="36"/>
    </row>
    <row r="376" spans="1:20" s="37" customFormat="1" ht="15.75" customHeight="1" x14ac:dyDescent="0.25">
      <c r="A376" s="42">
        <f>A375+1</f>
        <v>4</v>
      </c>
      <c r="B376" s="58" t="s">
        <v>212</v>
      </c>
      <c r="C376" s="42" t="s">
        <v>187</v>
      </c>
      <c r="D376" s="52">
        <f>(6.1*2.9+2.5*2.15+3.4*2.9+2.35*1.35+1.4*2.4+0.9*1.65+4.15*3.1+2.5*1.35)*10.764</f>
        <v>615.51242999999988</v>
      </c>
      <c r="E376" s="42">
        <v>0</v>
      </c>
      <c r="F376" s="42">
        <f t="shared" si="47"/>
        <v>615.51242999999988</v>
      </c>
      <c r="G376" s="42">
        <v>0</v>
      </c>
      <c r="H376" s="42">
        <f t="shared" si="48"/>
        <v>923.26864499999988</v>
      </c>
      <c r="I376" s="36"/>
      <c r="L376" s="177"/>
      <c r="M376" s="177"/>
      <c r="N376" s="36"/>
      <c r="T376" s="21"/>
    </row>
    <row r="377" spans="1:20" s="37" customFormat="1" ht="15.75" customHeight="1" x14ac:dyDescent="0.25">
      <c r="A377" s="42">
        <f>A376+1</f>
        <v>5</v>
      </c>
      <c r="B377" s="58" t="s">
        <v>212</v>
      </c>
      <c r="C377" s="42" t="s">
        <v>202</v>
      </c>
      <c r="D377" s="52">
        <f>(5.25*2.9+2.5*2.15+3.4*2.9+1.35*2.35+1.4*2.4+1*1.65)*10.764</f>
        <v>415.94786999999997</v>
      </c>
      <c r="E377" s="42">
        <v>0</v>
      </c>
      <c r="F377" s="42">
        <f t="shared" si="47"/>
        <v>415.94786999999997</v>
      </c>
      <c r="G377" s="42">
        <v>0</v>
      </c>
      <c r="H377" s="42">
        <f t="shared" si="48"/>
        <v>623.92180499999995</v>
      </c>
      <c r="I377" s="36"/>
      <c r="L377" s="177"/>
      <c r="M377" s="177"/>
      <c r="N377" s="36"/>
      <c r="T377" s="21"/>
    </row>
    <row r="378" spans="1:20" s="37" customFormat="1" ht="15.75" customHeight="1" x14ac:dyDescent="0.25">
      <c r="A378" s="42">
        <f>A377+1</f>
        <v>6</v>
      </c>
      <c r="B378" s="58" t="s">
        <v>212</v>
      </c>
      <c r="C378" s="42" t="s">
        <v>187</v>
      </c>
      <c r="D378" s="52">
        <f>(5.05*2.85+2.25*2.9+3.4*2.9+3.1*3.95+2.35*1.35+2.35*1.35+3.25*1.3+1*2+0.9*1.3)*10.764</f>
        <v>610.99154999999996</v>
      </c>
      <c r="E378" s="42">
        <v>0</v>
      </c>
      <c r="F378" s="42">
        <f t="shared" si="47"/>
        <v>610.99154999999996</v>
      </c>
      <c r="G378" s="42">
        <v>0</v>
      </c>
      <c r="H378" s="42">
        <f t="shared" si="48"/>
        <v>916.48732499999994</v>
      </c>
      <c r="I378" s="36"/>
      <c r="L378" s="177"/>
      <c r="M378" s="177"/>
      <c r="N378" s="36"/>
    </row>
    <row r="379" spans="1:20" s="37" customFormat="1" x14ac:dyDescent="0.25">
      <c r="A379" s="97" t="s">
        <v>273</v>
      </c>
      <c r="B379" s="98"/>
      <c r="C379" s="98"/>
      <c r="D379" s="98"/>
      <c r="E379" s="98"/>
      <c r="F379" s="98"/>
      <c r="G379" s="98"/>
      <c r="H379" s="99"/>
      <c r="J379" s="36"/>
    </row>
    <row r="380" spans="1:20" s="37" customFormat="1" ht="15.75" customHeight="1" x14ac:dyDescent="0.25">
      <c r="A380" s="42">
        <v>1</v>
      </c>
      <c r="B380" s="58" t="s">
        <v>212</v>
      </c>
      <c r="C380" s="42" t="s">
        <v>187</v>
      </c>
      <c r="D380" s="52">
        <f>(5.05*2.85+2.25*2.9+3.4*2.9+3.1*3.95+2.35*1.35+2.35*1.35+3.25*1.3+1*2+0.9*1.3)*10.764</f>
        <v>610.99154999999996</v>
      </c>
      <c r="E380" s="42">
        <v>0</v>
      </c>
      <c r="F380" s="42">
        <f>D380+E380</f>
        <v>610.99154999999996</v>
      </c>
      <c r="G380" s="42">
        <v>0</v>
      </c>
      <c r="H380" s="42">
        <f>F380*(($H$223)+1)+(IF(G380&lt;101,G380,IF(G380&lt;201,G380/2,IF(G380&lt;=301,G380/3,G380/4))))</f>
        <v>916.48732499999994</v>
      </c>
      <c r="I380" s="61"/>
      <c r="L380" s="177"/>
      <c r="M380" s="177"/>
      <c r="N380" s="36"/>
    </row>
    <row r="381" spans="1:20" s="37" customFormat="1" ht="15.75" customHeight="1" x14ac:dyDescent="0.25">
      <c r="A381" s="42">
        <f>A380+1</f>
        <v>2</v>
      </c>
      <c r="B381" s="58" t="s">
        <v>212</v>
      </c>
      <c r="C381" s="42" t="s">
        <v>202</v>
      </c>
      <c r="D381" s="52">
        <f>(5.25*2.9+2.5*2.15+3.4*2.9+1.35*2.35+1.4*2.4+0.9*1.65)*10.764</f>
        <v>414.17180999999999</v>
      </c>
      <c r="E381" s="42">
        <v>0</v>
      </c>
      <c r="F381" s="42">
        <f>D381+E381</f>
        <v>414.17180999999999</v>
      </c>
      <c r="G381" s="42">
        <v>0</v>
      </c>
      <c r="H381" s="42">
        <f>F381*(($H$223)+1)+(IF(G381&lt;101,G381,IF(G381&lt;201,G381/2,IF(G381&lt;=301,G381/3,G381/4))))</f>
        <v>621.25771499999996</v>
      </c>
      <c r="I381" s="36"/>
      <c r="L381" s="177"/>
      <c r="M381" s="177"/>
      <c r="N381" s="36"/>
    </row>
    <row r="382" spans="1:20" s="37" customFormat="1" ht="15.75" customHeight="1" x14ac:dyDescent="0.25">
      <c r="A382" s="42">
        <f>A381+1</f>
        <v>3</v>
      </c>
      <c r="B382" s="58" t="s">
        <v>212</v>
      </c>
      <c r="C382" s="42" t="s">
        <v>202</v>
      </c>
      <c r="D382" s="52">
        <f>(6.1*2.9+2.5*2.15+3.4*2.9+2.35*1.35+1.4*2.4+0.9*1.65+0.2*1.65)*10.764</f>
        <v>444.25718999999992</v>
      </c>
      <c r="E382" s="42">
        <v>0</v>
      </c>
      <c r="F382" s="42">
        <f>D382+E382</f>
        <v>444.25718999999992</v>
      </c>
      <c r="G382" s="42">
        <v>0</v>
      </c>
      <c r="H382" s="42">
        <f>F382*(($H$223)+1)+(IF(G382&lt;101,G382,IF(G382&lt;201,G382/2,IF(G382&lt;=301,G382/3,G382/4))))</f>
        <v>666.38578499999994</v>
      </c>
      <c r="I382" s="36"/>
      <c r="L382" s="177"/>
      <c r="M382" s="177"/>
      <c r="N382" s="36"/>
    </row>
    <row r="383" spans="1:20" s="37" customFormat="1" ht="15.75" customHeight="1" x14ac:dyDescent="0.25">
      <c r="A383" s="42">
        <f>A382+1</f>
        <v>4</v>
      </c>
      <c r="B383" s="58" t="s">
        <v>212</v>
      </c>
      <c r="C383" s="42" t="s">
        <v>187</v>
      </c>
      <c r="D383" s="52">
        <f>(6.1*2.9+2.5*2.15+3.4*2.9+2.35*1.35+1.4*2.4+0.9*1.65+4.15*3.1+2.5*1.35)*10.764</f>
        <v>615.51242999999988</v>
      </c>
      <c r="E383" s="42">
        <v>0</v>
      </c>
      <c r="F383" s="42">
        <f>D383+E383</f>
        <v>615.51242999999988</v>
      </c>
      <c r="G383" s="42">
        <v>0</v>
      </c>
      <c r="H383" s="42">
        <f>F383*(($H$223)+1)+(IF(G383&lt;101,G383,IF(G383&lt;201,G383/2,IF(G383&lt;=301,G383/3,G383/4))))</f>
        <v>923.26864499999988</v>
      </c>
      <c r="I383" s="36"/>
      <c r="L383" s="177"/>
      <c r="M383" s="177"/>
      <c r="N383" s="36"/>
      <c r="T383" s="21"/>
    </row>
    <row r="384" spans="1:20" s="37" customFormat="1" ht="15.75" customHeight="1" x14ac:dyDescent="0.25">
      <c r="A384" s="42">
        <f>A383+1</f>
        <v>5</v>
      </c>
      <c r="B384" s="58" t="s">
        <v>190</v>
      </c>
      <c r="C384" s="141" t="s">
        <v>191</v>
      </c>
      <c r="D384" s="211"/>
      <c r="E384" s="211"/>
      <c r="F384" s="211"/>
      <c r="G384" s="211"/>
      <c r="H384" s="142"/>
      <c r="I384" s="36"/>
      <c r="L384" s="177"/>
      <c r="M384" s="177"/>
      <c r="N384" s="36"/>
      <c r="T384" s="21"/>
    </row>
    <row r="385" spans="1:20" s="37" customFormat="1" ht="15.75" customHeight="1" x14ac:dyDescent="0.25">
      <c r="A385" s="42">
        <f>A384+1</f>
        <v>6</v>
      </c>
      <c r="B385" s="58" t="s">
        <v>190</v>
      </c>
      <c r="C385" s="145"/>
      <c r="D385" s="212"/>
      <c r="E385" s="212"/>
      <c r="F385" s="212"/>
      <c r="G385" s="212"/>
      <c r="H385" s="146"/>
      <c r="I385" s="36"/>
      <c r="L385" s="177"/>
      <c r="M385" s="177"/>
      <c r="N385" s="36"/>
    </row>
    <row r="386" spans="1:20" s="37" customFormat="1" x14ac:dyDescent="0.25">
      <c r="A386" s="97" t="s">
        <v>274</v>
      </c>
      <c r="B386" s="98"/>
      <c r="C386" s="98"/>
      <c r="D386" s="98"/>
      <c r="E386" s="98"/>
      <c r="F386" s="98"/>
      <c r="G386" s="98"/>
      <c r="H386" s="99"/>
      <c r="J386" s="36"/>
    </row>
    <row r="387" spans="1:20" s="37" customFormat="1" ht="15.75" customHeight="1" x14ac:dyDescent="0.25">
      <c r="A387" s="42">
        <v>1</v>
      </c>
      <c r="B387" s="58" t="s">
        <v>212</v>
      </c>
      <c r="C387" s="42" t="s">
        <v>187</v>
      </c>
      <c r="D387" s="52">
        <f>(5.05*2.85+2.25*2.9+3.4*2.9+3.1*3.95+2.35*1.35+2.35*1.35+3.25*1.3+1*2+0.9*1.3)*10.764</f>
        <v>610.99154999999996</v>
      </c>
      <c r="E387" s="42">
        <v>0</v>
      </c>
      <c r="F387" s="42">
        <f t="shared" ref="F387:F392" si="49">D387+E387</f>
        <v>610.99154999999996</v>
      </c>
      <c r="G387" s="42">
        <v>0</v>
      </c>
      <c r="H387" s="42">
        <f>F387*(($H$223)+1)+(IF(G387&lt;101,G387,IF(G387&lt;201,G387/2,IF(G387&lt;=301,G387/3,G387/4))))</f>
        <v>916.48732499999994</v>
      </c>
      <c r="I387" s="61"/>
      <c r="L387" s="177"/>
      <c r="M387" s="177"/>
      <c r="N387" s="36"/>
    </row>
    <row r="388" spans="1:20" s="37" customFormat="1" ht="15.75" customHeight="1" x14ac:dyDescent="0.25">
      <c r="A388" s="42">
        <f>A387+1</f>
        <v>2</v>
      </c>
      <c r="B388" s="58" t="s">
        <v>212</v>
      </c>
      <c r="C388" s="42" t="s">
        <v>202</v>
      </c>
      <c r="D388" s="52">
        <f>(5.25*2.9+2.5*2.15+3.4*2.9+1.35*2.35+1.4*2.4+0.9*1.65)*10.764</f>
        <v>414.17180999999999</v>
      </c>
      <c r="E388" s="42">
        <v>0</v>
      </c>
      <c r="F388" s="42">
        <f t="shared" si="49"/>
        <v>414.17180999999999</v>
      </c>
      <c r="G388" s="42">
        <v>0</v>
      </c>
      <c r="H388" s="42">
        <f t="shared" ref="H388:H392" si="50">F388*(($H$223)+1)+(IF(G388&lt;101,G388,IF(G388&lt;201,G388/2,IF(G388&lt;=301,G388/3,G388/4))))</f>
        <v>621.25771499999996</v>
      </c>
      <c r="I388" s="36"/>
      <c r="L388" s="177"/>
      <c r="M388" s="177"/>
      <c r="N388" s="36"/>
    </row>
    <row r="389" spans="1:20" s="37" customFormat="1" ht="15.75" customHeight="1" x14ac:dyDescent="0.25">
      <c r="A389" s="42">
        <f>A388+1</f>
        <v>3</v>
      </c>
      <c r="B389" s="58" t="s">
        <v>212</v>
      </c>
      <c r="C389" s="42" t="s">
        <v>202</v>
      </c>
      <c r="D389" s="52">
        <f>(6.1*2.9+2.5*2.15+3.4*2.9+2.35*1.35+1.4*2.4+0.9*1.65+0.2*1.65)*10.764</f>
        <v>444.25718999999992</v>
      </c>
      <c r="E389" s="42">
        <v>0</v>
      </c>
      <c r="F389" s="42">
        <f t="shared" si="49"/>
        <v>444.25718999999992</v>
      </c>
      <c r="G389" s="42">
        <v>0</v>
      </c>
      <c r="H389" s="42">
        <f t="shared" si="50"/>
        <v>666.38578499999994</v>
      </c>
      <c r="I389" s="36"/>
      <c r="L389" s="177"/>
      <c r="M389" s="177"/>
      <c r="N389" s="36"/>
    </row>
    <row r="390" spans="1:20" s="37" customFormat="1" ht="15.75" customHeight="1" x14ac:dyDescent="0.25">
      <c r="A390" s="42">
        <f>A389+1</f>
        <v>4</v>
      </c>
      <c r="B390" s="58" t="s">
        <v>212</v>
      </c>
      <c r="C390" s="42" t="s">
        <v>187</v>
      </c>
      <c r="D390" s="52">
        <f>(6.1*2.9+2.5*2.15+3.4*2.9+2.35*1.35+1.4*2.4+0.9*1.65+4.15*3.1+2.5*1.35)*10.764</f>
        <v>615.51242999999988</v>
      </c>
      <c r="E390" s="42">
        <v>0</v>
      </c>
      <c r="F390" s="42">
        <f t="shared" si="49"/>
        <v>615.51242999999988</v>
      </c>
      <c r="G390" s="42">
        <v>0</v>
      </c>
      <c r="H390" s="42">
        <f t="shared" si="50"/>
        <v>923.26864499999988</v>
      </c>
      <c r="I390" s="36"/>
      <c r="L390" s="177"/>
      <c r="M390" s="177"/>
      <c r="N390" s="36"/>
      <c r="T390" s="21"/>
    </row>
    <row r="391" spans="1:20" s="37" customFormat="1" ht="15.75" customHeight="1" x14ac:dyDescent="0.25">
      <c r="A391" s="42">
        <f>A390+1</f>
        <v>5</v>
      </c>
      <c r="B391" s="58" t="s">
        <v>212</v>
      </c>
      <c r="C391" s="42" t="s">
        <v>202</v>
      </c>
      <c r="D391" s="52">
        <f>(5.25*2.9+2.5*2.15+3.4*2.9+1.35*2.35+1.4*2.4+1*1.65)*10.764</f>
        <v>415.94786999999997</v>
      </c>
      <c r="E391" s="42">
        <v>0</v>
      </c>
      <c r="F391" s="42">
        <f t="shared" si="49"/>
        <v>415.94786999999997</v>
      </c>
      <c r="G391" s="42">
        <v>0</v>
      </c>
      <c r="H391" s="42">
        <f t="shared" si="50"/>
        <v>623.92180499999995</v>
      </c>
      <c r="I391" s="36"/>
      <c r="L391" s="177"/>
      <c r="M391" s="177"/>
      <c r="N391" s="36"/>
      <c r="T391" s="21"/>
    </row>
    <row r="392" spans="1:20" s="37" customFormat="1" ht="15.75" customHeight="1" x14ac:dyDescent="0.25">
      <c r="A392" s="42">
        <f>A391+1</f>
        <v>6</v>
      </c>
      <c r="B392" s="58" t="s">
        <v>212</v>
      </c>
      <c r="C392" s="42" t="s">
        <v>187</v>
      </c>
      <c r="D392" s="52">
        <f>(5.05*2.85+2.25*2.9+3.4*2.9+3.1*3.95+2.35*1.35+2.35*1.35+3.25*1.3+1*2+0.9*1.3)*10.764</f>
        <v>610.99154999999996</v>
      </c>
      <c r="E392" s="42">
        <v>0</v>
      </c>
      <c r="F392" s="42">
        <f t="shared" si="49"/>
        <v>610.99154999999996</v>
      </c>
      <c r="G392" s="42">
        <v>0</v>
      </c>
      <c r="H392" s="42">
        <f t="shared" si="50"/>
        <v>916.48732499999994</v>
      </c>
      <c r="I392" s="36"/>
      <c r="L392" s="177"/>
      <c r="M392" s="177"/>
      <c r="N392" s="36"/>
    </row>
    <row r="393" spans="1:20" s="37" customFormat="1" x14ac:dyDescent="0.25">
      <c r="A393" s="97" t="s">
        <v>275</v>
      </c>
      <c r="B393" s="98"/>
      <c r="C393" s="98"/>
      <c r="D393" s="98"/>
      <c r="E393" s="98"/>
      <c r="F393" s="98"/>
      <c r="G393" s="98"/>
      <c r="H393" s="99"/>
      <c r="J393" s="36"/>
    </row>
    <row r="394" spans="1:20" s="37" customFormat="1" ht="15.75" customHeight="1" x14ac:dyDescent="0.25">
      <c r="A394" s="42">
        <v>1</v>
      </c>
      <c r="B394" s="58" t="s">
        <v>212</v>
      </c>
      <c r="C394" s="42" t="s">
        <v>187</v>
      </c>
      <c r="D394" s="52">
        <f>(5.05*2.85+2.25*2.9+3.4*2.9+3.1*3.95+2.35*1.35+2.35*1.35+3.25*1.3+1*2+0.9*1.3)*10.764</f>
        <v>610.99154999999996</v>
      </c>
      <c r="E394" s="42">
        <v>0</v>
      </c>
      <c r="F394" s="42">
        <f>D394+E394</f>
        <v>610.99154999999996</v>
      </c>
      <c r="G394" s="42">
        <v>0</v>
      </c>
      <c r="H394" s="42">
        <f>F394*(($H$223)+1)+(IF(G394&lt;101,G394,IF(G394&lt;201,G394/2,IF(G394&lt;=301,G394/3,G394/4))))</f>
        <v>916.48732499999994</v>
      </c>
      <c r="I394" s="61"/>
      <c r="L394" s="177"/>
      <c r="M394" s="177"/>
      <c r="N394" s="36"/>
    </row>
    <row r="395" spans="1:20" s="37" customFormat="1" ht="15.75" customHeight="1" x14ac:dyDescent="0.25">
      <c r="A395" s="42">
        <f>A394+1</f>
        <v>2</v>
      </c>
      <c r="B395" s="58" t="s">
        <v>212</v>
      </c>
      <c r="C395" s="42" t="s">
        <v>202</v>
      </c>
      <c r="D395" s="52">
        <f>(5.25*2.9+2.5*2.15+3.4*2.9+1.35*2.35+1.4*2.4+0.9*1.65)*10.764</f>
        <v>414.17180999999999</v>
      </c>
      <c r="E395" s="42">
        <v>0</v>
      </c>
      <c r="F395" s="42">
        <f>D395+E395</f>
        <v>414.17180999999999</v>
      </c>
      <c r="G395" s="42">
        <v>0</v>
      </c>
      <c r="H395" s="42">
        <f t="shared" ref="H395:H397" si="51">F395*(($H$223)+1)+(IF(G395&lt;101,G395,IF(G395&lt;201,G395/2,IF(G395&lt;=301,G395/3,G395/4))))</f>
        <v>621.25771499999996</v>
      </c>
      <c r="I395" s="36"/>
      <c r="L395" s="177"/>
      <c r="M395" s="177"/>
      <c r="N395" s="36"/>
    </row>
    <row r="396" spans="1:20" s="37" customFormat="1" ht="15.75" customHeight="1" x14ac:dyDescent="0.25">
      <c r="A396" s="42">
        <f>A395+1</f>
        <v>3</v>
      </c>
      <c r="B396" s="58" t="s">
        <v>212</v>
      </c>
      <c r="C396" s="42" t="s">
        <v>202</v>
      </c>
      <c r="D396" s="52">
        <f>(6.1*2.9+2.5*2.15+3.4*2.9+2.35*1.35+1.4*2.4+0.9*1.65+0.2*1.65)*10.764</f>
        <v>444.25718999999992</v>
      </c>
      <c r="E396" s="42">
        <v>0</v>
      </c>
      <c r="F396" s="42">
        <f>D396+E396</f>
        <v>444.25718999999992</v>
      </c>
      <c r="G396" s="42">
        <v>0</v>
      </c>
      <c r="H396" s="42">
        <f t="shared" si="51"/>
        <v>666.38578499999994</v>
      </c>
      <c r="I396" s="36"/>
      <c r="L396" s="177"/>
      <c r="M396" s="177"/>
      <c r="N396" s="36"/>
    </row>
    <row r="397" spans="1:20" s="37" customFormat="1" ht="15.75" customHeight="1" x14ac:dyDescent="0.25">
      <c r="A397" s="42">
        <f>A396+1</f>
        <v>4</v>
      </c>
      <c r="B397" s="58" t="s">
        <v>212</v>
      </c>
      <c r="C397" s="42" t="s">
        <v>187</v>
      </c>
      <c r="D397" s="52">
        <f>(6.1*2.9+2.5*2.15+3.4*2.9+2.35*1.35+1.4*2.4+0.9*1.65+4.15*3.1+2.5*1.35)*10.764</f>
        <v>615.51242999999988</v>
      </c>
      <c r="E397" s="42">
        <v>0</v>
      </c>
      <c r="F397" s="42">
        <f>D397+E397</f>
        <v>615.51242999999988</v>
      </c>
      <c r="G397" s="42">
        <v>0</v>
      </c>
      <c r="H397" s="42">
        <f t="shared" si="51"/>
        <v>923.26864499999988</v>
      </c>
      <c r="I397" s="36"/>
      <c r="L397" s="177"/>
      <c r="M397" s="177"/>
      <c r="N397" s="36"/>
      <c r="T397" s="21"/>
    </row>
    <row r="398" spans="1:20" s="37" customFormat="1" ht="15.75" customHeight="1" x14ac:dyDescent="0.25">
      <c r="A398" s="42">
        <f>A397+1</f>
        <v>5</v>
      </c>
      <c r="B398" s="58" t="s">
        <v>190</v>
      </c>
      <c r="C398" s="141" t="s">
        <v>191</v>
      </c>
      <c r="D398" s="211"/>
      <c r="E398" s="211"/>
      <c r="F398" s="211"/>
      <c r="G398" s="211"/>
      <c r="H398" s="142"/>
      <c r="I398" s="36"/>
      <c r="L398" s="177"/>
      <c r="M398" s="177"/>
      <c r="N398" s="36"/>
      <c r="T398" s="21"/>
    </row>
    <row r="399" spans="1:20" s="37" customFormat="1" ht="15.75" customHeight="1" x14ac:dyDescent="0.25">
      <c r="A399" s="42">
        <f>A398+1</f>
        <v>6</v>
      </c>
      <c r="B399" s="58" t="s">
        <v>190</v>
      </c>
      <c r="C399" s="145"/>
      <c r="D399" s="212"/>
      <c r="E399" s="212"/>
      <c r="F399" s="212"/>
      <c r="G399" s="212"/>
      <c r="H399" s="146"/>
      <c r="I399" s="36"/>
      <c r="L399" s="177"/>
      <c r="M399" s="177"/>
      <c r="N399" s="36"/>
    </row>
    <row r="400" spans="1:20" s="37" customFormat="1" x14ac:dyDescent="0.25">
      <c r="A400" s="97" t="s">
        <v>276</v>
      </c>
      <c r="B400" s="98"/>
      <c r="C400" s="98"/>
      <c r="D400" s="98"/>
      <c r="E400" s="98"/>
      <c r="F400" s="98"/>
      <c r="G400" s="98"/>
      <c r="H400" s="99"/>
      <c r="J400" s="36"/>
    </row>
    <row r="401" spans="1:20" s="37" customFormat="1" ht="15.75" customHeight="1" x14ac:dyDescent="0.25">
      <c r="A401" s="42">
        <v>1</v>
      </c>
      <c r="B401" s="58" t="s">
        <v>212</v>
      </c>
      <c r="C401" s="42" t="s">
        <v>187</v>
      </c>
      <c r="D401" s="52">
        <f>(5.05*2.85+2.25*2.9+3.4*2.9+3.1*3.95+2.35*1.35+2.35*1.35+3.25*1.3+1*2+0.9*1.3)*10.764</f>
        <v>610.99154999999996</v>
      </c>
      <c r="E401" s="42">
        <v>0</v>
      </c>
      <c r="F401" s="42">
        <f t="shared" ref="F401:F406" si="52">D401+E401</f>
        <v>610.99154999999996</v>
      </c>
      <c r="G401" s="42">
        <v>0</v>
      </c>
      <c r="H401" s="42">
        <f>F401*(($H$223)+1)+(IF(G401&lt;101,G401,IF(G401&lt;201,G401/2,IF(G401&lt;=301,G401/3,G401/4))))</f>
        <v>916.48732499999994</v>
      </c>
      <c r="I401" s="61"/>
      <c r="L401" s="177"/>
      <c r="M401" s="177"/>
      <c r="N401" s="36"/>
    </row>
    <row r="402" spans="1:20" s="37" customFormat="1" ht="15.75" customHeight="1" x14ac:dyDescent="0.25">
      <c r="A402" s="42">
        <f>A401+1</f>
        <v>2</v>
      </c>
      <c r="B402" s="58" t="s">
        <v>212</v>
      </c>
      <c r="C402" s="42" t="s">
        <v>202</v>
      </c>
      <c r="D402" s="52">
        <f>(5.25*2.9+2.5*2.15+3.4*2.9+1.35*2.35+1.4*2.4+0.9*1.65)*10.764</f>
        <v>414.17180999999999</v>
      </c>
      <c r="E402" s="42">
        <v>0</v>
      </c>
      <c r="F402" s="42">
        <f t="shared" si="52"/>
        <v>414.17180999999999</v>
      </c>
      <c r="G402" s="42">
        <v>0</v>
      </c>
      <c r="H402" s="42">
        <f t="shared" ref="H402:H406" si="53">F402*(($H$223)+1)+(IF(G402&lt;101,G402,IF(G402&lt;201,G402/2,IF(G402&lt;=301,G402/3,G402/4))))</f>
        <v>621.25771499999996</v>
      </c>
      <c r="I402" s="36"/>
      <c r="L402" s="177"/>
      <c r="M402" s="177"/>
      <c r="N402" s="36"/>
    </row>
    <row r="403" spans="1:20" s="37" customFormat="1" ht="15.75" customHeight="1" x14ac:dyDescent="0.25">
      <c r="A403" s="42">
        <f>A402+1</f>
        <v>3</v>
      </c>
      <c r="B403" s="58" t="s">
        <v>212</v>
      </c>
      <c r="C403" s="42" t="s">
        <v>202</v>
      </c>
      <c r="D403" s="52">
        <f>(6.1*2.9+2.5*2.15+3.4*2.9+2.35*1.35+1.4*2.4+0.9*1.65+0.2*1.65)*10.764</f>
        <v>444.25718999999992</v>
      </c>
      <c r="E403" s="42">
        <v>0</v>
      </c>
      <c r="F403" s="42">
        <f t="shared" si="52"/>
        <v>444.25718999999992</v>
      </c>
      <c r="G403" s="42">
        <v>0</v>
      </c>
      <c r="H403" s="42">
        <f t="shared" si="53"/>
        <v>666.38578499999994</v>
      </c>
      <c r="I403" s="36"/>
      <c r="L403" s="177"/>
      <c r="M403" s="177"/>
      <c r="N403" s="36"/>
    </row>
    <row r="404" spans="1:20" s="37" customFormat="1" ht="15.75" customHeight="1" x14ac:dyDescent="0.25">
      <c r="A404" s="42">
        <f>A403+1</f>
        <v>4</v>
      </c>
      <c r="B404" s="58" t="s">
        <v>212</v>
      </c>
      <c r="C404" s="42" t="s">
        <v>187</v>
      </c>
      <c r="D404" s="52">
        <f>(6.1*2.9+2.5*2.15+3.4*2.9+2.35*1.35+1.4*2.4+0.9*1.65+4.15*3.1+2.5*1.35)*10.764</f>
        <v>615.51242999999988</v>
      </c>
      <c r="E404" s="42">
        <v>0</v>
      </c>
      <c r="F404" s="42">
        <f t="shared" si="52"/>
        <v>615.51242999999988</v>
      </c>
      <c r="G404" s="42">
        <v>0</v>
      </c>
      <c r="H404" s="42">
        <f t="shared" si="53"/>
        <v>923.26864499999988</v>
      </c>
      <c r="I404" s="36"/>
      <c r="L404" s="177"/>
      <c r="M404" s="177"/>
      <c r="N404" s="36"/>
      <c r="T404" s="21"/>
    </row>
    <row r="405" spans="1:20" s="37" customFormat="1" ht="15.75" customHeight="1" x14ac:dyDescent="0.25">
      <c r="A405" s="42">
        <f>A404+1</f>
        <v>5</v>
      </c>
      <c r="B405" s="58" t="s">
        <v>212</v>
      </c>
      <c r="C405" s="42" t="s">
        <v>202</v>
      </c>
      <c r="D405" s="52">
        <f>(5.25*2.9+2.5*2.15+3.4*2.9+1.35*2.35+1.4*2.4+1*1.65)*10.764</f>
        <v>415.94786999999997</v>
      </c>
      <c r="E405" s="42">
        <v>0</v>
      </c>
      <c r="F405" s="42">
        <f t="shared" si="52"/>
        <v>415.94786999999997</v>
      </c>
      <c r="G405" s="42">
        <v>0</v>
      </c>
      <c r="H405" s="42">
        <f t="shared" si="53"/>
        <v>623.92180499999995</v>
      </c>
      <c r="I405" s="36"/>
      <c r="L405" s="177"/>
      <c r="M405" s="177"/>
      <c r="N405" s="36"/>
      <c r="T405" s="21"/>
    </row>
    <row r="406" spans="1:20" s="37" customFormat="1" ht="15.75" customHeight="1" x14ac:dyDescent="0.25">
      <c r="A406" s="42">
        <f>A405+1</f>
        <v>6</v>
      </c>
      <c r="B406" s="58" t="s">
        <v>212</v>
      </c>
      <c r="C406" s="42" t="s">
        <v>187</v>
      </c>
      <c r="D406" s="52">
        <f>(5.05*2.85+2.25*2.9+3.4*2.9+3.1*3.95+2.35*1.35+2.35*1.35+3.25*1.3+1*2+0.9*1.3)*10.764</f>
        <v>610.99154999999996</v>
      </c>
      <c r="E406" s="42">
        <v>0</v>
      </c>
      <c r="F406" s="42">
        <f t="shared" si="52"/>
        <v>610.99154999999996</v>
      </c>
      <c r="G406" s="42">
        <v>0</v>
      </c>
      <c r="H406" s="42">
        <f t="shared" si="53"/>
        <v>916.48732499999994</v>
      </c>
      <c r="I406" s="36"/>
      <c r="L406" s="177"/>
      <c r="M406" s="177"/>
      <c r="N406" s="36"/>
    </row>
    <row r="407" spans="1:20" s="37" customFormat="1" x14ac:dyDescent="0.25">
      <c r="A407" s="97" t="s">
        <v>277</v>
      </c>
      <c r="B407" s="98"/>
      <c r="C407" s="98"/>
      <c r="D407" s="98"/>
      <c r="E407" s="98"/>
      <c r="F407" s="98"/>
      <c r="G407" s="98"/>
      <c r="H407" s="99"/>
      <c r="J407" s="36"/>
    </row>
    <row r="408" spans="1:20" s="37" customFormat="1" ht="15.75" customHeight="1" x14ac:dyDescent="0.25">
      <c r="A408" s="42">
        <v>1</v>
      </c>
      <c r="B408" s="58" t="s">
        <v>212</v>
      </c>
      <c r="C408" s="42" t="s">
        <v>187</v>
      </c>
      <c r="D408" s="52">
        <f>(5.05*2.85+2.25*2.9+3.4*2.9+3.1*3.95+2.35*1.35+2.35*1.35+3.25*1.3+1*2+0.9*1.3)*10.764</f>
        <v>610.99154999999996</v>
      </c>
      <c r="E408" s="42">
        <v>0</v>
      </c>
      <c r="F408" s="42">
        <f t="shared" ref="F408:F413" si="54">D408+E408</f>
        <v>610.99154999999996</v>
      </c>
      <c r="G408" s="42">
        <v>0</v>
      </c>
      <c r="H408" s="42">
        <f>F408*(($H$223)+1)+(IF(G408&lt;101,G408,IF(G408&lt;201,G408/2,IF(G408&lt;=301,G408/3,G408/4))))</f>
        <v>916.48732499999994</v>
      </c>
      <c r="I408" s="61"/>
      <c r="L408" s="177"/>
      <c r="M408" s="177"/>
      <c r="N408" s="36"/>
    </row>
    <row r="409" spans="1:20" s="37" customFormat="1" ht="15.75" customHeight="1" x14ac:dyDescent="0.25">
      <c r="A409" s="42">
        <f>A408+1</f>
        <v>2</v>
      </c>
      <c r="B409" s="58" t="s">
        <v>212</v>
      </c>
      <c r="C409" s="42" t="s">
        <v>202</v>
      </c>
      <c r="D409" s="52">
        <f>(5.25*2.9+2.5*2.15+3.4*2.9+1.35*2.35+1.4*2.4+0.9*1.65)*10.764</f>
        <v>414.17180999999999</v>
      </c>
      <c r="E409" s="42">
        <v>0</v>
      </c>
      <c r="F409" s="42">
        <f t="shared" si="54"/>
        <v>414.17180999999999</v>
      </c>
      <c r="G409" s="42">
        <v>0</v>
      </c>
      <c r="H409" s="42">
        <f t="shared" ref="H409:H413" si="55">F409*(($H$223)+1)+(IF(G409&lt;101,G409,IF(G409&lt;201,G409/2,IF(G409&lt;=301,G409/3,G409/4))))</f>
        <v>621.25771499999996</v>
      </c>
      <c r="I409" s="36"/>
      <c r="L409" s="177"/>
      <c r="M409" s="177"/>
      <c r="N409" s="36"/>
    </row>
    <row r="410" spans="1:20" s="37" customFormat="1" ht="15.75" customHeight="1" x14ac:dyDescent="0.25">
      <c r="A410" s="42">
        <f>A409+1</f>
        <v>3</v>
      </c>
      <c r="B410" s="58" t="s">
        <v>212</v>
      </c>
      <c r="C410" s="42" t="s">
        <v>202</v>
      </c>
      <c r="D410" s="52">
        <f>(6.1*2.9+2.5*2.15+3.4*2.9+2.35*1.35+1.4*2.4+0.9*1.65+0.2*1.65)*10.764</f>
        <v>444.25718999999992</v>
      </c>
      <c r="E410" s="42">
        <v>0</v>
      </c>
      <c r="F410" s="42">
        <f t="shared" si="54"/>
        <v>444.25718999999992</v>
      </c>
      <c r="G410" s="42">
        <v>0</v>
      </c>
      <c r="H410" s="42">
        <f t="shared" si="55"/>
        <v>666.38578499999994</v>
      </c>
      <c r="I410" s="36"/>
      <c r="L410" s="177"/>
      <c r="M410" s="177"/>
      <c r="N410" s="36"/>
    </row>
    <row r="411" spans="1:20" s="37" customFormat="1" ht="15.75" customHeight="1" x14ac:dyDescent="0.25">
      <c r="A411" s="42">
        <f>A410+1</f>
        <v>4</v>
      </c>
      <c r="B411" s="58" t="s">
        <v>212</v>
      </c>
      <c r="C411" s="42" t="s">
        <v>187</v>
      </c>
      <c r="D411" s="52">
        <f>(6.1*2.9+2.5*2.15+3.4*2.9+2.35*1.35+1.4*2.4+0.9*1.65+4.15*3.1+2.5*1.35)*10.764</f>
        <v>615.51242999999988</v>
      </c>
      <c r="E411" s="42">
        <v>0</v>
      </c>
      <c r="F411" s="42">
        <f t="shared" si="54"/>
        <v>615.51242999999988</v>
      </c>
      <c r="G411" s="42">
        <v>0</v>
      </c>
      <c r="H411" s="42">
        <f t="shared" si="55"/>
        <v>923.26864499999988</v>
      </c>
      <c r="I411" s="36"/>
      <c r="L411" s="177"/>
      <c r="M411" s="177"/>
      <c r="N411" s="36"/>
      <c r="T411" s="21"/>
    </row>
    <row r="412" spans="1:20" s="37" customFormat="1" ht="15.75" customHeight="1" x14ac:dyDescent="0.25">
      <c r="A412" s="42">
        <f>A411+1</f>
        <v>5</v>
      </c>
      <c r="B412" s="58" t="s">
        <v>212</v>
      </c>
      <c r="C412" s="42" t="s">
        <v>202</v>
      </c>
      <c r="D412" s="52">
        <f>(5.25*2.9+2.5*2.15+3.4*2.9+1.35*2.35+1.4*2.4+1*1.65)*10.764</f>
        <v>415.94786999999997</v>
      </c>
      <c r="E412" s="42">
        <v>0</v>
      </c>
      <c r="F412" s="42">
        <f t="shared" si="54"/>
        <v>415.94786999999997</v>
      </c>
      <c r="G412" s="42">
        <v>0</v>
      </c>
      <c r="H412" s="42">
        <f t="shared" si="55"/>
        <v>623.92180499999995</v>
      </c>
      <c r="I412" s="36"/>
      <c r="L412" s="177"/>
      <c r="M412" s="177"/>
      <c r="N412" s="36"/>
      <c r="T412" s="21"/>
    </row>
    <row r="413" spans="1:20" s="37" customFormat="1" ht="15.75" customHeight="1" x14ac:dyDescent="0.25">
      <c r="A413" s="42">
        <f>A412+1</f>
        <v>6</v>
      </c>
      <c r="B413" s="58" t="s">
        <v>212</v>
      </c>
      <c r="C413" s="42" t="s">
        <v>187</v>
      </c>
      <c r="D413" s="52">
        <f>(5.05*2.85+2.25*2.9+3.4*2.9+3.1*3.95+2.35*1.35+2.35*1.35+3.25*1.3+1*2+0.9*1.3)*10.764</f>
        <v>610.99154999999996</v>
      </c>
      <c r="E413" s="42">
        <v>0</v>
      </c>
      <c r="F413" s="42">
        <f t="shared" si="54"/>
        <v>610.99154999999996</v>
      </c>
      <c r="G413" s="42">
        <v>0</v>
      </c>
      <c r="H413" s="42">
        <f t="shared" si="55"/>
        <v>916.48732499999994</v>
      </c>
      <c r="I413" s="36"/>
      <c r="L413" s="177"/>
      <c r="M413" s="177"/>
      <c r="N413" s="36"/>
    </row>
    <row r="414" spans="1:20" s="37" customFormat="1" x14ac:dyDescent="0.25">
      <c r="A414" s="97" t="s">
        <v>235</v>
      </c>
      <c r="B414" s="98"/>
      <c r="C414" s="98"/>
      <c r="D414" s="98"/>
      <c r="E414" s="98"/>
      <c r="F414" s="98"/>
      <c r="G414" s="98"/>
      <c r="H414" s="99"/>
      <c r="J414" s="36"/>
    </row>
    <row r="415" spans="1:20" s="37" customFormat="1" ht="15.75" customHeight="1" x14ac:dyDescent="0.25">
      <c r="A415" s="42">
        <v>1</v>
      </c>
      <c r="B415" s="58" t="s">
        <v>212</v>
      </c>
      <c r="C415" s="42" t="s">
        <v>187</v>
      </c>
      <c r="D415" s="52">
        <f>(5.05*2.85+2.25*2.9+3.4*2.9+3.1*3.95+2.35*1.35+2.35*1.35+3.25*1.3+1*2+0.9*1.3)*10.764</f>
        <v>610.99154999999996</v>
      </c>
      <c r="E415" s="42">
        <v>0</v>
      </c>
      <c r="F415" s="42">
        <f>D415+E415</f>
        <v>610.99154999999996</v>
      </c>
      <c r="G415" s="42">
        <v>0</v>
      </c>
      <c r="H415" s="42">
        <f>F415*(($H$223)+1)+(IF(G415&lt;101,G415,IF(G415&lt;201,G415/2,IF(G415&lt;=301,G415/3,G415/4))))</f>
        <v>916.48732499999994</v>
      </c>
      <c r="I415" s="61"/>
      <c r="L415" s="177"/>
      <c r="M415" s="177"/>
      <c r="N415" s="36"/>
    </row>
    <row r="416" spans="1:20" s="37" customFormat="1" ht="15.75" customHeight="1" x14ac:dyDescent="0.25">
      <c r="A416" s="42">
        <f>A415+1</f>
        <v>2</v>
      </c>
      <c r="B416" s="58" t="s">
        <v>212</v>
      </c>
      <c r="C416" s="42" t="s">
        <v>202</v>
      </c>
      <c r="D416" s="52">
        <f>(5.25*2.9+2.5*2.15+3.4*2.9+1.35*2.35+1.4*2.4+0.9*1.65)*10.764</f>
        <v>414.17180999999999</v>
      </c>
      <c r="E416" s="42">
        <v>0</v>
      </c>
      <c r="F416" s="42">
        <f>D416+E416</f>
        <v>414.17180999999999</v>
      </c>
      <c r="G416" s="42">
        <v>0</v>
      </c>
      <c r="H416" s="42">
        <f>F416*(($H$223)+1)+(IF(G416&lt;101,G416,IF(G416&lt;201,G416/2,IF(G416&lt;=301,G416/3,G416/4))))</f>
        <v>621.25771499999996</v>
      </c>
      <c r="I416" s="36"/>
      <c r="L416" s="177"/>
      <c r="M416" s="177"/>
      <c r="N416" s="36"/>
    </row>
    <row r="417" spans="1:20" s="37" customFormat="1" ht="15.75" customHeight="1" x14ac:dyDescent="0.25">
      <c r="A417" s="42">
        <f>A416+1</f>
        <v>3</v>
      </c>
      <c r="B417" s="58" t="s">
        <v>212</v>
      </c>
      <c r="C417" s="42" t="s">
        <v>202</v>
      </c>
      <c r="D417" s="52">
        <f>(6.1*2.9+2.5*2.15+3.4*2.9+2.35*1.35+1.4*2.4+0.9*1.65+0.2*1.65)*10.764</f>
        <v>444.25718999999992</v>
      </c>
      <c r="E417" s="42">
        <v>0</v>
      </c>
      <c r="F417" s="42">
        <f>D417+E417</f>
        <v>444.25718999999992</v>
      </c>
      <c r="G417" s="42">
        <v>0</v>
      </c>
      <c r="H417" s="42">
        <f>F417*(($H$223)+1)+(IF(G417&lt;101,G417,IF(G417&lt;201,G417/2,IF(G417&lt;=301,G417/3,G417/4))))</f>
        <v>666.38578499999994</v>
      </c>
      <c r="I417" s="36"/>
      <c r="L417" s="177"/>
      <c r="M417" s="177"/>
      <c r="N417" s="36"/>
    </row>
    <row r="418" spans="1:20" s="37" customFormat="1" ht="15.75" customHeight="1" x14ac:dyDescent="0.25">
      <c r="A418" s="42">
        <f>A417+1</f>
        <v>4</v>
      </c>
      <c r="B418" s="58" t="s">
        <v>212</v>
      </c>
      <c r="C418" s="42" t="s">
        <v>187</v>
      </c>
      <c r="D418" s="52">
        <f>(6.1*2.9+2.5*2.15+3.4*2.9+2.35*1.35+1.4*2.4+0.9*1.65+4.15*3.1+2.5*1.35)*10.764</f>
        <v>615.51242999999988</v>
      </c>
      <c r="E418" s="42">
        <v>0</v>
      </c>
      <c r="F418" s="42">
        <f>D418+E418</f>
        <v>615.51242999999988</v>
      </c>
      <c r="G418" s="42">
        <v>0</v>
      </c>
      <c r="H418" s="42">
        <f>F418*(($H$223)+1)+(IF(G418&lt;101,G418,IF(G418&lt;201,G418/2,IF(G418&lt;=301,G418/3,G418/4))))</f>
        <v>923.26864499999988</v>
      </c>
      <c r="I418" s="36"/>
      <c r="L418" s="177"/>
      <c r="M418" s="177"/>
      <c r="N418" s="36"/>
      <c r="T418" s="21"/>
    </row>
    <row r="419" spans="1:20" s="37" customFormat="1" ht="15.75" customHeight="1" x14ac:dyDescent="0.25">
      <c r="A419" s="42">
        <f>A418+1</f>
        <v>5</v>
      </c>
      <c r="B419" s="58" t="s">
        <v>190</v>
      </c>
      <c r="C419" s="141" t="s">
        <v>191</v>
      </c>
      <c r="D419" s="211"/>
      <c r="E419" s="211"/>
      <c r="F419" s="211"/>
      <c r="G419" s="211"/>
      <c r="H419" s="142"/>
      <c r="I419" s="36"/>
      <c r="L419" s="177"/>
      <c r="M419" s="177"/>
      <c r="N419" s="36"/>
      <c r="T419" s="21"/>
    </row>
    <row r="420" spans="1:20" s="37" customFormat="1" ht="15.75" customHeight="1" x14ac:dyDescent="0.25">
      <c r="A420" s="42">
        <f>A419+1</f>
        <v>6</v>
      </c>
      <c r="B420" s="58" t="s">
        <v>190</v>
      </c>
      <c r="C420" s="145"/>
      <c r="D420" s="212"/>
      <c r="E420" s="212"/>
      <c r="F420" s="212"/>
      <c r="G420" s="212"/>
      <c r="H420" s="146"/>
      <c r="I420" s="36"/>
      <c r="L420" s="177"/>
      <c r="M420" s="177"/>
      <c r="N420" s="36"/>
    </row>
    <row r="421" spans="1:20" s="37" customFormat="1" x14ac:dyDescent="0.25">
      <c r="A421" s="102" t="s">
        <v>199</v>
      </c>
      <c r="B421" s="103"/>
      <c r="C421" s="103"/>
      <c r="D421" s="103"/>
      <c r="E421" s="103"/>
      <c r="F421" s="103"/>
      <c r="G421" s="103"/>
      <c r="H421" s="104"/>
      <c r="J421" s="36"/>
    </row>
    <row r="422" spans="1:20" s="37" customFormat="1" x14ac:dyDescent="0.25">
      <c r="A422" s="97" t="s">
        <v>285</v>
      </c>
      <c r="B422" s="98"/>
      <c r="C422" s="98"/>
      <c r="D422" s="98"/>
      <c r="E422" s="98"/>
      <c r="F422" s="98"/>
      <c r="G422" s="98"/>
      <c r="H422" s="99"/>
      <c r="I422" s="36"/>
    </row>
    <row r="423" spans="1:20" s="37" customFormat="1" x14ac:dyDescent="0.25">
      <c r="A423" s="97" t="s">
        <v>283</v>
      </c>
      <c r="B423" s="98"/>
      <c r="C423" s="98"/>
      <c r="D423" s="98"/>
      <c r="E423" s="98"/>
      <c r="F423" s="98"/>
      <c r="G423" s="98"/>
      <c r="H423" s="99"/>
      <c r="I423" s="36"/>
    </row>
    <row r="424" spans="1:20" s="37" customFormat="1" x14ac:dyDescent="0.25">
      <c r="A424" s="97" t="s">
        <v>270</v>
      </c>
      <c r="B424" s="98"/>
      <c r="C424" s="98"/>
      <c r="D424" s="98"/>
      <c r="E424" s="98"/>
      <c r="F424" s="98"/>
      <c r="G424" s="98"/>
      <c r="H424" s="99"/>
      <c r="I424" s="36"/>
    </row>
    <row r="425" spans="1:20" s="37" customFormat="1" x14ac:dyDescent="0.25">
      <c r="A425" s="97" t="s">
        <v>208</v>
      </c>
      <c r="B425" s="98"/>
      <c r="C425" s="98"/>
      <c r="D425" s="98"/>
      <c r="E425" s="98"/>
      <c r="F425" s="98"/>
      <c r="G425" s="98"/>
      <c r="H425" s="99"/>
      <c r="I425" s="36"/>
    </row>
    <row r="426" spans="1:20" s="37" customFormat="1" ht="15.6" customHeight="1" x14ac:dyDescent="0.25">
      <c r="A426" s="97" t="s">
        <v>279</v>
      </c>
      <c r="B426" s="98"/>
      <c r="C426" s="98"/>
      <c r="D426" s="98"/>
      <c r="E426" s="98"/>
      <c r="F426" s="98"/>
      <c r="G426" s="98"/>
      <c r="H426" s="99"/>
      <c r="I426" s="36"/>
    </row>
    <row r="427" spans="1:20" s="37" customFormat="1" x14ac:dyDescent="0.25">
      <c r="A427" s="97" t="s">
        <v>271</v>
      </c>
      <c r="B427" s="98"/>
      <c r="C427" s="98"/>
      <c r="D427" s="98"/>
      <c r="E427" s="98"/>
      <c r="F427" s="98"/>
      <c r="G427" s="98"/>
      <c r="H427" s="99"/>
      <c r="J427" s="36"/>
    </row>
    <row r="428" spans="1:20" s="37" customFormat="1" ht="15.75" customHeight="1" x14ac:dyDescent="0.25">
      <c r="A428" s="42">
        <v>1</v>
      </c>
      <c r="B428" s="42" t="s">
        <v>183</v>
      </c>
      <c r="C428" s="42" t="s">
        <v>187</v>
      </c>
      <c r="D428" s="52">
        <f>(5.05*2.85+2.25*2.9+3.4*2.9+3.1*3.95+2.35*1.35+2.35*1.35+3.25*1.3+1*2+0.9*1.3)*10.764</f>
        <v>610.99154999999996</v>
      </c>
      <c r="E428" s="42">
        <v>0</v>
      </c>
      <c r="F428" s="42">
        <f t="shared" ref="F428:F435" si="56">D428+E428</f>
        <v>610.99154999999996</v>
      </c>
      <c r="G428" s="52">
        <f>(0.7*2.85)*10.764</f>
        <v>21.474179999999997</v>
      </c>
      <c r="H428" s="42">
        <f>F428*(($H$223)+1)+(IF(G428&lt;101,G428,IF(G428&lt;201,G428/2,IF(G428&lt;=301,G428/3,G428/4))))</f>
        <v>937.96150499999999</v>
      </c>
      <c r="I428" s="61"/>
      <c r="L428" s="177"/>
      <c r="M428" s="177"/>
      <c r="N428" s="36"/>
    </row>
    <row r="429" spans="1:20" s="37" customFormat="1" ht="15.75" customHeight="1" x14ac:dyDescent="0.25">
      <c r="A429" s="42">
        <f t="shared" ref="A429:A435" si="57">A428+1</f>
        <v>2</v>
      </c>
      <c r="B429" s="42" t="s">
        <v>183</v>
      </c>
      <c r="C429" s="42" t="s">
        <v>202</v>
      </c>
      <c r="D429" s="52">
        <f>(5.25*2.9+2.5*2.15+3.4*2.9+1.35*2.35+1.4*2.4+1*1.65)*10.764</f>
        <v>415.94786999999997</v>
      </c>
      <c r="E429" s="42">
        <v>0</v>
      </c>
      <c r="F429" s="42">
        <f t="shared" si="56"/>
        <v>415.94786999999997</v>
      </c>
      <c r="G429" s="52">
        <f>(0.7*2.9)*10.764</f>
        <v>21.850919999999995</v>
      </c>
      <c r="H429" s="42">
        <f t="shared" ref="H429:H435" si="58">F429*(($H$223)+1)+(IF(G429&lt;101,G429,IF(G429&lt;201,G429/2,IF(G429&lt;=301,G429/3,G429/4))))</f>
        <v>645.77272499999992</v>
      </c>
      <c r="I429" s="36"/>
      <c r="L429" s="177"/>
      <c r="M429" s="177"/>
      <c r="N429" s="36"/>
    </row>
    <row r="430" spans="1:20" s="37" customFormat="1" ht="15.75" customHeight="1" x14ac:dyDescent="0.25">
      <c r="A430" s="42">
        <f t="shared" si="57"/>
        <v>3</v>
      </c>
      <c r="B430" s="42" t="s">
        <v>183</v>
      </c>
      <c r="C430" s="42" t="s">
        <v>202</v>
      </c>
      <c r="D430" s="52">
        <f>(5.25*2.9+2.5*2.15+3.4*2.9+1.35*2.35+1.4*2.4+1*1.65)*10.764</f>
        <v>415.94786999999997</v>
      </c>
      <c r="E430" s="42">
        <v>0</v>
      </c>
      <c r="F430" s="42">
        <f t="shared" si="56"/>
        <v>415.94786999999997</v>
      </c>
      <c r="G430" s="52">
        <f>(0.7*2.9)*10.764</f>
        <v>21.850919999999995</v>
      </c>
      <c r="H430" s="42">
        <f t="shared" si="58"/>
        <v>645.77272499999992</v>
      </c>
      <c r="I430" s="36"/>
      <c r="L430" s="177"/>
      <c r="M430" s="177"/>
      <c r="N430" s="36"/>
    </row>
    <row r="431" spans="1:20" s="37" customFormat="1" ht="15.75" customHeight="1" x14ac:dyDescent="0.25">
      <c r="A431" s="42">
        <f t="shared" si="57"/>
        <v>4</v>
      </c>
      <c r="B431" s="42" t="s">
        <v>183</v>
      </c>
      <c r="C431" s="42" t="s">
        <v>187</v>
      </c>
      <c r="D431" s="52">
        <f t="shared" ref="D431:D432" si="59">(5.05*2.85+2.25*2.9+3.4*2.9+3.1*3.95+2.35*1.35+2.35*1.35+3.25*1.3+1*2+0.9*1.3)*10.764</f>
        <v>610.99154999999996</v>
      </c>
      <c r="E431" s="42">
        <v>0</v>
      </c>
      <c r="F431" s="42">
        <f t="shared" si="56"/>
        <v>610.99154999999996</v>
      </c>
      <c r="G431" s="52">
        <f>(0.7*2.85)*10.764</f>
        <v>21.474179999999997</v>
      </c>
      <c r="H431" s="42">
        <f t="shared" si="58"/>
        <v>937.96150499999999</v>
      </c>
      <c r="I431" s="36"/>
      <c r="L431" s="177"/>
      <c r="M431" s="177"/>
      <c r="N431" s="36"/>
      <c r="T431" s="21"/>
    </row>
    <row r="432" spans="1:20" s="37" customFormat="1" ht="15.75" customHeight="1" x14ac:dyDescent="0.25">
      <c r="A432" s="42">
        <f t="shared" si="57"/>
        <v>5</v>
      </c>
      <c r="B432" s="42" t="s">
        <v>183</v>
      </c>
      <c r="C432" s="42" t="s">
        <v>187</v>
      </c>
      <c r="D432" s="52">
        <f t="shared" si="59"/>
        <v>610.99154999999996</v>
      </c>
      <c r="E432" s="42">
        <v>0</v>
      </c>
      <c r="F432" s="42">
        <f t="shared" si="56"/>
        <v>610.99154999999996</v>
      </c>
      <c r="G432" s="52">
        <f>(0.7*2.85)*10.764</f>
        <v>21.474179999999997</v>
      </c>
      <c r="H432" s="42">
        <f t="shared" si="58"/>
        <v>937.96150499999999</v>
      </c>
      <c r="I432" s="36"/>
      <c r="L432" s="177"/>
      <c r="M432" s="177"/>
      <c r="N432" s="36"/>
      <c r="T432" s="21"/>
    </row>
    <row r="433" spans="1:20" s="37" customFormat="1" ht="15.75" customHeight="1" x14ac:dyDescent="0.25">
      <c r="A433" s="42">
        <f t="shared" si="57"/>
        <v>6</v>
      </c>
      <c r="B433" s="42" t="s">
        <v>203</v>
      </c>
      <c r="C433" s="42" t="s">
        <v>202</v>
      </c>
      <c r="D433" s="52">
        <f>(5.25*2.9+2.5*2.15+3.4*2.9+1.35*2.35+1.4*2.4+1*1.65)*10.764</f>
        <v>415.94786999999997</v>
      </c>
      <c r="E433" s="42">
        <v>0</v>
      </c>
      <c r="F433" s="42">
        <f t="shared" si="56"/>
        <v>415.94786999999997</v>
      </c>
      <c r="G433" s="52">
        <f>(0.7*2.9)*10.764</f>
        <v>21.850919999999995</v>
      </c>
      <c r="H433" s="42">
        <f t="shared" si="58"/>
        <v>645.77272499999992</v>
      </c>
      <c r="I433" s="36"/>
      <c r="L433" s="177"/>
      <c r="M433" s="177"/>
      <c r="N433" s="36"/>
    </row>
    <row r="434" spans="1:20" s="37" customFormat="1" ht="15.75" customHeight="1" x14ac:dyDescent="0.25">
      <c r="A434" s="42">
        <f t="shared" si="57"/>
        <v>7</v>
      </c>
      <c r="B434" s="42" t="s">
        <v>183</v>
      </c>
      <c r="C434" s="42" t="s">
        <v>202</v>
      </c>
      <c r="D434" s="52">
        <f>(5.25*2.9+2.5*2.15+3.4*2.9+1.35*2.35+1.4*2.4+1*1.65)*10.764</f>
        <v>415.94786999999997</v>
      </c>
      <c r="E434" s="42">
        <v>0</v>
      </c>
      <c r="F434" s="42">
        <f t="shared" si="56"/>
        <v>415.94786999999997</v>
      </c>
      <c r="G434" s="52">
        <f>(0.7*2.9)*10.764</f>
        <v>21.850919999999995</v>
      </c>
      <c r="H434" s="42">
        <f t="shared" si="58"/>
        <v>645.77272499999992</v>
      </c>
      <c r="I434" s="36"/>
      <c r="L434" s="177"/>
      <c r="M434" s="177"/>
      <c r="N434" s="36"/>
      <c r="T434" s="21"/>
    </row>
    <row r="435" spans="1:20" s="37" customFormat="1" ht="15.75" customHeight="1" x14ac:dyDescent="0.25">
      <c r="A435" s="42">
        <f t="shared" si="57"/>
        <v>8</v>
      </c>
      <c r="B435" s="42" t="s">
        <v>183</v>
      </c>
      <c r="C435" s="42" t="s">
        <v>187</v>
      </c>
      <c r="D435" s="52">
        <f>(5.05*2.85+2.25*2.9+3.4*2.9+3.1*3.95+2.35*1.35+2.35*1.35+3.25*1.3+1*2+0.9*1.3)*10.764</f>
        <v>610.99154999999996</v>
      </c>
      <c r="E435" s="42">
        <v>0</v>
      </c>
      <c r="F435" s="42">
        <f t="shared" si="56"/>
        <v>610.99154999999996</v>
      </c>
      <c r="G435" s="52">
        <f>(0.7*2.9)*10.764</f>
        <v>21.850919999999995</v>
      </c>
      <c r="H435" s="42">
        <f t="shared" si="58"/>
        <v>938.33824499999992</v>
      </c>
      <c r="I435" s="36"/>
      <c r="L435" s="177"/>
      <c r="M435" s="177"/>
      <c r="N435" s="36"/>
      <c r="T435" s="21"/>
    </row>
    <row r="436" spans="1:20" s="37" customFormat="1" x14ac:dyDescent="0.25">
      <c r="A436" s="97" t="s">
        <v>213</v>
      </c>
      <c r="B436" s="98"/>
      <c r="C436" s="98"/>
      <c r="D436" s="98"/>
      <c r="E436" s="98"/>
      <c r="F436" s="98"/>
      <c r="G436" s="98"/>
      <c r="H436" s="99"/>
      <c r="J436" s="36"/>
    </row>
    <row r="437" spans="1:20" s="37" customFormat="1" ht="15.75" customHeight="1" x14ac:dyDescent="0.25">
      <c r="A437" s="42">
        <v>1</v>
      </c>
      <c r="B437" s="58" t="s">
        <v>212</v>
      </c>
      <c r="C437" s="42" t="s">
        <v>187</v>
      </c>
      <c r="D437" s="52">
        <f>(5.05*2.85+2.25*2.9+3.4*2.9+3.1*3.95+2.35*1.35+2.35*1.35+3.25*1.3+1*2+0.9*1.3)*10.764</f>
        <v>610.99154999999996</v>
      </c>
      <c r="E437" s="42">
        <v>0</v>
      </c>
      <c r="F437" s="42">
        <f t="shared" ref="F437:F444" si="60">D437+E437</f>
        <v>610.99154999999996</v>
      </c>
      <c r="G437" s="42">
        <v>0</v>
      </c>
      <c r="H437" s="42">
        <f>F437*(($H$223)+1)+(IF(G437&lt;101,G437,IF(G437&lt;201,G437/2,IF(G437&lt;=301,G437/3,G437/4))))</f>
        <v>916.48732499999994</v>
      </c>
      <c r="I437" s="61"/>
      <c r="L437" s="177"/>
      <c r="M437" s="177"/>
      <c r="N437" s="36"/>
    </row>
    <row r="438" spans="1:20" s="37" customFormat="1" ht="15.75" customHeight="1" x14ac:dyDescent="0.25">
      <c r="A438" s="42">
        <f t="shared" ref="A438:A444" si="61">A437+1</f>
        <v>2</v>
      </c>
      <c r="B438" s="58" t="s">
        <v>212</v>
      </c>
      <c r="C438" s="42" t="s">
        <v>202</v>
      </c>
      <c r="D438" s="52">
        <f>(5.25*2.9+2.5*2.15+3.4*2.9+1.35*2.35+1.4*2.4+1*1.65)*10.764</f>
        <v>415.94786999999997</v>
      </c>
      <c r="E438" s="42">
        <v>0</v>
      </c>
      <c r="F438" s="42">
        <f t="shared" si="60"/>
        <v>415.94786999999997</v>
      </c>
      <c r="G438" s="42">
        <v>0</v>
      </c>
      <c r="H438" s="42">
        <f t="shared" ref="H438:H444" si="62">F438*(($H$223)+1)+(IF(G438&lt;101,G438,IF(G438&lt;201,G438/2,IF(G438&lt;=301,G438/3,G438/4))))</f>
        <v>623.92180499999995</v>
      </c>
      <c r="I438" s="36"/>
      <c r="L438" s="177"/>
      <c r="M438" s="177"/>
      <c r="N438" s="36"/>
    </row>
    <row r="439" spans="1:20" s="37" customFormat="1" ht="15.75" customHeight="1" x14ac:dyDescent="0.25">
      <c r="A439" s="42">
        <f t="shared" si="61"/>
        <v>3</v>
      </c>
      <c r="B439" s="58" t="s">
        <v>212</v>
      </c>
      <c r="C439" s="42" t="s">
        <v>202</v>
      </c>
      <c r="D439" s="52">
        <f>(5.25*2.9+2.5*2.15+3.4*2.9+1.35*2.35+1.4*2.4+1*1.65)*10.764</f>
        <v>415.94786999999997</v>
      </c>
      <c r="E439" s="42">
        <v>0</v>
      </c>
      <c r="F439" s="42">
        <f t="shared" si="60"/>
        <v>415.94786999999997</v>
      </c>
      <c r="G439" s="42">
        <v>0</v>
      </c>
      <c r="H439" s="42">
        <f t="shared" si="62"/>
        <v>623.92180499999995</v>
      </c>
      <c r="I439" s="36"/>
      <c r="L439" s="177"/>
      <c r="M439" s="177"/>
      <c r="N439" s="36"/>
    </row>
    <row r="440" spans="1:20" s="37" customFormat="1" ht="15.75" customHeight="1" x14ac:dyDescent="0.25">
      <c r="A440" s="42">
        <f t="shared" si="61"/>
        <v>4</v>
      </c>
      <c r="B440" s="42" t="s">
        <v>183</v>
      </c>
      <c r="C440" s="42" t="s">
        <v>187</v>
      </c>
      <c r="D440" s="52">
        <f t="shared" ref="D440:D441" si="63">(5.05*2.85+2.25*2.9+3.4*2.9+3.1*3.95+2.35*1.35+2.35*1.35+3.25*1.3+1*2+0.9*1.3)*10.764</f>
        <v>610.99154999999996</v>
      </c>
      <c r="E440" s="42">
        <v>0</v>
      </c>
      <c r="F440" s="42">
        <f t="shared" si="60"/>
        <v>610.99154999999996</v>
      </c>
      <c r="G440" s="42">
        <v>0</v>
      </c>
      <c r="H440" s="42">
        <f t="shared" si="62"/>
        <v>916.48732499999994</v>
      </c>
      <c r="I440" s="36"/>
      <c r="L440" s="177"/>
      <c r="M440" s="177"/>
      <c r="N440" s="36"/>
      <c r="T440" s="21"/>
    </row>
    <row r="441" spans="1:20" s="37" customFormat="1" ht="15.75" customHeight="1" x14ac:dyDescent="0.25">
      <c r="A441" s="42">
        <f t="shared" si="61"/>
        <v>5</v>
      </c>
      <c r="B441" s="42" t="s">
        <v>183</v>
      </c>
      <c r="C441" s="42" t="s">
        <v>187</v>
      </c>
      <c r="D441" s="52">
        <f t="shared" si="63"/>
        <v>610.99154999999996</v>
      </c>
      <c r="E441" s="42">
        <v>0</v>
      </c>
      <c r="F441" s="42">
        <f t="shared" si="60"/>
        <v>610.99154999999996</v>
      </c>
      <c r="G441" s="42">
        <v>0</v>
      </c>
      <c r="H441" s="42">
        <f t="shared" si="62"/>
        <v>916.48732499999994</v>
      </c>
      <c r="I441" s="36"/>
      <c r="L441" s="177"/>
      <c r="M441" s="177"/>
      <c r="N441" s="36"/>
      <c r="T441" s="21"/>
    </row>
    <row r="442" spans="1:20" s="37" customFormat="1" ht="15.75" customHeight="1" x14ac:dyDescent="0.25">
      <c r="A442" s="42">
        <f t="shared" si="61"/>
        <v>6</v>
      </c>
      <c r="B442" s="58" t="s">
        <v>212</v>
      </c>
      <c r="C442" s="42" t="s">
        <v>202</v>
      </c>
      <c r="D442" s="52">
        <f>(5.25*2.9+2.5*2.15+3.4*2.9+1.35*2.35+1.4*2.4+1*1.65)*10.764</f>
        <v>415.94786999999997</v>
      </c>
      <c r="E442" s="42">
        <v>0</v>
      </c>
      <c r="F442" s="42">
        <f t="shared" si="60"/>
        <v>415.94786999999997</v>
      </c>
      <c r="G442" s="42">
        <v>0</v>
      </c>
      <c r="H442" s="42">
        <f t="shared" si="62"/>
        <v>623.92180499999995</v>
      </c>
      <c r="I442" s="36"/>
      <c r="L442" s="177"/>
      <c r="M442" s="177"/>
      <c r="N442" s="36"/>
    </row>
    <row r="443" spans="1:20" s="37" customFormat="1" ht="15.75" customHeight="1" x14ac:dyDescent="0.25">
      <c r="A443" s="42">
        <f t="shared" si="61"/>
        <v>7</v>
      </c>
      <c r="B443" s="58" t="s">
        <v>212</v>
      </c>
      <c r="C443" s="42" t="s">
        <v>202</v>
      </c>
      <c r="D443" s="52">
        <f>(5.25*2.9+2.5*2.15+3.4*2.9+1.35*2.35+1.4*2.4+1*1.65)*10.764</f>
        <v>415.94786999999997</v>
      </c>
      <c r="E443" s="42">
        <v>0</v>
      </c>
      <c r="F443" s="42">
        <f t="shared" si="60"/>
        <v>415.94786999999997</v>
      </c>
      <c r="G443" s="42">
        <v>0</v>
      </c>
      <c r="H443" s="42">
        <f t="shared" si="62"/>
        <v>623.92180499999995</v>
      </c>
      <c r="I443" s="36"/>
      <c r="L443" s="177"/>
      <c r="M443" s="177"/>
      <c r="N443" s="36"/>
      <c r="T443" s="21"/>
    </row>
    <row r="444" spans="1:20" s="37" customFormat="1" ht="15.75" customHeight="1" x14ac:dyDescent="0.25">
      <c r="A444" s="42">
        <f t="shared" si="61"/>
        <v>8</v>
      </c>
      <c r="B444" s="58" t="s">
        <v>212</v>
      </c>
      <c r="C444" s="42" t="s">
        <v>187</v>
      </c>
      <c r="D444" s="52">
        <f>(5.05*2.85+2.25*2.9+3.4*2.9+3.1*3.95+2.35*1.35+2.35*1.35+3.25*1.3+1*2+0.9*1.3)*10.764</f>
        <v>610.99154999999996</v>
      </c>
      <c r="E444" s="42">
        <v>0</v>
      </c>
      <c r="F444" s="42">
        <f t="shared" si="60"/>
        <v>610.99154999999996</v>
      </c>
      <c r="G444" s="42">
        <v>0</v>
      </c>
      <c r="H444" s="42">
        <f t="shared" si="62"/>
        <v>916.48732499999994</v>
      </c>
      <c r="I444" s="36"/>
      <c r="L444" s="177"/>
      <c r="M444" s="177"/>
      <c r="N444" s="36"/>
      <c r="T444" s="21"/>
    </row>
    <row r="445" spans="1:20" s="37" customFormat="1" x14ac:dyDescent="0.25">
      <c r="A445" s="97" t="s">
        <v>214</v>
      </c>
      <c r="B445" s="98"/>
      <c r="C445" s="98"/>
      <c r="D445" s="98"/>
      <c r="E445" s="98"/>
      <c r="F445" s="98"/>
      <c r="G445" s="98"/>
      <c r="H445" s="99"/>
      <c r="J445" s="36"/>
    </row>
    <row r="446" spans="1:20" s="37" customFormat="1" ht="15.75" customHeight="1" x14ac:dyDescent="0.25">
      <c r="A446" s="42">
        <v>1</v>
      </c>
      <c r="B446" s="42" t="s">
        <v>183</v>
      </c>
      <c r="C446" s="42" t="s">
        <v>187</v>
      </c>
      <c r="D446" s="52">
        <f>(5.05*2.85+2.25*2.9+3.4*2.9+3.1*3.95+2.35*1.35+2.35*1.35+3.25*1.3+1*2+0.9*1.3)*10.764</f>
        <v>610.99154999999996</v>
      </c>
      <c r="E446" s="42">
        <v>0</v>
      </c>
      <c r="F446" s="42">
        <f t="shared" ref="F446:F453" si="64">D446+E446</f>
        <v>610.99154999999996</v>
      </c>
      <c r="G446" s="42">
        <v>0</v>
      </c>
      <c r="H446" s="42">
        <f>F446*(($H$223)+1)+(IF(G446&lt;101,G446,IF(G446&lt;201,G446/2,IF(G446&lt;=301,G446/3,G446/4))))</f>
        <v>916.48732499999994</v>
      </c>
      <c r="I446" s="61"/>
      <c r="L446" s="177"/>
      <c r="M446" s="177"/>
      <c r="N446" s="36"/>
    </row>
    <row r="447" spans="1:20" s="37" customFormat="1" ht="15.75" customHeight="1" x14ac:dyDescent="0.25">
      <c r="A447" s="42">
        <f t="shared" ref="A447:A453" si="65">A446+1</f>
        <v>2</v>
      </c>
      <c r="B447" s="42" t="s">
        <v>183</v>
      </c>
      <c r="C447" s="42" t="s">
        <v>202</v>
      </c>
      <c r="D447" s="52">
        <f>(5.25*2.9+2.5*2.15+3.4*2.9+1.35*2.35+1.4*2.4+1*1.65)*10.764</f>
        <v>415.94786999999997</v>
      </c>
      <c r="E447" s="42">
        <v>0</v>
      </c>
      <c r="F447" s="42">
        <f t="shared" si="64"/>
        <v>415.94786999999997</v>
      </c>
      <c r="G447" s="42">
        <v>0</v>
      </c>
      <c r="H447" s="42">
        <f t="shared" ref="H447:H453" si="66">F447*(($H$223)+1)+(IF(G447&lt;101,G447,IF(G447&lt;201,G447/2,IF(G447&lt;=301,G447/3,G447/4))))</f>
        <v>623.92180499999995</v>
      </c>
      <c r="I447" s="36"/>
      <c r="L447" s="177"/>
      <c r="M447" s="177"/>
      <c r="N447" s="36"/>
    </row>
    <row r="448" spans="1:20" s="37" customFormat="1" ht="15.75" customHeight="1" x14ac:dyDescent="0.25">
      <c r="A448" s="42">
        <f t="shared" si="65"/>
        <v>3</v>
      </c>
      <c r="B448" s="42" t="s">
        <v>183</v>
      </c>
      <c r="C448" s="42" t="s">
        <v>202</v>
      </c>
      <c r="D448" s="52">
        <f>(5.25*2.9+2.5*2.15+3.4*2.9+1.35*2.35+1.4*2.4+1*1.65)*10.764</f>
        <v>415.94786999999997</v>
      </c>
      <c r="E448" s="42">
        <v>0</v>
      </c>
      <c r="F448" s="42">
        <f t="shared" si="64"/>
        <v>415.94786999999997</v>
      </c>
      <c r="G448" s="42">
        <v>0</v>
      </c>
      <c r="H448" s="42">
        <f t="shared" si="66"/>
        <v>623.92180499999995</v>
      </c>
      <c r="I448" s="36"/>
      <c r="L448" s="177"/>
      <c r="M448" s="177"/>
      <c r="N448" s="36"/>
    </row>
    <row r="449" spans="1:20" s="37" customFormat="1" ht="15.75" customHeight="1" x14ac:dyDescent="0.25">
      <c r="A449" s="42">
        <f t="shared" si="65"/>
        <v>4</v>
      </c>
      <c r="B449" s="42" t="s">
        <v>183</v>
      </c>
      <c r="C449" s="42" t="s">
        <v>187</v>
      </c>
      <c r="D449" s="52">
        <f t="shared" ref="D449:D450" si="67">(5.05*2.85+2.25*2.9+3.4*2.9+3.1*3.95+2.35*1.35+2.35*1.35+3.25*1.3+1*2+0.9*1.3)*10.764</f>
        <v>610.99154999999996</v>
      </c>
      <c r="E449" s="42">
        <v>0</v>
      </c>
      <c r="F449" s="42">
        <f t="shared" si="64"/>
        <v>610.99154999999996</v>
      </c>
      <c r="G449" s="42">
        <v>0</v>
      </c>
      <c r="H449" s="42">
        <f t="shared" si="66"/>
        <v>916.48732499999994</v>
      </c>
      <c r="I449" s="36"/>
      <c r="L449" s="177"/>
      <c r="M449" s="177"/>
      <c r="N449" s="36"/>
      <c r="T449" s="21"/>
    </row>
    <row r="450" spans="1:20" s="37" customFormat="1" ht="15.75" customHeight="1" x14ac:dyDescent="0.25">
      <c r="A450" s="42">
        <f t="shared" si="65"/>
        <v>5</v>
      </c>
      <c r="B450" s="42" t="s">
        <v>183</v>
      </c>
      <c r="C450" s="42" t="s">
        <v>187</v>
      </c>
      <c r="D450" s="52">
        <f t="shared" si="67"/>
        <v>610.99154999999996</v>
      </c>
      <c r="E450" s="42">
        <v>0</v>
      </c>
      <c r="F450" s="42">
        <f t="shared" si="64"/>
        <v>610.99154999999996</v>
      </c>
      <c r="G450" s="42">
        <v>0</v>
      </c>
      <c r="H450" s="42">
        <f t="shared" si="66"/>
        <v>916.48732499999994</v>
      </c>
      <c r="I450" s="36"/>
      <c r="L450" s="177"/>
      <c r="M450" s="177"/>
      <c r="N450" s="36"/>
      <c r="T450" s="21"/>
    </row>
    <row r="451" spans="1:20" s="37" customFormat="1" ht="15.75" customHeight="1" x14ac:dyDescent="0.25">
      <c r="A451" s="42">
        <f t="shared" si="65"/>
        <v>6</v>
      </c>
      <c r="B451" s="42" t="s">
        <v>183</v>
      </c>
      <c r="C451" s="42" t="s">
        <v>202</v>
      </c>
      <c r="D451" s="52">
        <f>(5.25*2.9+2.5*2.15+3.4*2.9+1.35*2.35+1.4*2.4+1*1.65)*10.764</f>
        <v>415.94786999999997</v>
      </c>
      <c r="E451" s="42">
        <v>0</v>
      </c>
      <c r="F451" s="42">
        <f t="shared" si="64"/>
        <v>415.94786999999997</v>
      </c>
      <c r="G451" s="42">
        <v>0</v>
      </c>
      <c r="H451" s="42">
        <f t="shared" si="66"/>
        <v>623.92180499999995</v>
      </c>
      <c r="I451" s="36"/>
      <c r="L451" s="177"/>
      <c r="M451" s="177"/>
      <c r="N451" s="36"/>
    </row>
    <row r="452" spans="1:20" s="37" customFormat="1" ht="15.75" customHeight="1" x14ac:dyDescent="0.25">
      <c r="A452" s="42">
        <f t="shared" si="65"/>
        <v>7</v>
      </c>
      <c r="B452" s="42" t="s">
        <v>183</v>
      </c>
      <c r="C452" s="42" t="s">
        <v>202</v>
      </c>
      <c r="D452" s="52">
        <f>(5.25*2.9+2.5*2.15+3.4*2.9+1.35*2.35+1.4*2.4+1*1.65)*10.764</f>
        <v>415.94786999999997</v>
      </c>
      <c r="E452" s="42">
        <v>0</v>
      </c>
      <c r="F452" s="42">
        <f t="shared" si="64"/>
        <v>415.94786999999997</v>
      </c>
      <c r="G452" s="42">
        <v>0</v>
      </c>
      <c r="H452" s="42">
        <f t="shared" si="66"/>
        <v>623.92180499999995</v>
      </c>
      <c r="I452" s="36"/>
      <c r="L452" s="177"/>
      <c r="M452" s="177"/>
      <c r="N452" s="36"/>
      <c r="T452" s="21"/>
    </row>
    <row r="453" spans="1:20" s="37" customFormat="1" ht="15.75" customHeight="1" x14ac:dyDescent="0.25">
      <c r="A453" s="42">
        <f t="shared" si="65"/>
        <v>8</v>
      </c>
      <c r="B453" s="42" t="s">
        <v>183</v>
      </c>
      <c r="C453" s="42" t="s">
        <v>187</v>
      </c>
      <c r="D453" s="52">
        <f>(5.05*2.85+2.25*2.9+3.4*2.9+3.1*3.95+2.35*1.35+2.35*1.35+3.25*1.3+1*2+0.9*1.3)*10.764</f>
        <v>610.99154999999996</v>
      </c>
      <c r="E453" s="42">
        <v>0</v>
      </c>
      <c r="F453" s="42">
        <f t="shared" si="64"/>
        <v>610.99154999999996</v>
      </c>
      <c r="G453" s="42">
        <v>0</v>
      </c>
      <c r="H453" s="42">
        <f t="shared" si="66"/>
        <v>916.48732499999994</v>
      </c>
      <c r="I453" s="36"/>
      <c r="L453" s="177"/>
      <c r="M453" s="177"/>
      <c r="N453" s="36"/>
      <c r="T453" s="21"/>
    </row>
    <row r="454" spans="1:20" s="37" customFormat="1" x14ac:dyDescent="0.25">
      <c r="A454" s="97" t="s">
        <v>272</v>
      </c>
      <c r="B454" s="98"/>
      <c r="C454" s="98"/>
      <c r="D454" s="98"/>
      <c r="E454" s="98"/>
      <c r="F454" s="98"/>
      <c r="G454" s="98"/>
      <c r="H454" s="99"/>
      <c r="J454" s="36"/>
    </row>
    <row r="455" spans="1:20" s="37" customFormat="1" ht="15.75" customHeight="1" x14ac:dyDescent="0.25">
      <c r="A455" s="42">
        <v>1</v>
      </c>
      <c r="B455" s="58" t="s">
        <v>212</v>
      </c>
      <c r="C455" s="42" t="s">
        <v>187</v>
      </c>
      <c r="D455" s="52">
        <f>(5.05*2.85+2.25*2.9+3.4*2.9+3.1*3.95+2.35*1.35+2.35*1.35+3.25*1.3+1*2+0.9*1.3)*10.764</f>
        <v>610.99154999999996</v>
      </c>
      <c r="E455" s="42">
        <v>0</v>
      </c>
      <c r="F455" s="42">
        <f t="shared" ref="F455:F462" si="68">D455+E455</f>
        <v>610.99154999999996</v>
      </c>
      <c r="G455" s="42">
        <v>0</v>
      </c>
      <c r="H455" s="42">
        <f>F455*(($H$223)+1)+(IF(G455&lt;101,G455,IF(G455&lt;201,G455/2,IF(G455&lt;=301,G455/3,G455/4))))</f>
        <v>916.48732499999994</v>
      </c>
      <c r="I455" s="61"/>
      <c r="L455" s="177"/>
      <c r="M455" s="177"/>
      <c r="N455" s="36"/>
    </row>
    <row r="456" spans="1:20" s="37" customFormat="1" ht="15.75" customHeight="1" x14ac:dyDescent="0.25">
      <c r="A456" s="42">
        <f t="shared" ref="A456:A462" si="69">A455+1</f>
        <v>2</v>
      </c>
      <c r="B456" s="58" t="s">
        <v>212</v>
      </c>
      <c r="C456" s="42" t="s">
        <v>202</v>
      </c>
      <c r="D456" s="52">
        <f>(5.25*2.9+2.5*2.15+3.4*2.9+1.35*2.35+1.4*2.4+1*1.65)*10.764</f>
        <v>415.94786999999997</v>
      </c>
      <c r="E456" s="42">
        <v>0</v>
      </c>
      <c r="F456" s="42">
        <f t="shared" si="68"/>
        <v>415.94786999999997</v>
      </c>
      <c r="G456" s="42">
        <v>0</v>
      </c>
      <c r="H456" s="42">
        <f t="shared" ref="H456:H462" si="70">F456*(($H$223)+1)+(IF(G456&lt;101,G456,IF(G456&lt;201,G456/2,IF(G456&lt;=301,G456/3,G456/4))))</f>
        <v>623.92180499999995</v>
      </c>
      <c r="I456" s="36"/>
      <c r="L456" s="177"/>
      <c r="M456" s="177"/>
      <c r="N456" s="36"/>
    </row>
    <row r="457" spans="1:20" s="37" customFormat="1" ht="15.75" customHeight="1" x14ac:dyDescent="0.25">
      <c r="A457" s="42">
        <f t="shared" si="69"/>
        <v>3</v>
      </c>
      <c r="B457" s="58" t="s">
        <v>212</v>
      </c>
      <c r="C457" s="42" t="s">
        <v>202</v>
      </c>
      <c r="D457" s="52">
        <f>(5.25*2.9+2.5*2.15+3.4*2.9+1.35*2.35+1.4*2.4+1*1.65)*10.764</f>
        <v>415.94786999999997</v>
      </c>
      <c r="E457" s="42">
        <v>0</v>
      </c>
      <c r="F457" s="42">
        <f t="shared" si="68"/>
        <v>415.94786999999997</v>
      </c>
      <c r="G457" s="42">
        <v>0</v>
      </c>
      <c r="H457" s="42">
        <f t="shared" si="70"/>
        <v>623.92180499999995</v>
      </c>
      <c r="I457" s="36"/>
      <c r="L457" s="177"/>
      <c r="M457" s="177"/>
      <c r="N457" s="36"/>
    </row>
    <row r="458" spans="1:20" s="37" customFormat="1" ht="15.75" customHeight="1" x14ac:dyDescent="0.25">
      <c r="A458" s="42">
        <f t="shared" si="69"/>
        <v>4</v>
      </c>
      <c r="B458" s="58" t="s">
        <v>212</v>
      </c>
      <c r="C458" s="42" t="s">
        <v>187</v>
      </c>
      <c r="D458" s="52">
        <f t="shared" ref="D458:D459" si="71">(5.05*2.85+2.25*2.9+3.4*2.9+3.1*3.95+2.35*1.35+2.35*1.35+3.25*1.3+1*2+0.9*1.3)*10.764</f>
        <v>610.99154999999996</v>
      </c>
      <c r="E458" s="42">
        <v>0</v>
      </c>
      <c r="F458" s="42">
        <f t="shared" si="68"/>
        <v>610.99154999999996</v>
      </c>
      <c r="G458" s="42">
        <v>0</v>
      </c>
      <c r="H458" s="42">
        <f t="shared" si="70"/>
        <v>916.48732499999994</v>
      </c>
      <c r="I458" s="36"/>
      <c r="L458" s="177"/>
      <c r="M458" s="177"/>
      <c r="N458" s="36"/>
      <c r="T458" s="21"/>
    </row>
    <row r="459" spans="1:20" s="37" customFormat="1" ht="15.75" customHeight="1" x14ac:dyDescent="0.25">
      <c r="A459" s="42">
        <f t="shared" si="69"/>
        <v>5</v>
      </c>
      <c r="B459" s="58" t="s">
        <v>212</v>
      </c>
      <c r="C459" s="42" t="s">
        <v>187</v>
      </c>
      <c r="D459" s="52">
        <f t="shared" si="71"/>
        <v>610.99154999999996</v>
      </c>
      <c r="E459" s="42">
        <v>0</v>
      </c>
      <c r="F459" s="42">
        <f t="shared" si="68"/>
        <v>610.99154999999996</v>
      </c>
      <c r="G459" s="42">
        <v>0</v>
      </c>
      <c r="H459" s="42">
        <f t="shared" si="70"/>
        <v>916.48732499999994</v>
      </c>
      <c r="I459" s="36"/>
      <c r="L459" s="177"/>
      <c r="M459" s="177"/>
      <c r="N459" s="36"/>
      <c r="T459" s="21"/>
    </row>
    <row r="460" spans="1:20" s="37" customFormat="1" ht="15.75" customHeight="1" x14ac:dyDescent="0.25">
      <c r="A460" s="42">
        <f t="shared" si="69"/>
        <v>6</v>
      </c>
      <c r="B460" s="58" t="s">
        <v>212</v>
      </c>
      <c r="C460" s="42" t="s">
        <v>202</v>
      </c>
      <c r="D460" s="52">
        <f>(5.25*2.9+2.5*2.15+3.4*2.9+1.35*2.35+1.4*2.4+1*1.65)*10.764</f>
        <v>415.94786999999997</v>
      </c>
      <c r="E460" s="42">
        <v>0</v>
      </c>
      <c r="F460" s="42">
        <f t="shared" si="68"/>
        <v>415.94786999999997</v>
      </c>
      <c r="G460" s="42">
        <v>0</v>
      </c>
      <c r="H460" s="42">
        <f t="shared" si="70"/>
        <v>623.92180499999995</v>
      </c>
      <c r="I460" s="36"/>
      <c r="L460" s="177"/>
      <c r="M460" s="177"/>
      <c r="N460" s="36"/>
    </row>
    <row r="461" spans="1:20" s="37" customFormat="1" ht="15.75" customHeight="1" x14ac:dyDescent="0.25">
      <c r="A461" s="42">
        <f t="shared" si="69"/>
        <v>7</v>
      </c>
      <c r="B461" s="58" t="s">
        <v>212</v>
      </c>
      <c r="C461" s="42" t="s">
        <v>202</v>
      </c>
      <c r="D461" s="52">
        <f>(5.25*2.9+2.5*2.15+3.4*2.9+1.35*2.35+1.4*2.4+1*1.65)*10.764</f>
        <v>415.94786999999997</v>
      </c>
      <c r="E461" s="42">
        <v>0</v>
      </c>
      <c r="F461" s="42">
        <f t="shared" si="68"/>
        <v>415.94786999999997</v>
      </c>
      <c r="G461" s="42">
        <v>0</v>
      </c>
      <c r="H461" s="42">
        <f t="shared" si="70"/>
        <v>623.92180499999995</v>
      </c>
      <c r="I461" s="36"/>
      <c r="L461" s="177"/>
      <c r="M461" s="177"/>
      <c r="N461" s="36"/>
      <c r="T461" s="21"/>
    </row>
    <row r="462" spans="1:20" s="37" customFormat="1" ht="15.75" customHeight="1" x14ac:dyDescent="0.25">
      <c r="A462" s="42">
        <f t="shared" si="69"/>
        <v>8</v>
      </c>
      <c r="B462" s="58" t="s">
        <v>212</v>
      </c>
      <c r="C462" s="42" t="s">
        <v>187</v>
      </c>
      <c r="D462" s="52">
        <f>(5.05*2.85+2.25*2.9+3.4*2.9+3.1*3.95+2.35*1.35+2.35*1.35+3.25*1.3+1*2+0.9*1.3)*10.764</f>
        <v>610.99154999999996</v>
      </c>
      <c r="E462" s="42">
        <v>0</v>
      </c>
      <c r="F462" s="42">
        <f t="shared" si="68"/>
        <v>610.99154999999996</v>
      </c>
      <c r="G462" s="42">
        <v>0</v>
      </c>
      <c r="H462" s="42">
        <f t="shared" si="70"/>
        <v>916.48732499999994</v>
      </c>
      <c r="I462" s="36"/>
      <c r="L462" s="177"/>
      <c r="M462" s="177"/>
      <c r="N462" s="36"/>
      <c r="T462" s="21"/>
    </row>
    <row r="463" spans="1:20" s="37" customFormat="1" x14ac:dyDescent="0.25">
      <c r="A463" s="97" t="s">
        <v>273</v>
      </c>
      <c r="B463" s="98"/>
      <c r="C463" s="98"/>
      <c r="D463" s="98"/>
      <c r="E463" s="98"/>
      <c r="F463" s="98"/>
      <c r="G463" s="98"/>
      <c r="H463" s="99"/>
      <c r="J463" s="36"/>
    </row>
    <row r="464" spans="1:20" s="37" customFormat="1" ht="15.75" customHeight="1" x14ac:dyDescent="0.25">
      <c r="A464" s="42">
        <v>1</v>
      </c>
      <c r="B464" s="58" t="s">
        <v>212</v>
      </c>
      <c r="C464" s="42" t="s">
        <v>187</v>
      </c>
      <c r="D464" s="52">
        <f>(5.05*2.85+2.25*2.9+3.4*2.9+3.1*3.95+2.35*1.35+2.35*1.35+3.25*1.3+1*2+0.9*1.3)*10.764</f>
        <v>610.99154999999996</v>
      </c>
      <c r="E464" s="42">
        <v>0</v>
      </c>
      <c r="F464" s="42">
        <f t="shared" ref="F464:F469" si="72">D464+E464</f>
        <v>610.99154999999996</v>
      </c>
      <c r="G464" s="42">
        <v>0</v>
      </c>
      <c r="H464" s="42">
        <f t="shared" ref="H464:H469" si="73">F464*(($H$223)+1)+(IF(G464&lt;101,G464,IF(G464&lt;201,G464/2,IF(G464&lt;=301,G464/3,G464/4))))</f>
        <v>916.48732499999994</v>
      </c>
      <c r="I464" s="61"/>
      <c r="L464" s="177"/>
      <c r="M464" s="177"/>
      <c r="N464" s="36"/>
    </row>
    <row r="465" spans="1:20" s="37" customFormat="1" ht="15.75" customHeight="1" x14ac:dyDescent="0.25">
      <c r="A465" s="42">
        <f t="shared" ref="A465:A471" si="74">A464+1</f>
        <v>2</v>
      </c>
      <c r="B465" s="58" t="s">
        <v>212</v>
      </c>
      <c r="C465" s="42" t="s">
        <v>202</v>
      </c>
      <c r="D465" s="52">
        <f>(5.25*2.9+2.5*2.15+3.4*2.9+1.35*2.35+1.4*2.4+1*1.65)*10.764</f>
        <v>415.94786999999997</v>
      </c>
      <c r="E465" s="42">
        <v>0</v>
      </c>
      <c r="F465" s="42">
        <f t="shared" si="72"/>
        <v>415.94786999999997</v>
      </c>
      <c r="G465" s="42">
        <v>0</v>
      </c>
      <c r="H465" s="42">
        <f t="shared" si="73"/>
        <v>623.92180499999995</v>
      </c>
      <c r="I465" s="36"/>
      <c r="L465" s="177"/>
      <c r="M465" s="177"/>
      <c r="N465" s="36"/>
    </row>
    <row r="466" spans="1:20" s="37" customFormat="1" ht="15.75" customHeight="1" x14ac:dyDescent="0.25">
      <c r="A466" s="42">
        <f t="shared" si="74"/>
        <v>3</v>
      </c>
      <c r="B466" s="58" t="s">
        <v>212</v>
      </c>
      <c r="C466" s="42" t="s">
        <v>202</v>
      </c>
      <c r="D466" s="52">
        <f>(5.25*2.9+2.5*2.15+3.4*2.9+1.35*2.35+1.4*2.4+1*1.65)*10.764</f>
        <v>415.94786999999997</v>
      </c>
      <c r="E466" s="42">
        <v>0</v>
      </c>
      <c r="F466" s="42">
        <f t="shared" si="72"/>
        <v>415.94786999999997</v>
      </c>
      <c r="G466" s="42">
        <v>0</v>
      </c>
      <c r="H466" s="42">
        <f t="shared" si="73"/>
        <v>623.92180499999995</v>
      </c>
      <c r="I466" s="36"/>
      <c r="L466" s="177"/>
      <c r="M466" s="177"/>
      <c r="N466" s="36"/>
    </row>
    <row r="467" spans="1:20" s="37" customFormat="1" ht="15.75" customHeight="1" x14ac:dyDescent="0.25">
      <c r="A467" s="42">
        <f t="shared" si="74"/>
        <v>4</v>
      </c>
      <c r="B467" s="58" t="s">
        <v>212</v>
      </c>
      <c r="C467" s="42" t="s">
        <v>187</v>
      </c>
      <c r="D467" s="52">
        <f>(5.05*2.85+2.25*2.9+3.4*2.9+3.1*3.95+2.35*1.35+2.35*1.35+3.25*1.3+1*2+0.9*1.3)*10.764</f>
        <v>610.99154999999996</v>
      </c>
      <c r="E467" s="42">
        <v>0</v>
      </c>
      <c r="F467" s="42">
        <f t="shared" si="72"/>
        <v>610.99154999999996</v>
      </c>
      <c r="G467" s="42">
        <v>0</v>
      </c>
      <c r="H467" s="42">
        <f t="shared" si="73"/>
        <v>916.48732499999994</v>
      </c>
      <c r="I467" s="36"/>
      <c r="L467" s="177"/>
      <c r="M467" s="177"/>
      <c r="N467" s="36"/>
      <c r="T467" s="21"/>
    </row>
    <row r="468" spans="1:20" s="37" customFormat="1" ht="15.75" customHeight="1" x14ac:dyDescent="0.25">
      <c r="A468" s="42">
        <f t="shared" si="74"/>
        <v>5</v>
      </c>
      <c r="B468" s="58" t="s">
        <v>212</v>
      </c>
      <c r="C468" s="42" t="s">
        <v>187</v>
      </c>
      <c r="D468" s="52">
        <f>(5.05*2.85+2.25*2.9+3.4*2.9+3.1*3.95+2.35*1.35+2.35*1.35+3.25*1.3+1*2+0.9*1.3)*10.764</f>
        <v>610.99154999999996</v>
      </c>
      <c r="E468" s="42">
        <v>0</v>
      </c>
      <c r="F468" s="42">
        <f t="shared" si="72"/>
        <v>610.99154999999996</v>
      </c>
      <c r="G468" s="42">
        <v>0</v>
      </c>
      <c r="H468" s="42">
        <f t="shared" si="73"/>
        <v>916.48732499999994</v>
      </c>
      <c r="I468" s="36"/>
      <c r="L468" s="177"/>
      <c r="M468" s="177"/>
      <c r="N468" s="36"/>
      <c r="T468" s="21"/>
    </row>
    <row r="469" spans="1:20" s="37" customFormat="1" ht="15.75" customHeight="1" x14ac:dyDescent="0.25">
      <c r="A469" s="42">
        <f t="shared" si="74"/>
        <v>6</v>
      </c>
      <c r="B469" s="58" t="s">
        <v>212</v>
      </c>
      <c r="C469" s="42" t="s">
        <v>202</v>
      </c>
      <c r="D469" s="52">
        <f>(5.25*2.9+2.5*2.15+3.4*2.9+1.35*2.35+1.4*2.4+1*1.65)*10.764</f>
        <v>415.94786999999997</v>
      </c>
      <c r="E469" s="42">
        <v>0</v>
      </c>
      <c r="F469" s="42">
        <f t="shared" si="72"/>
        <v>415.94786999999997</v>
      </c>
      <c r="G469" s="42">
        <v>0</v>
      </c>
      <c r="H469" s="42">
        <f t="shared" si="73"/>
        <v>623.92180499999995</v>
      </c>
      <c r="I469" s="36"/>
      <c r="L469" s="177"/>
      <c r="M469" s="177"/>
      <c r="N469" s="36"/>
    </row>
    <row r="470" spans="1:20" s="37" customFormat="1" ht="15.75" customHeight="1" x14ac:dyDescent="0.25">
      <c r="A470" s="42">
        <f t="shared" si="74"/>
        <v>7</v>
      </c>
      <c r="B470" s="58" t="s">
        <v>190</v>
      </c>
      <c r="C470" s="141" t="s">
        <v>191</v>
      </c>
      <c r="D470" s="211"/>
      <c r="E470" s="211"/>
      <c r="F470" s="211"/>
      <c r="G470" s="211"/>
      <c r="H470" s="142"/>
      <c r="I470" s="36"/>
      <c r="L470" s="177"/>
      <c r="M470" s="177"/>
      <c r="N470" s="36"/>
      <c r="T470" s="21"/>
    </row>
    <row r="471" spans="1:20" s="37" customFormat="1" ht="15.75" customHeight="1" x14ac:dyDescent="0.25">
      <c r="A471" s="42">
        <f t="shared" si="74"/>
        <v>8</v>
      </c>
      <c r="B471" s="58" t="s">
        <v>190</v>
      </c>
      <c r="C471" s="145"/>
      <c r="D471" s="212"/>
      <c r="E471" s="212"/>
      <c r="F471" s="212"/>
      <c r="G471" s="212"/>
      <c r="H471" s="146"/>
      <c r="I471" s="36"/>
      <c r="L471" s="177"/>
      <c r="M471" s="177"/>
      <c r="N471" s="36"/>
      <c r="T471" s="21"/>
    </row>
    <row r="472" spans="1:20" s="37" customFormat="1" x14ac:dyDescent="0.25">
      <c r="A472" s="97" t="s">
        <v>274</v>
      </c>
      <c r="B472" s="98"/>
      <c r="C472" s="98"/>
      <c r="D472" s="98"/>
      <c r="E472" s="98"/>
      <c r="F472" s="98"/>
      <c r="G472" s="98"/>
      <c r="H472" s="99"/>
      <c r="J472" s="36"/>
    </row>
    <row r="473" spans="1:20" s="37" customFormat="1" ht="15.75" customHeight="1" x14ac:dyDescent="0.25">
      <c r="A473" s="42">
        <v>1</v>
      </c>
      <c r="B473" s="58" t="s">
        <v>212</v>
      </c>
      <c r="C473" s="42" t="s">
        <v>187</v>
      </c>
      <c r="D473" s="52">
        <f>(5.05*2.85+2.25*2.9+3.4*2.9+3.1*3.95+2.35*1.35+2.35*1.35+3.25*1.3+1*2+0.9*1.3)*10.764</f>
        <v>610.99154999999996</v>
      </c>
      <c r="E473" s="42">
        <v>0</v>
      </c>
      <c r="F473" s="42">
        <f t="shared" ref="F473:F480" si="75">D473+E473</f>
        <v>610.99154999999996</v>
      </c>
      <c r="G473" s="42">
        <v>0</v>
      </c>
      <c r="H473" s="42">
        <f>F473*(($H$223)+1)+(IF(G473&lt;101,G473,IF(G473&lt;201,G473/2,IF(G473&lt;=301,G473/3,G473/4))))</f>
        <v>916.48732499999994</v>
      </c>
      <c r="I473" s="61"/>
      <c r="L473" s="177"/>
      <c r="M473" s="177"/>
      <c r="N473" s="36"/>
    </row>
    <row r="474" spans="1:20" s="37" customFormat="1" ht="15.75" customHeight="1" x14ac:dyDescent="0.25">
      <c r="A474" s="42">
        <f t="shared" ref="A474:A480" si="76">A473+1</f>
        <v>2</v>
      </c>
      <c r="B474" s="58" t="s">
        <v>212</v>
      </c>
      <c r="C474" s="42" t="s">
        <v>202</v>
      </c>
      <c r="D474" s="52">
        <f>(5.25*2.9+2.5*2.15+3.4*2.9+1.35*2.35+1.4*2.4+1*1.65)*10.764</f>
        <v>415.94786999999997</v>
      </c>
      <c r="E474" s="42">
        <v>0</v>
      </c>
      <c r="F474" s="42">
        <f t="shared" si="75"/>
        <v>415.94786999999997</v>
      </c>
      <c r="G474" s="42">
        <v>0</v>
      </c>
      <c r="H474" s="42">
        <f t="shared" ref="H474:H480" si="77">F474*(($H$223)+1)+(IF(G474&lt;101,G474,IF(G474&lt;201,G474/2,IF(G474&lt;=301,G474/3,G474/4))))</f>
        <v>623.92180499999995</v>
      </c>
      <c r="I474" s="36"/>
      <c r="L474" s="177"/>
      <c r="M474" s="177"/>
      <c r="N474" s="36"/>
    </row>
    <row r="475" spans="1:20" s="37" customFormat="1" ht="15.75" customHeight="1" x14ac:dyDescent="0.25">
      <c r="A475" s="42">
        <f t="shared" si="76"/>
        <v>3</v>
      </c>
      <c r="B475" s="58" t="s">
        <v>212</v>
      </c>
      <c r="C475" s="42" t="s">
        <v>202</v>
      </c>
      <c r="D475" s="52">
        <f>(5.25*2.9+2.5*2.15+3.4*2.9+1.35*2.35+1.4*2.4+1*1.65)*10.764</f>
        <v>415.94786999999997</v>
      </c>
      <c r="E475" s="42">
        <v>0</v>
      </c>
      <c r="F475" s="42">
        <f t="shared" si="75"/>
        <v>415.94786999999997</v>
      </c>
      <c r="G475" s="42">
        <v>0</v>
      </c>
      <c r="H475" s="42">
        <f t="shared" si="77"/>
        <v>623.92180499999995</v>
      </c>
      <c r="I475" s="36"/>
      <c r="L475" s="177"/>
      <c r="M475" s="177"/>
      <c r="N475" s="36"/>
    </row>
    <row r="476" spans="1:20" s="37" customFormat="1" ht="15.75" customHeight="1" x14ac:dyDescent="0.25">
      <c r="A476" s="42">
        <f t="shared" si="76"/>
        <v>4</v>
      </c>
      <c r="B476" s="58" t="s">
        <v>212</v>
      </c>
      <c r="C476" s="42" t="s">
        <v>187</v>
      </c>
      <c r="D476" s="52">
        <f t="shared" ref="D476:D477" si="78">(5.05*2.85+2.25*2.9+3.4*2.9+3.1*3.95+2.35*1.35+2.35*1.35+3.25*1.3+1*2+0.9*1.3)*10.764</f>
        <v>610.99154999999996</v>
      </c>
      <c r="E476" s="42">
        <v>0</v>
      </c>
      <c r="F476" s="42">
        <f t="shared" si="75"/>
        <v>610.99154999999996</v>
      </c>
      <c r="G476" s="42">
        <v>0</v>
      </c>
      <c r="H476" s="42">
        <f t="shared" si="77"/>
        <v>916.48732499999994</v>
      </c>
      <c r="I476" s="36"/>
      <c r="L476" s="177"/>
      <c r="M476" s="177"/>
      <c r="N476" s="36"/>
      <c r="T476" s="21"/>
    </row>
    <row r="477" spans="1:20" s="37" customFormat="1" ht="15.75" customHeight="1" x14ac:dyDescent="0.25">
      <c r="A477" s="42">
        <f t="shared" si="76"/>
        <v>5</v>
      </c>
      <c r="B477" s="58" t="s">
        <v>212</v>
      </c>
      <c r="C477" s="42" t="s">
        <v>187</v>
      </c>
      <c r="D477" s="52">
        <f t="shared" si="78"/>
        <v>610.99154999999996</v>
      </c>
      <c r="E477" s="42">
        <v>0</v>
      </c>
      <c r="F477" s="42">
        <f t="shared" si="75"/>
        <v>610.99154999999996</v>
      </c>
      <c r="G477" s="42">
        <v>0</v>
      </c>
      <c r="H477" s="42">
        <f t="shared" si="77"/>
        <v>916.48732499999994</v>
      </c>
      <c r="I477" s="36"/>
      <c r="L477" s="177"/>
      <c r="M477" s="177"/>
      <c r="N477" s="36"/>
      <c r="T477" s="21"/>
    </row>
    <row r="478" spans="1:20" s="37" customFormat="1" ht="15.75" customHeight="1" x14ac:dyDescent="0.25">
      <c r="A478" s="42">
        <f t="shared" si="76"/>
        <v>6</v>
      </c>
      <c r="B478" s="58" t="s">
        <v>212</v>
      </c>
      <c r="C478" s="42" t="s">
        <v>202</v>
      </c>
      <c r="D478" s="52">
        <f>(5.25*2.9+2.5*2.15+3.4*2.9+1.35*2.35+1.4*2.4+1*1.65)*10.764</f>
        <v>415.94786999999997</v>
      </c>
      <c r="E478" s="42">
        <v>0</v>
      </c>
      <c r="F478" s="42">
        <f t="shared" si="75"/>
        <v>415.94786999999997</v>
      </c>
      <c r="G478" s="42">
        <v>0</v>
      </c>
      <c r="H478" s="42">
        <f t="shared" si="77"/>
        <v>623.92180499999995</v>
      </c>
      <c r="I478" s="36"/>
      <c r="L478" s="177"/>
      <c r="M478" s="177"/>
      <c r="N478" s="36"/>
    </row>
    <row r="479" spans="1:20" s="37" customFormat="1" ht="15.75" customHeight="1" x14ac:dyDescent="0.25">
      <c r="A479" s="42">
        <f t="shared" si="76"/>
        <v>7</v>
      </c>
      <c r="B479" s="58" t="s">
        <v>212</v>
      </c>
      <c r="C479" s="42" t="s">
        <v>202</v>
      </c>
      <c r="D479" s="52">
        <f>(5.25*2.9+2.5*2.15+3.4*2.9+1.35*2.35+1.4*2.4+1*1.65)*10.764</f>
        <v>415.94786999999997</v>
      </c>
      <c r="E479" s="42">
        <v>0</v>
      </c>
      <c r="F479" s="42">
        <f t="shared" si="75"/>
        <v>415.94786999999997</v>
      </c>
      <c r="G479" s="42">
        <v>0</v>
      </c>
      <c r="H479" s="42">
        <f t="shared" si="77"/>
        <v>623.92180499999995</v>
      </c>
      <c r="I479" s="36"/>
      <c r="L479" s="177"/>
      <c r="M479" s="177"/>
      <c r="N479" s="36"/>
      <c r="T479" s="21"/>
    </row>
    <row r="480" spans="1:20" s="37" customFormat="1" ht="15.75" customHeight="1" x14ac:dyDescent="0.25">
      <c r="A480" s="42">
        <f t="shared" si="76"/>
        <v>8</v>
      </c>
      <c r="B480" s="58" t="s">
        <v>212</v>
      </c>
      <c r="C480" s="42" t="s">
        <v>187</v>
      </c>
      <c r="D480" s="52">
        <f>(5.05*2.85+2.25*2.9+3.4*2.9+3.1*3.95+2.35*1.35+2.35*1.35+3.25*1.3+1*2+0.9*1.3)*10.764</f>
        <v>610.99154999999996</v>
      </c>
      <c r="E480" s="42">
        <v>0</v>
      </c>
      <c r="F480" s="42">
        <f t="shared" si="75"/>
        <v>610.99154999999996</v>
      </c>
      <c r="G480" s="42">
        <v>0</v>
      </c>
      <c r="H480" s="42">
        <f t="shared" si="77"/>
        <v>916.48732499999994</v>
      </c>
      <c r="I480" s="36"/>
      <c r="L480" s="177"/>
      <c r="M480" s="177"/>
      <c r="N480" s="36"/>
      <c r="T480" s="21"/>
    </row>
    <row r="481" spans="1:20" s="37" customFormat="1" x14ac:dyDescent="0.25">
      <c r="A481" s="97" t="s">
        <v>275</v>
      </c>
      <c r="B481" s="98"/>
      <c r="C481" s="98"/>
      <c r="D481" s="98"/>
      <c r="E481" s="98"/>
      <c r="F481" s="98"/>
      <c r="G481" s="98"/>
      <c r="H481" s="99"/>
      <c r="J481" s="36"/>
    </row>
    <row r="482" spans="1:20" s="37" customFormat="1" ht="15.75" customHeight="1" x14ac:dyDescent="0.25">
      <c r="A482" s="42">
        <v>1</v>
      </c>
      <c r="B482" s="58" t="s">
        <v>212</v>
      </c>
      <c r="C482" s="42" t="s">
        <v>187</v>
      </c>
      <c r="D482" s="52">
        <f>(5.05*2.85+2.25*2.9+3.4*2.9+3.1*3.95+2.35*1.35+2.35*1.35+3.25*1.3+1*2+0.9*1.3)*10.764</f>
        <v>610.99154999999996</v>
      </c>
      <c r="E482" s="42">
        <v>0</v>
      </c>
      <c r="F482" s="42">
        <f t="shared" ref="F482:F487" si="79">D482+E482</f>
        <v>610.99154999999996</v>
      </c>
      <c r="G482" s="42">
        <v>0</v>
      </c>
      <c r="H482" s="42">
        <f>F482*(($H$223)+1)+(IF(G482&lt;101,G482,IF(G482&lt;201,G482/2,IF(G482&lt;=301,G482/3,G482/4))))</f>
        <v>916.48732499999994</v>
      </c>
      <c r="I482" s="61"/>
      <c r="L482" s="177"/>
      <c r="M482" s="177"/>
      <c r="N482" s="36"/>
    </row>
    <row r="483" spans="1:20" s="37" customFormat="1" ht="15.75" customHeight="1" x14ac:dyDescent="0.25">
      <c r="A483" s="42">
        <f t="shared" ref="A483:A489" si="80">A482+1</f>
        <v>2</v>
      </c>
      <c r="B483" s="58" t="s">
        <v>212</v>
      </c>
      <c r="C483" s="42" t="s">
        <v>202</v>
      </c>
      <c r="D483" s="52">
        <f>(5.25*2.9+2.5*2.15+3.4*2.9+1.35*2.35+1.4*2.4+1*1.65)*10.764</f>
        <v>415.94786999999997</v>
      </c>
      <c r="E483" s="42">
        <v>0</v>
      </c>
      <c r="F483" s="42">
        <f t="shared" si="79"/>
        <v>415.94786999999997</v>
      </c>
      <c r="G483" s="42">
        <v>0</v>
      </c>
      <c r="H483" s="42">
        <f t="shared" ref="H483:H487" si="81">F483*(($H$223)+1)+(IF(G483&lt;101,G483,IF(G483&lt;201,G483/2,IF(G483&lt;=301,G483/3,G483/4))))</f>
        <v>623.92180499999995</v>
      </c>
      <c r="I483" s="36"/>
      <c r="L483" s="177"/>
      <c r="M483" s="177"/>
      <c r="N483" s="36"/>
    </row>
    <row r="484" spans="1:20" s="37" customFormat="1" ht="15.75" customHeight="1" x14ac:dyDescent="0.25">
      <c r="A484" s="42">
        <f t="shared" si="80"/>
        <v>3</v>
      </c>
      <c r="B484" s="58" t="s">
        <v>212</v>
      </c>
      <c r="C484" s="42" t="s">
        <v>202</v>
      </c>
      <c r="D484" s="52">
        <f>(5.25*2.9+2.5*2.15+3.4*2.9+1.35*2.35+1.4*2.4+1*1.65)*10.764</f>
        <v>415.94786999999997</v>
      </c>
      <c r="E484" s="42">
        <v>0</v>
      </c>
      <c r="F484" s="42">
        <f t="shared" si="79"/>
        <v>415.94786999999997</v>
      </c>
      <c r="G484" s="42">
        <v>0</v>
      </c>
      <c r="H484" s="42">
        <f t="shared" si="81"/>
        <v>623.92180499999995</v>
      </c>
      <c r="I484" s="36"/>
      <c r="L484" s="177"/>
      <c r="M484" s="177"/>
      <c r="N484" s="36"/>
    </row>
    <row r="485" spans="1:20" s="37" customFormat="1" ht="15.75" customHeight="1" x14ac:dyDescent="0.25">
      <c r="A485" s="42">
        <f t="shared" si="80"/>
        <v>4</v>
      </c>
      <c r="B485" s="58" t="s">
        <v>212</v>
      </c>
      <c r="C485" s="42" t="s">
        <v>187</v>
      </c>
      <c r="D485" s="52">
        <f>(5.05*2.85+2.25*2.9+3.4*2.9+3.1*3.95+2.35*1.35+2.35*1.35+3.25*1.3+1*2+0.9*1.3)*10.764</f>
        <v>610.99154999999996</v>
      </c>
      <c r="E485" s="42">
        <v>0</v>
      </c>
      <c r="F485" s="42">
        <f t="shared" si="79"/>
        <v>610.99154999999996</v>
      </c>
      <c r="G485" s="42">
        <v>0</v>
      </c>
      <c r="H485" s="42">
        <f t="shared" si="81"/>
        <v>916.48732499999994</v>
      </c>
      <c r="I485" s="36"/>
      <c r="L485" s="177"/>
      <c r="M485" s="177"/>
      <c r="N485" s="36"/>
      <c r="T485" s="21"/>
    </row>
    <row r="486" spans="1:20" s="37" customFormat="1" ht="15.75" customHeight="1" x14ac:dyDescent="0.25">
      <c r="A486" s="42">
        <f t="shared" si="80"/>
        <v>5</v>
      </c>
      <c r="B486" s="58" t="s">
        <v>212</v>
      </c>
      <c r="C486" s="42" t="s">
        <v>187</v>
      </c>
      <c r="D486" s="52">
        <f>(5.05*2.85+2.25*2.9+3.4*2.9+3.1*3.95+2.35*1.35+2.35*1.35+3.25*1.3+1*2+0.9*1.3)*10.764</f>
        <v>610.99154999999996</v>
      </c>
      <c r="E486" s="42">
        <v>0</v>
      </c>
      <c r="F486" s="42">
        <f t="shared" si="79"/>
        <v>610.99154999999996</v>
      </c>
      <c r="G486" s="42">
        <v>0</v>
      </c>
      <c r="H486" s="42">
        <f t="shared" si="81"/>
        <v>916.48732499999994</v>
      </c>
      <c r="I486" s="36"/>
      <c r="L486" s="177"/>
      <c r="M486" s="177"/>
      <c r="N486" s="36"/>
      <c r="T486" s="21"/>
    </row>
    <row r="487" spans="1:20" s="37" customFormat="1" ht="15.75" customHeight="1" x14ac:dyDescent="0.25">
      <c r="A487" s="42">
        <f t="shared" si="80"/>
        <v>6</v>
      </c>
      <c r="B487" s="58" t="s">
        <v>212</v>
      </c>
      <c r="C487" s="42" t="s">
        <v>202</v>
      </c>
      <c r="D487" s="52">
        <f>(5.25*2.9+2.5*2.15+3.4*2.9+1.35*2.35+1.4*2.4+1*1.65)*10.764</f>
        <v>415.94786999999997</v>
      </c>
      <c r="E487" s="42">
        <v>0</v>
      </c>
      <c r="F487" s="42">
        <f t="shared" si="79"/>
        <v>415.94786999999997</v>
      </c>
      <c r="G487" s="42">
        <v>0</v>
      </c>
      <c r="H487" s="42">
        <f t="shared" si="81"/>
        <v>623.92180499999995</v>
      </c>
      <c r="I487" s="36"/>
      <c r="L487" s="177"/>
      <c r="M487" s="177"/>
      <c r="N487" s="36"/>
    </row>
    <row r="488" spans="1:20" s="37" customFormat="1" ht="15.75" customHeight="1" x14ac:dyDescent="0.25">
      <c r="A488" s="42">
        <f t="shared" si="80"/>
        <v>7</v>
      </c>
      <c r="B488" s="58" t="s">
        <v>190</v>
      </c>
      <c r="C488" s="141" t="s">
        <v>191</v>
      </c>
      <c r="D488" s="211"/>
      <c r="E488" s="211"/>
      <c r="F488" s="211"/>
      <c r="G488" s="211"/>
      <c r="H488" s="142"/>
      <c r="I488" s="36"/>
      <c r="L488" s="177"/>
      <c r="M488" s="177"/>
      <c r="N488" s="36"/>
      <c r="T488" s="21"/>
    </row>
    <row r="489" spans="1:20" s="37" customFormat="1" ht="15.75" customHeight="1" x14ac:dyDescent="0.25">
      <c r="A489" s="42">
        <f t="shared" si="80"/>
        <v>8</v>
      </c>
      <c r="B489" s="58" t="s">
        <v>190</v>
      </c>
      <c r="C489" s="145"/>
      <c r="D489" s="212"/>
      <c r="E489" s="212"/>
      <c r="F489" s="212"/>
      <c r="G489" s="212"/>
      <c r="H489" s="146"/>
      <c r="I489" s="36"/>
      <c r="L489" s="177"/>
      <c r="M489" s="177"/>
      <c r="N489" s="36"/>
      <c r="T489" s="21"/>
    </row>
    <row r="490" spans="1:20" s="37" customFormat="1" x14ac:dyDescent="0.25">
      <c r="A490" s="97" t="s">
        <v>276</v>
      </c>
      <c r="B490" s="98"/>
      <c r="C490" s="98"/>
      <c r="D490" s="98"/>
      <c r="E490" s="98"/>
      <c r="F490" s="98"/>
      <c r="G490" s="98"/>
      <c r="H490" s="99"/>
      <c r="J490" s="36"/>
    </row>
    <row r="491" spans="1:20" s="37" customFormat="1" ht="15.75" customHeight="1" x14ac:dyDescent="0.25">
      <c r="A491" s="42">
        <v>1</v>
      </c>
      <c r="B491" s="58" t="s">
        <v>212</v>
      </c>
      <c r="C491" s="42" t="s">
        <v>187</v>
      </c>
      <c r="D491" s="52">
        <f>(5.05*2.85+2.25*2.9+3.4*2.9+3.1*3.95+2.35*1.35+2.35*1.35+3.25*1.3+1*2+0.9*1.3)*10.764</f>
        <v>610.99154999999996</v>
      </c>
      <c r="E491" s="42">
        <v>0</v>
      </c>
      <c r="F491" s="42">
        <f t="shared" ref="F491:F498" si="82">D491+E491</f>
        <v>610.99154999999996</v>
      </c>
      <c r="G491" s="42">
        <v>0</v>
      </c>
      <c r="H491" s="42">
        <f>F491*(($H$223)+1)+(IF(G491&lt;101,G491,IF(G491&lt;201,G491/2,IF(G491&lt;=301,G491/3,G491/4))))</f>
        <v>916.48732499999994</v>
      </c>
      <c r="I491" s="61"/>
      <c r="L491" s="177"/>
      <c r="M491" s="177"/>
      <c r="N491" s="36"/>
    </row>
    <row r="492" spans="1:20" s="37" customFormat="1" ht="15.75" customHeight="1" x14ac:dyDescent="0.25">
      <c r="A492" s="42">
        <f t="shared" ref="A492:A498" si="83">A491+1</f>
        <v>2</v>
      </c>
      <c r="B492" s="58" t="s">
        <v>212</v>
      </c>
      <c r="C492" s="42" t="s">
        <v>202</v>
      </c>
      <c r="D492" s="52">
        <f>(5.25*2.9+2.5*2.15+3.4*2.9+1.35*2.35+1.4*2.4+1*1.65)*10.764</f>
        <v>415.94786999999997</v>
      </c>
      <c r="E492" s="42">
        <v>0</v>
      </c>
      <c r="F492" s="42">
        <f t="shared" si="82"/>
        <v>415.94786999999997</v>
      </c>
      <c r="G492" s="42">
        <v>0</v>
      </c>
      <c r="H492" s="42">
        <f t="shared" ref="H492:H498" si="84">F492*(($H$223)+1)+(IF(G492&lt;101,G492,IF(G492&lt;201,G492/2,IF(G492&lt;=301,G492/3,G492/4))))</f>
        <v>623.92180499999995</v>
      </c>
      <c r="I492" s="36"/>
      <c r="L492" s="177"/>
      <c r="M492" s="177"/>
      <c r="N492" s="36"/>
    </row>
    <row r="493" spans="1:20" s="37" customFormat="1" ht="15.75" customHeight="1" x14ac:dyDescent="0.25">
      <c r="A493" s="42">
        <f t="shared" si="83"/>
        <v>3</v>
      </c>
      <c r="B493" s="58" t="s">
        <v>212</v>
      </c>
      <c r="C493" s="42" t="s">
        <v>202</v>
      </c>
      <c r="D493" s="52">
        <f>(5.25*2.9+2.5*2.15+3.4*2.9+1.35*2.35+1.4*2.4+1*1.65)*10.764</f>
        <v>415.94786999999997</v>
      </c>
      <c r="E493" s="42">
        <v>0</v>
      </c>
      <c r="F493" s="42">
        <f t="shared" si="82"/>
        <v>415.94786999999997</v>
      </c>
      <c r="G493" s="42">
        <v>0</v>
      </c>
      <c r="H493" s="42">
        <f t="shared" si="84"/>
        <v>623.92180499999995</v>
      </c>
      <c r="I493" s="36"/>
      <c r="L493" s="177"/>
      <c r="M493" s="177"/>
      <c r="N493" s="36"/>
    </row>
    <row r="494" spans="1:20" s="37" customFormat="1" ht="15.75" customHeight="1" x14ac:dyDescent="0.25">
      <c r="A494" s="42">
        <f t="shared" si="83"/>
        <v>4</v>
      </c>
      <c r="B494" s="58" t="s">
        <v>212</v>
      </c>
      <c r="C494" s="42" t="s">
        <v>187</v>
      </c>
      <c r="D494" s="52">
        <f t="shared" ref="D494:D495" si="85">(5.05*2.85+2.25*2.9+3.4*2.9+3.1*3.95+2.35*1.35+2.35*1.35+3.25*1.3+1*2+0.9*1.3)*10.764</f>
        <v>610.99154999999996</v>
      </c>
      <c r="E494" s="42">
        <v>0</v>
      </c>
      <c r="F494" s="42">
        <f t="shared" si="82"/>
        <v>610.99154999999996</v>
      </c>
      <c r="G494" s="42">
        <v>0</v>
      </c>
      <c r="H494" s="42">
        <f t="shared" si="84"/>
        <v>916.48732499999994</v>
      </c>
      <c r="I494" s="36"/>
      <c r="L494" s="177"/>
      <c r="M494" s="177"/>
      <c r="N494" s="36"/>
      <c r="T494" s="21"/>
    </row>
    <row r="495" spans="1:20" s="37" customFormat="1" ht="15.75" customHeight="1" x14ac:dyDescent="0.25">
      <c r="A495" s="42">
        <f t="shared" si="83"/>
        <v>5</v>
      </c>
      <c r="B495" s="58" t="s">
        <v>212</v>
      </c>
      <c r="C495" s="42" t="s">
        <v>187</v>
      </c>
      <c r="D495" s="52">
        <f t="shared" si="85"/>
        <v>610.99154999999996</v>
      </c>
      <c r="E495" s="42">
        <v>0</v>
      </c>
      <c r="F495" s="42">
        <f t="shared" si="82"/>
        <v>610.99154999999996</v>
      </c>
      <c r="G495" s="42">
        <v>0</v>
      </c>
      <c r="H495" s="42">
        <f t="shared" si="84"/>
        <v>916.48732499999994</v>
      </c>
      <c r="I495" s="36"/>
      <c r="L495" s="177"/>
      <c r="M495" s="177"/>
      <c r="N495" s="36"/>
      <c r="T495" s="21"/>
    </row>
    <row r="496" spans="1:20" s="37" customFormat="1" ht="15.75" customHeight="1" x14ac:dyDescent="0.25">
      <c r="A496" s="42">
        <f t="shared" si="83"/>
        <v>6</v>
      </c>
      <c r="B496" s="58" t="s">
        <v>212</v>
      </c>
      <c r="C496" s="42" t="s">
        <v>202</v>
      </c>
      <c r="D496" s="52">
        <f>(5.25*2.9+2.5*2.15+3.4*2.9+1.35*2.35+1.4*2.4+1*1.65)*10.764</f>
        <v>415.94786999999997</v>
      </c>
      <c r="E496" s="42">
        <v>0</v>
      </c>
      <c r="F496" s="42">
        <f t="shared" si="82"/>
        <v>415.94786999999997</v>
      </c>
      <c r="G496" s="42">
        <v>0</v>
      </c>
      <c r="H496" s="42">
        <f t="shared" si="84"/>
        <v>623.92180499999995</v>
      </c>
      <c r="I496" s="36"/>
      <c r="L496" s="177"/>
      <c r="M496" s="177"/>
      <c r="N496" s="36"/>
    </row>
    <row r="497" spans="1:20" s="37" customFormat="1" ht="15.75" customHeight="1" x14ac:dyDescent="0.25">
      <c r="A497" s="42">
        <f t="shared" si="83"/>
        <v>7</v>
      </c>
      <c r="B497" s="58" t="s">
        <v>212</v>
      </c>
      <c r="C497" s="42" t="s">
        <v>202</v>
      </c>
      <c r="D497" s="52">
        <f>(5.25*2.9+2.5*2.15+3.4*2.9+1.35*2.35+1.4*2.4+1*1.65)*10.764</f>
        <v>415.94786999999997</v>
      </c>
      <c r="E497" s="42">
        <v>0</v>
      </c>
      <c r="F497" s="42">
        <f t="shared" si="82"/>
        <v>415.94786999999997</v>
      </c>
      <c r="G497" s="42">
        <v>0</v>
      </c>
      <c r="H497" s="42">
        <f t="shared" si="84"/>
        <v>623.92180499999995</v>
      </c>
      <c r="I497" s="36"/>
      <c r="L497" s="177"/>
      <c r="M497" s="177"/>
      <c r="N497" s="36"/>
      <c r="T497" s="21"/>
    </row>
    <row r="498" spans="1:20" s="37" customFormat="1" ht="15.75" customHeight="1" x14ac:dyDescent="0.25">
      <c r="A498" s="42">
        <f t="shared" si="83"/>
        <v>8</v>
      </c>
      <c r="B498" s="58" t="s">
        <v>212</v>
      </c>
      <c r="C498" s="42" t="s">
        <v>187</v>
      </c>
      <c r="D498" s="52">
        <f>(5.05*2.85+2.25*2.9+3.4*2.9+3.1*3.95+2.35*1.35+2.35*1.35+3.25*1.3+1*2+0.9*1.3)*10.764</f>
        <v>610.99154999999996</v>
      </c>
      <c r="E498" s="42">
        <v>0</v>
      </c>
      <c r="F498" s="42">
        <f t="shared" si="82"/>
        <v>610.99154999999996</v>
      </c>
      <c r="G498" s="42">
        <v>0</v>
      </c>
      <c r="H498" s="42">
        <f t="shared" si="84"/>
        <v>916.48732499999994</v>
      </c>
      <c r="I498" s="36"/>
      <c r="L498" s="177"/>
      <c r="M498" s="177"/>
      <c r="N498" s="36"/>
      <c r="T498" s="21"/>
    </row>
    <row r="499" spans="1:20" s="37" customFormat="1" x14ac:dyDescent="0.25">
      <c r="A499" s="97" t="s">
        <v>277</v>
      </c>
      <c r="B499" s="98"/>
      <c r="C499" s="98"/>
      <c r="D499" s="98"/>
      <c r="E499" s="98"/>
      <c r="F499" s="98"/>
      <c r="G499" s="98"/>
      <c r="H499" s="99"/>
      <c r="J499" s="36"/>
    </row>
    <row r="500" spans="1:20" s="37" customFormat="1" ht="15.75" customHeight="1" x14ac:dyDescent="0.25">
      <c r="A500" s="42">
        <v>1</v>
      </c>
      <c r="B500" s="58" t="s">
        <v>212</v>
      </c>
      <c r="C500" s="42" t="s">
        <v>187</v>
      </c>
      <c r="D500" s="52">
        <f>(5.05*2.85+2.25*2.9+3.4*2.9+3.1*3.95+2.35*1.35+2.35*1.35+3.25*1.3+1*2+0.9*1.3)*10.764</f>
        <v>610.99154999999996</v>
      </c>
      <c r="E500" s="42">
        <v>0</v>
      </c>
      <c r="F500" s="42">
        <f t="shared" ref="F500:F507" si="86">D500+E500</f>
        <v>610.99154999999996</v>
      </c>
      <c r="G500" s="42">
        <v>0</v>
      </c>
      <c r="H500" s="42">
        <f>F500*(($H$223)+1)+(IF(G500&lt;101,G500,IF(G500&lt;201,G500/2,IF(G500&lt;=301,G500/3,G500/4))))</f>
        <v>916.48732499999994</v>
      </c>
      <c r="I500" s="61"/>
      <c r="L500" s="177"/>
      <c r="M500" s="177"/>
      <c r="N500" s="36"/>
    </row>
    <row r="501" spans="1:20" s="37" customFormat="1" ht="15.75" customHeight="1" x14ac:dyDescent="0.25">
      <c r="A501" s="42">
        <f t="shared" ref="A501:A507" si="87">A500+1</f>
        <v>2</v>
      </c>
      <c r="B501" s="58" t="s">
        <v>212</v>
      </c>
      <c r="C501" s="42" t="s">
        <v>202</v>
      </c>
      <c r="D501" s="52">
        <f>(5.25*2.9+2.5*2.15+3.4*2.9+1.35*2.35+1.4*2.4+1*1.65)*10.764</f>
        <v>415.94786999999997</v>
      </c>
      <c r="E501" s="42">
        <v>0</v>
      </c>
      <c r="F501" s="42">
        <f t="shared" si="86"/>
        <v>415.94786999999997</v>
      </c>
      <c r="G501" s="42">
        <v>0</v>
      </c>
      <c r="H501" s="42">
        <f t="shared" ref="H501:H507" si="88">F501*(($H$223)+1)+(IF(G501&lt;101,G501,IF(G501&lt;201,G501/2,IF(G501&lt;=301,G501/3,G501/4))))</f>
        <v>623.92180499999995</v>
      </c>
      <c r="I501" s="36"/>
      <c r="L501" s="177"/>
      <c r="M501" s="177"/>
      <c r="N501" s="36"/>
    </row>
    <row r="502" spans="1:20" s="37" customFormat="1" ht="15.75" customHeight="1" x14ac:dyDescent="0.25">
      <c r="A502" s="42">
        <f t="shared" si="87"/>
        <v>3</v>
      </c>
      <c r="B502" s="58" t="s">
        <v>212</v>
      </c>
      <c r="C502" s="42" t="s">
        <v>202</v>
      </c>
      <c r="D502" s="52">
        <f>(5.25*2.9+2.5*2.15+3.4*2.9+1.35*2.35+1.4*2.4+1*1.65)*10.764</f>
        <v>415.94786999999997</v>
      </c>
      <c r="E502" s="42">
        <v>0</v>
      </c>
      <c r="F502" s="42">
        <f t="shared" si="86"/>
        <v>415.94786999999997</v>
      </c>
      <c r="G502" s="42">
        <v>0</v>
      </c>
      <c r="H502" s="42">
        <f t="shared" si="88"/>
        <v>623.92180499999995</v>
      </c>
      <c r="I502" s="36"/>
      <c r="L502" s="177"/>
      <c r="M502" s="177"/>
      <c r="N502" s="36"/>
    </row>
    <row r="503" spans="1:20" s="37" customFormat="1" ht="15.75" customHeight="1" x14ac:dyDescent="0.25">
      <c r="A503" s="42">
        <f t="shared" si="87"/>
        <v>4</v>
      </c>
      <c r="B503" s="58" t="s">
        <v>212</v>
      </c>
      <c r="C503" s="42" t="s">
        <v>187</v>
      </c>
      <c r="D503" s="52">
        <f t="shared" ref="D503:D504" si="89">(5.05*2.85+2.25*2.9+3.4*2.9+3.1*3.95+2.35*1.35+2.35*1.35+3.25*1.3+1*2+0.9*1.3)*10.764</f>
        <v>610.99154999999996</v>
      </c>
      <c r="E503" s="42">
        <v>0</v>
      </c>
      <c r="F503" s="42">
        <f t="shared" si="86"/>
        <v>610.99154999999996</v>
      </c>
      <c r="G503" s="42">
        <v>0</v>
      </c>
      <c r="H503" s="42">
        <f t="shared" si="88"/>
        <v>916.48732499999994</v>
      </c>
      <c r="I503" s="36"/>
      <c r="L503" s="177"/>
      <c r="M503" s="177"/>
      <c r="N503" s="36"/>
      <c r="T503" s="21"/>
    </row>
    <row r="504" spans="1:20" s="37" customFormat="1" ht="15.75" customHeight="1" x14ac:dyDescent="0.25">
      <c r="A504" s="42">
        <f t="shared" si="87"/>
        <v>5</v>
      </c>
      <c r="B504" s="58" t="s">
        <v>212</v>
      </c>
      <c r="C504" s="42" t="s">
        <v>187</v>
      </c>
      <c r="D504" s="52">
        <f t="shared" si="89"/>
        <v>610.99154999999996</v>
      </c>
      <c r="E504" s="42">
        <v>0</v>
      </c>
      <c r="F504" s="42">
        <f t="shared" si="86"/>
        <v>610.99154999999996</v>
      </c>
      <c r="G504" s="42">
        <v>0</v>
      </c>
      <c r="H504" s="42">
        <f t="shared" si="88"/>
        <v>916.48732499999994</v>
      </c>
      <c r="I504" s="36"/>
      <c r="L504" s="177"/>
      <c r="M504" s="177"/>
      <c r="N504" s="36"/>
      <c r="T504" s="21"/>
    </row>
    <row r="505" spans="1:20" s="37" customFormat="1" ht="15.75" customHeight="1" x14ac:dyDescent="0.25">
      <c r="A505" s="42">
        <f t="shared" si="87"/>
        <v>6</v>
      </c>
      <c r="B505" s="58" t="s">
        <v>212</v>
      </c>
      <c r="C505" s="42" t="s">
        <v>202</v>
      </c>
      <c r="D505" s="52">
        <f>(5.25*2.9+2.5*2.15+3.4*2.9+1.35*2.35+1.4*2.4+1*1.65)*10.764</f>
        <v>415.94786999999997</v>
      </c>
      <c r="E505" s="42">
        <v>0</v>
      </c>
      <c r="F505" s="42">
        <f t="shared" si="86"/>
        <v>415.94786999999997</v>
      </c>
      <c r="G505" s="42">
        <v>0</v>
      </c>
      <c r="H505" s="42">
        <f t="shared" si="88"/>
        <v>623.92180499999995</v>
      </c>
      <c r="I505" s="36"/>
      <c r="L505" s="177"/>
      <c r="M505" s="177"/>
      <c r="N505" s="36"/>
    </row>
    <row r="506" spans="1:20" s="37" customFormat="1" ht="15.75" customHeight="1" x14ac:dyDescent="0.25">
      <c r="A506" s="42">
        <f t="shared" si="87"/>
        <v>7</v>
      </c>
      <c r="B506" s="58" t="s">
        <v>212</v>
      </c>
      <c r="C506" s="42" t="s">
        <v>202</v>
      </c>
      <c r="D506" s="52">
        <f>(5.25*2.9+2.5*2.15+3.4*2.9+1.35*2.35+1.4*2.4+1*1.65)*10.764</f>
        <v>415.94786999999997</v>
      </c>
      <c r="E506" s="42">
        <v>0</v>
      </c>
      <c r="F506" s="42">
        <f t="shared" si="86"/>
        <v>415.94786999999997</v>
      </c>
      <c r="G506" s="42">
        <v>0</v>
      </c>
      <c r="H506" s="42">
        <f t="shared" si="88"/>
        <v>623.92180499999995</v>
      </c>
      <c r="I506" s="36"/>
      <c r="L506" s="177"/>
      <c r="M506" s="177"/>
      <c r="N506" s="36"/>
      <c r="T506" s="21"/>
    </row>
    <row r="507" spans="1:20" s="37" customFormat="1" ht="15.75" customHeight="1" x14ac:dyDescent="0.25">
      <c r="A507" s="42">
        <f t="shared" si="87"/>
        <v>8</v>
      </c>
      <c r="B507" s="58" t="s">
        <v>212</v>
      </c>
      <c r="C507" s="42" t="s">
        <v>187</v>
      </c>
      <c r="D507" s="52">
        <f>(5.05*2.85+2.25*2.9+3.4*2.9+3.1*3.95+2.35*1.35+2.35*1.35+3.25*1.3+1*2+0.9*1.3)*10.764</f>
        <v>610.99154999999996</v>
      </c>
      <c r="E507" s="42">
        <v>0</v>
      </c>
      <c r="F507" s="42">
        <f t="shared" si="86"/>
        <v>610.99154999999996</v>
      </c>
      <c r="G507" s="42">
        <v>0</v>
      </c>
      <c r="H507" s="42">
        <f t="shared" si="88"/>
        <v>916.48732499999994</v>
      </c>
      <c r="I507" s="36"/>
      <c r="L507" s="177"/>
      <c r="M507" s="177"/>
      <c r="N507" s="36"/>
      <c r="T507" s="21"/>
    </row>
    <row r="508" spans="1:20" s="37" customFormat="1" x14ac:dyDescent="0.25">
      <c r="A508" s="97" t="s">
        <v>235</v>
      </c>
      <c r="B508" s="98"/>
      <c r="C508" s="98"/>
      <c r="D508" s="98"/>
      <c r="E508" s="98"/>
      <c r="F508" s="98"/>
      <c r="G508" s="98"/>
      <c r="H508" s="99"/>
      <c r="J508" s="36"/>
    </row>
    <row r="509" spans="1:20" s="37" customFormat="1" ht="15.75" customHeight="1" x14ac:dyDescent="0.25">
      <c r="A509" s="42">
        <v>1</v>
      </c>
      <c r="B509" s="58" t="s">
        <v>212</v>
      </c>
      <c r="C509" s="42" t="s">
        <v>187</v>
      </c>
      <c r="D509" s="52">
        <f>(5.05*2.85+2.25*2.9+3.4*2.9+3.1*3.95+2.35*1.35+2.35*1.35+3.25*1.3+1*2+0.9*1.3)*10.764</f>
        <v>610.99154999999996</v>
      </c>
      <c r="E509" s="42">
        <v>0</v>
      </c>
      <c r="F509" s="42">
        <f t="shared" ref="F509:F514" si="90">D509+E509</f>
        <v>610.99154999999996</v>
      </c>
      <c r="G509" s="42">
        <v>0</v>
      </c>
      <c r="H509" s="42">
        <f t="shared" ref="H509:H514" si="91">F509*(($H$223)+1)+(IF(G509&lt;101,G509,IF(G509&lt;201,G509/2,IF(G509&lt;=301,G509/3,G509/4))))</f>
        <v>916.48732499999994</v>
      </c>
      <c r="I509" s="61"/>
      <c r="L509" s="177"/>
      <c r="M509" s="177"/>
      <c r="N509" s="36"/>
    </row>
    <row r="510" spans="1:20" s="37" customFormat="1" ht="15.75" customHeight="1" x14ac:dyDescent="0.25">
      <c r="A510" s="42">
        <f t="shared" ref="A510:A516" si="92">A509+1</f>
        <v>2</v>
      </c>
      <c r="B510" s="58" t="s">
        <v>212</v>
      </c>
      <c r="C510" s="42" t="s">
        <v>202</v>
      </c>
      <c r="D510" s="52">
        <f>(5.25*2.9+2.5*2.15+3.4*2.9+1.35*2.35+1.4*2.4+1*1.65)*10.764</f>
        <v>415.94786999999997</v>
      </c>
      <c r="E510" s="42">
        <v>0</v>
      </c>
      <c r="F510" s="42">
        <f t="shared" si="90"/>
        <v>415.94786999999997</v>
      </c>
      <c r="G510" s="42">
        <v>0</v>
      </c>
      <c r="H510" s="42">
        <f t="shared" si="91"/>
        <v>623.92180499999995</v>
      </c>
      <c r="I510" s="36"/>
      <c r="L510" s="177"/>
      <c r="M510" s="177"/>
      <c r="N510" s="36"/>
    </row>
    <row r="511" spans="1:20" s="37" customFormat="1" ht="15.75" customHeight="1" x14ac:dyDescent="0.25">
      <c r="A511" s="42">
        <f t="shared" si="92"/>
        <v>3</v>
      </c>
      <c r="B511" s="58" t="s">
        <v>212</v>
      </c>
      <c r="C511" s="42" t="s">
        <v>202</v>
      </c>
      <c r="D511" s="52">
        <f>(5.25*2.9+2.5*2.15+3.4*2.9+1.35*2.35+1.4*2.4+1*1.65)*10.764</f>
        <v>415.94786999999997</v>
      </c>
      <c r="E511" s="42">
        <v>0</v>
      </c>
      <c r="F511" s="42">
        <f t="shared" si="90"/>
        <v>415.94786999999997</v>
      </c>
      <c r="G511" s="42">
        <v>0</v>
      </c>
      <c r="H511" s="42">
        <f t="shared" si="91"/>
        <v>623.92180499999995</v>
      </c>
      <c r="I511" s="36"/>
      <c r="L511" s="177"/>
      <c r="M511" s="177"/>
      <c r="N511" s="36"/>
    </row>
    <row r="512" spans="1:20" s="37" customFormat="1" ht="15.75" customHeight="1" x14ac:dyDescent="0.25">
      <c r="A512" s="42">
        <f t="shared" si="92"/>
        <v>4</v>
      </c>
      <c r="B512" s="58" t="s">
        <v>212</v>
      </c>
      <c r="C512" s="42" t="s">
        <v>187</v>
      </c>
      <c r="D512" s="52">
        <f>(5.05*2.85+2.25*2.9+3.4*2.9+3.1*3.95+2.35*1.35+2.35*1.35+3.25*1.3+1*2+0.9*1.3)*10.764</f>
        <v>610.99154999999996</v>
      </c>
      <c r="E512" s="42">
        <v>0</v>
      </c>
      <c r="F512" s="42">
        <f t="shared" si="90"/>
        <v>610.99154999999996</v>
      </c>
      <c r="G512" s="42">
        <v>0</v>
      </c>
      <c r="H512" s="42">
        <f t="shared" si="91"/>
        <v>916.48732499999994</v>
      </c>
      <c r="I512" s="36"/>
      <c r="L512" s="177"/>
      <c r="M512" s="177"/>
      <c r="N512" s="36"/>
      <c r="T512" s="21"/>
    </row>
    <row r="513" spans="1:20" s="37" customFormat="1" ht="15.75" customHeight="1" x14ac:dyDescent="0.25">
      <c r="A513" s="42">
        <f t="shared" si="92"/>
        <v>5</v>
      </c>
      <c r="B513" s="58" t="s">
        <v>212</v>
      </c>
      <c r="C513" s="42" t="s">
        <v>187</v>
      </c>
      <c r="D513" s="52">
        <f>(5.05*2.85+2.25*2.9+3.4*2.9+3.1*3.95+2.35*1.35+2.35*1.35+3.25*1.3+1*2+0.9*1.3)*10.764</f>
        <v>610.99154999999996</v>
      </c>
      <c r="E513" s="42">
        <v>0</v>
      </c>
      <c r="F513" s="42">
        <f t="shared" si="90"/>
        <v>610.99154999999996</v>
      </c>
      <c r="G513" s="42">
        <v>0</v>
      </c>
      <c r="H513" s="42">
        <f t="shared" si="91"/>
        <v>916.48732499999994</v>
      </c>
      <c r="I513" s="36"/>
      <c r="L513" s="177"/>
      <c r="M513" s="177"/>
      <c r="N513" s="36"/>
      <c r="T513" s="21"/>
    </row>
    <row r="514" spans="1:20" s="37" customFormat="1" ht="15.75" customHeight="1" x14ac:dyDescent="0.25">
      <c r="A514" s="42">
        <f t="shared" si="92"/>
        <v>6</v>
      </c>
      <c r="B514" s="58" t="s">
        <v>212</v>
      </c>
      <c r="C514" s="42" t="s">
        <v>202</v>
      </c>
      <c r="D514" s="52">
        <f>(5.25*2.9+2.5*2.15+3.4*2.9+1.35*2.35+1.4*2.4+1*1.65)*10.764</f>
        <v>415.94786999999997</v>
      </c>
      <c r="E514" s="42">
        <v>0</v>
      </c>
      <c r="F514" s="42">
        <f t="shared" si="90"/>
        <v>415.94786999999997</v>
      </c>
      <c r="G514" s="42">
        <v>0</v>
      </c>
      <c r="H514" s="42">
        <f t="shared" si="91"/>
        <v>623.92180499999995</v>
      </c>
      <c r="I514" s="36"/>
      <c r="L514" s="177"/>
      <c r="M514" s="177"/>
      <c r="N514" s="36"/>
    </row>
    <row r="515" spans="1:20" s="37" customFormat="1" ht="15.75" customHeight="1" x14ac:dyDescent="0.25">
      <c r="A515" s="42">
        <f t="shared" si="92"/>
        <v>7</v>
      </c>
      <c r="B515" s="58" t="s">
        <v>190</v>
      </c>
      <c r="C515" s="141" t="s">
        <v>191</v>
      </c>
      <c r="D515" s="211"/>
      <c r="E515" s="211"/>
      <c r="F515" s="211"/>
      <c r="G515" s="211"/>
      <c r="H515" s="142"/>
      <c r="I515" s="36"/>
      <c r="L515" s="177"/>
      <c r="M515" s="177"/>
      <c r="N515" s="36"/>
      <c r="T515" s="21"/>
    </row>
    <row r="516" spans="1:20" s="37" customFormat="1" ht="15.75" customHeight="1" x14ac:dyDescent="0.25">
      <c r="A516" s="42">
        <f t="shared" si="92"/>
        <v>8</v>
      </c>
      <c r="B516" s="58" t="s">
        <v>190</v>
      </c>
      <c r="C516" s="145"/>
      <c r="D516" s="212"/>
      <c r="E516" s="212"/>
      <c r="F516" s="212"/>
      <c r="G516" s="212"/>
      <c r="H516" s="146"/>
      <c r="I516" s="36"/>
      <c r="L516" s="177"/>
      <c r="M516" s="177"/>
      <c r="N516" s="36"/>
      <c r="T516" s="21"/>
    </row>
    <row r="517" spans="1:20" s="37" customFormat="1" x14ac:dyDescent="0.25">
      <c r="A517" s="97"/>
      <c r="B517" s="98"/>
      <c r="C517" s="98"/>
      <c r="D517" s="98"/>
      <c r="E517" s="98"/>
      <c r="F517" s="98"/>
      <c r="G517" s="98"/>
      <c r="H517" s="99"/>
      <c r="J517" s="36"/>
    </row>
    <row r="518" spans="1:20" ht="47.25" hidden="1" customHeight="1" x14ac:dyDescent="0.25">
      <c r="A518" s="135" t="s">
        <v>121</v>
      </c>
      <c r="B518" s="135" t="s">
        <v>122</v>
      </c>
      <c r="C518" s="131" t="s">
        <v>58</v>
      </c>
      <c r="D518" s="131" t="s">
        <v>59</v>
      </c>
      <c r="E518" s="133" t="s">
        <v>60</v>
      </c>
      <c r="F518" s="62" t="s">
        <v>150</v>
      </c>
      <c r="G518" s="135" t="s">
        <v>61</v>
      </c>
      <c r="H518" s="136"/>
      <c r="I518" s="36"/>
    </row>
    <row r="519" spans="1:20" s="37" customFormat="1" hidden="1" x14ac:dyDescent="0.25">
      <c r="A519" s="137"/>
      <c r="B519" s="137"/>
      <c r="C519" s="132"/>
      <c r="D519" s="132"/>
      <c r="E519" s="134"/>
      <c r="F519" s="63">
        <v>0.55000000000000004</v>
      </c>
      <c r="G519" s="137"/>
      <c r="H519" s="138"/>
      <c r="I519" s="36"/>
    </row>
    <row r="520" spans="1:20" s="37" customFormat="1" hidden="1" x14ac:dyDescent="0.25">
      <c r="A520" s="97" t="s">
        <v>179</v>
      </c>
      <c r="B520" s="98"/>
      <c r="C520" s="98"/>
      <c r="D520" s="98"/>
      <c r="E520" s="98"/>
      <c r="F520" s="98"/>
      <c r="G520" s="98"/>
      <c r="H520" s="99"/>
      <c r="J520" s="36"/>
    </row>
    <row r="521" spans="1:20" s="37" customFormat="1" hidden="1" x14ac:dyDescent="0.25">
      <c r="A521" s="97" t="s">
        <v>180</v>
      </c>
      <c r="B521" s="98"/>
      <c r="C521" s="98"/>
      <c r="D521" s="98"/>
      <c r="E521" s="98"/>
      <c r="F521" s="98"/>
      <c r="G521" s="98"/>
      <c r="H521" s="99"/>
      <c r="J521" s="36"/>
    </row>
    <row r="522" spans="1:20" s="37" customFormat="1" hidden="1" x14ac:dyDescent="0.25">
      <c r="A522" s="97" t="s">
        <v>185</v>
      </c>
      <c r="B522" s="98"/>
      <c r="C522" s="98"/>
      <c r="D522" s="98"/>
      <c r="E522" s="98"/>
      <c r="F522" s="98"/>
      <c r="G522" s="98"/>
      <c r="H522" s="99"/>
      <c r="J522" s="36"/>
    </row>
    <row r="523" spans="1:20" s="37" customFormat="1" ht="15.75" hidden="1" customHeight="1" x14ac:dyDescent="0.25">
      <c r="A523" s="42">
        <v>1</v>
      </c>
      <c r="B523" s="42" t="s">
        <v>183</v>
      </c>
      <c r="C523" s="42" t="s">
        <v>187</v>
      </c>
      <c r="D523" s="52">
        <f>(40.74)*(10.764)</f>
        <v>438.52535999999998</v>
      </c>
      <c r="E523" s="42">
        <v>0</v>
      </c>
      <c r="F523" s="42">
        <f>D523*(($F$519)+1)+(IF(E523&lt;101,E523,IF(E523&lt;201,E523/2,IF(E523&lt;=301,E523/3,E523/4))))</f>
        <v>679.71430799999996</v>
      </c>
      <c r="G523" s="141" t="str">
        <f>A522</f>
        <v>1st to 7th, 9th to 14th &amp; 16th to 20th Floor For Residential</v>
      </c>
      <c r="H523" s="142"/>
      <c r="I523" s="36">
        <f>2.9*4.95+2.45*3.05+2.75*3.05+2.45*2.2+1.3*0.9+1.35*1.2+1.5*1.2</f>
        <v>40.195</v>
      </c>
      <c r="L523" s="177"/>
      <c r="M523" s="177"/>
      <c r="N523" s="36"/>
    </row>
    <row r="524" spans="1:20" s="37" customFormat="1" ht="15.75" hidden="1" customHeight="1" x14ac:dyDescent="0.25">
      <c r="A524" s="42">
        <f>A523+1</f>
        <v>2</v>
      </c>
      <c r="B524" s="42" t="s">
        <v>183</v>
      </c>
      <c r="C524" s="42" t="s">
        <v>187</v>
      </c>
      <c r="D524" s="52">
        <f>(40.74)*(10.764)</f>
        <v>438.52535999999998</v>
      </c>
      <c r="E524" s="42">
        <v>0</v>
      </c>
      <c r="F524" s="42">
        <f>D524*(($F$519)+1)+(IF(E524&lt;101,E524,IF(E524&lt;201,E524/2,IF(E524&lt;=301,E524/3,E524/4))))</f>
        <v>679.71430799999996</v>
      </c>
      <c r="G524" s="143"/>
      <c r="H524" s="144"/>
      <c r="I524" s="36"/>
      <c r="L524" s="177"/>
      <c r="M524" s="177"/>
      <c r="N524" s="36"/>
    </row>
    <row r="525" spans="1:20" s="37" customFormat="1" ht="15.75" hidden="1" customHeight="1" x14ac:dyDescent="0.25">
      <c r="A525" s="42">
        <f>A524+1</f>
        <v>3</v>
      </c>
      <c r="B525" s="42" t="s">
        <v>183</v>
      </c>
      <c r="C525" s="42" t="s">
        <v>187</v>
      </c>
      <c r="D525" s="52">
        <f>(40.74)*(10.764)</f>
        <v>438.52535999999998</v>
      </c>
      <c r="E525" s="42">
        <v>0</v>
      </c>
      <c r="F525" s="42">
        <f>D525*(($F$519)+1)+(IF(E525&lt;101,E525,IF(E525&lt;201,E525/2,IF(E525&lt;=301,E525/3,E525/4))))</f>
        <v>679.71430799999996</v>
      </c>
      <c r="G525" s="143"/>
      <c r="H525" s="144"/>
      <c r="I525" s="36"/>
      <c r="L525" s="177"/>
      <c r="M525" s="177"/>
      <c r="N525" s="36"/>
    </row>
    <row r="526" spans="1:20" s="37" customFormat="1" ht="15.75" hidden="1" customHeight="1" x14ac:dyDescent="0.25">
      <c r="A526" s="42">
        <f>A525+1</f>
        <v>4</v>
      </c>
      <c r="B526" s="42" t="s">
        <v>183</v>
      </c>
      <c r="C526" s="42" t="s">
        <v>187</v>
      </c>
      <c r="D526" s="52">
        <f>(40.63)*(10.764)</f>
        <v>437.34132</v>
      </c>
      <c r="E526" s="42">
        <v>0</v>
      </c>
      <c r="F526" s="42">
        <f>D526*(($F$519)+1)+(IF(E526&lt;101,E526,IF(E526&lt;201,E526/2,IF(E526&lt;=301,E526/3,E526/4))))</f>
        <v>677.87904600000002</v>
      </c>
      <c r="G526" s="143"/>
      <c r="H526" s="144"/>
      <c r="I526" s="36">
        <f>4.95*2.9+3.05*2.45+2.2*2.45+3.05*2.75+0.9*1.35+1.2*1.35+1.2*1.5</f>
        <v>40.24</v>
      </c>
      <c r="L526" s="177"/>
      <c r="M526" s="177"/>
      <c r="N526" s="36"/>
    </row>
    <row r="527" spans="1:20" s="37" customFormat="1" ht="15.75" hidden="1" customHeight="1" x14ac:dyDescent="0.25">
      <c r="A527" s="42">
        <f>A526+1</f>
        <v>5</v>
      </c>
      <c r="B527" s="42" t="s">
        <v>183</v>
      </c>
      <c r="C527" s="42" t="s">
        <v>187</v>
      </c>
      <c r="D527" s="52">
        <f>(40.63)*(10.764)</f>
        <v>437.34132</v>
      </c>
      <c r="E527" s="42">
        <v>0</v>
      </c>
      <c r="F527" s="42">
        <f>D527*(($F$519)+1)+(IF(E527&lt;101,E527,IF(E527&lt;201,E527/2,IF(E527&lt;=301,E527/3,E527/4))))</f>
        <v>677.87904600000002</v>
      </c>
      <c r="G527" s="145"/>
      <c r="H527" s="146"/>
      <c r="I527" s="36"/>
      <c r="L527" s="177"/>
      <c r="M527" s="177"/>
      <c r="N527" s="36"/>
    </row>
    <row r="528" spans="1:20" s="37" customFormat="1" hidden="1" x14ac:dyDescent="0.25">
      <c r="A528" s="157" t="s">
        <v>188</v>
      </c>
      <c r="B528" s="157"/>
      <c r="C528" s="157"/>
      <c r="D528" s="157"/>
      <c r="E528" s="157"/>
      <c r="F528" s="157"/>
      <c r="G528" s="157"/>
      <c r="H528" s="157"/>
      <c r="I528" s="36"/>
      <c r="L528" s="177"/>
      <c r="M528" s="177"/>
    </row>
    <row r="529" spans="1:14" s="37" customFormat="1" ht="15.75" hidden="1" customHeight="1" x14ac:dyDescent="0.25">
      <c r="A529" s="42">
        <v>1</v>
      </c>
      <c r="B529" s="42" t="s">
        <v>183</v>
      </c>
      <c r="C529" s="42" t="s">
        <v>187</v>
      </c>
      <c r="D529" s="52">
        <f>(40.74)*(10.764)</f>
        <v>438.52535999999998</v>
      </c>
      <c r="E529" s="42">
        <v>0</v>
      </c>
      <c r="F529" s="42">
        <f>D529*(($F$519)+1)+(IF(E529&lt;101,E529,IF(E529&lt;201,E529/2,IF(E529&lt;=301,E529/3,E529/4))))</f>
        <v>679.71430799999996</v>
      </c>
      <c r="G529" s="141" t="str">
        <f>A528</f>
        <v>8th Floor (Part Refuge Area)</v>
      </c>
      <c r="H529" s="142"/>
      <c r="I529" s="36"/>
      <c r="N529" s="36"/>
    </row>
    <row r="530" spans="1:14" s="37" customFormat="1" ht="15.75" hidden="1" customHeight="1" x14ac:dyDescent="0.25">
      <c r="A530" s="42">
        <f>A529+1</f>
        <v>2</v>
      </c>
      <c r="B530" s="42" t="s">
        <v>183</v>
      </c>
      <c r="C530" s="42" t="s">
        <v>187</v>
      </c>
      <c r="D530" s="52">
        <f>(40.74)*(10.764)</f>
        <v>438.52535999999998</v>
      </c>
      <c r="E530" s="42">
        <v>0</v>
      </c>
      <c r="F530" s="42">
        <f>D530*(($F$519)+1)+(IF(E530&lt;101,E530,IF(E530&lt;201,E530/2,IF(E530&lt;=301,E530/3,E530/4))))</f>
        <v>679.71430799999996</v>
      </c>
      <c r="G530" s="143"/>
      <c r="H530" s="144"/>
      <c r="I530" s="36"/>
      <c r="N530" s="36"/>
    </row>
    <row r="531" spans="1:14" s="37" customFormat="1" ht="15.75" hidden="1" customHeight="1" x14ac:dyDescent="0.25">
      <c r="A531" s="42">
        <f>A530+1</f>
        <v>3</v>
      </c>
      <c r="B531" s="42" t="s">
        <v>183</v>
      </c>
      <c r="C531" s="42" t="s">
        <v>187</v>
      </c>
      <c r="D531" s="52">
        <f>(40.74)*(10.764)</f>
        <v>438.52535999999998</v>
      </c>
      <c r="E531" s="42">
        <v>0</v>
      </c>
      <c r="F531" s="42">
        <f>D531*(($F$519)+1)+(IF(E531&lt;101,E531,IF(E531&lt;201,E531/2,IF(E531&lt;=301,E531/3,E531/4))))</f>
        <v>679.71430799999996</v>
      </c>
      <c r="G531" s="143"/>
      <c r="H531" s="144"/>
      <c r="I531" s="36"/>
      <c r="N531" s="36"/>
    </row>
    <row r="532" spans="1:14" s="37" customFormat="1" ht="15.75" hidden="1" customHeight="1" x14ac:dyDescent="0.25">
      <c r="A532" s="42">
        <f>A531+1</f>
        <v>4</v>
      </c>
      <c r="B532" s="42" t="s">
        <v>190</v>
      </c>
      <c r="C532" s="42" t="s">
        <v>190</v>
      </c>
      <c r="D532" s="147" t="s">
        <v>191</v>
      </c>
      <c r="E532" s="153"/>
      <c r="F532" s="148"/>
      <c r="G532" s="143"/>
      <c r="H532" s="144"/>
      <c r="I532" s="36"/>
      <c r="N532" s="36"/>
    </row>
    <row r="533" spans="1:14" s="37" customFormat="1" ht="15.75" hidden="1" customHeight="1" x14ac:dyDescent="0.25">
      <c r="A533" s="42">
        <f>A532+1</f>
        <v>5</v>
      </c>
      <c r="B533" s="42" t="s">
        <v>183</v>
      </c>
      <c r="C533" s="42" t="s">
        <v>187</v>
      </c>
      <c r="D533" s="52">
        <f>(40.63)*(10.764)</f>
        <v>437.34132</v>
      </c>
      <c r="E533" s="42">
        <v>0</v>
      </c>
      <c r="F533" s="42">
        <f>D533*(($F$519)+1)+(IF(E533&lt;101,E533,IF(E533&lt;201,E533/2,IF(E533&lt;=301,E533/3,E533/4))))</f>
        <v>677.87904600000002</v>
      </c>
      <c r="G533" s="145"/>
      <c r="H533" s="146"/>
      <c r="I533" s="36"/>
      <c r="N533" s="36"/>
    </row>
    <row r="534" spans="1:14" s="37" customFormat="1" hidden="1" x14ac:dyDescent="0.25">
      <c r="A534" s="157" t="s">
        <v>189</v>
      </c>
      <c r="B534" s="157"/>
      <c r="C534" s="157"/>
      <c r="D534" s="157"/>
      <c r="E534" s="157"/>
      <c r="F534" s="157"/>
      <c r="G534" s="157"/>
      <c r="H534" s="157"/>
      <c r="I534" s="36"/>
      <c r="L534" s="177"/>
      <c r="M534" s="177"/>
    </row>
    <row r="535" spans="1:14" s="37" customFormat="1" ht="15.75" hidden="1" customHeight="1" x14ac:dyDescent="0.25">
      <c r="A535" s="42">
        <v>1</v>
      </c>
      <c r="B535" s="42" t="s">
        <v>183</v>
      </c>
      <c r="C535" s="42" t="s">
        <v>187</v>
      </c>
      <c r="D535" s="52">
        <f>(40.74)*(10.764)</f>
        <v>438.52535999999998</v>
      </c>
      <c r="E535" s="42">
        <v>0</v>
      </c>
      <c r="F535" s="42">
        <f>D535*(($F$519)+1)+(IF(E535&lt;101,E535,IF(E535&lt;201,E535/2,IF(E535&lt;=301,E535/3,E535/4))))</f>
        <v>679.71430799999996</v>
      </c>
      <c r="G535" s="141" t="str">
        <f>A534</f>
        <v>15th Floor (Part Refuge Area)</v>
      </c>
      <c r="H535" s="142"/>
      <c r="I535" s="36"/>
      <c r="N535" s="36"/>
    </row>
    <row r="536" spans="1:14" s="37" customFormat="1" ht="15.75" hidden="1" customHeight="1" x14ac:dyDescent="0.25">
      <c r="A536" s="42">
        <f>A535+1</f>
        <v>2</v>
      </c>
      <c r="B536" s="42" t="s">
        <v>183</v>
      </c>
      <c r="C536" s="42" t="s">
        <v>187</v>
      </c>
      <c r="D536" s="52">
        <f>(40.74)*(10.764)</f>
        <v>438.52535999999998</v>
      </c>
      <c r="E536" s="42">
        <v>0</v>
      </c>
      <c r="F536" s="42">
        <f>D536*(($F$519)+1)+(IF(E536&lt;101,E536,IF(E536&lt;201,E536/2,IF(E536&lt;=301,E536/3,E536/4))))</f>
        <v>679.71430799999996</v>
      </c>
      <c r="G536" s="143"/>
      <c r="H536" s="144"/>
      <c r="I536" s="36"/>
      <c r="N536" s="36"/>
    </row>
    <row r="537" spans="1:14" s="37" customFormat="1" ht="15.75" hidden="1" customHeight="1" x14ac:dyDescent="0.25">
      <c r="A537" s="42">
        <f>A536+1</f>
        <v>3</v>
      </c>
      <c r="B537" s="42" t="s">
        <v>183</v>
      </c>
      <c r="C537" s="42" t="s">
        <v>187</v>
      </c>
      <c r="D537" s="52">
        <f>(40.74)*(10.764)</f>
        <v>438.52535999999998</v>
      </c>
      <c r="E537" s="42">
        <v>0</v>
      </c>
      <c r="F537" s="42">
        <f>D537*(($F$519)+1)+(IF(E537&lt;101,E537,IF(E537&lt;201,E537/2,IF(E537&lt;=301,E537/3,E537/4))))</f>
        <v>679.71430799999996</v>
      </c>
      <c r="G537" s="143"/>
      <c r="H537" s="144"/>
      <c r="I537" s="36"/>
      <c r="N537" s="36"/>
    </row>
    <row r="538" spans="1:14" s="37" customFormat="1" ht="15.75" hidden="1" customHeight="1" x14ac:dyDescent="0.25">
      <c r="A538" s="42">
        <f>A537+1</f>
        <v>4</v>
      </c>
      <c r="B538" s="42" t="s">
        <v>190</v>
      </c>
      <c r="C538" s="42" t="s">
        <v>190</v>
      </c>
      <c r="D538" s="147" t="s">
        <v>191</v>
      </c>
      <c r="E538" s="153">
        <v>0</v>
      </c>
      <c r="F538" s="148" t="e">
        <f>D538*(($F$519)+1)+(IF(E538&lt;101,E538,IF(E538&lt;201,E538/2,IF(E538&lt;=301,E538/3,E538/4))))</f>
        <v>#VALUE!</v>
      </c>
      <c r="G538" s="143"/>
      <c r="H538" s="144"/>
      <c r="I538" s="36"/>
      <c r="N538" s="36"/>
    </row>
    <row r="539" spans="1:14" s="37" customFormat="1" ht="15.75" hidden="1" customHeight="1" x14ac:dyDescent="0.25">
      <c r="A539" s="42">
        <f>A538+1</f>
        <v>5</v>
      </c>
      <c r="B539" s="42" t="s">
        <v>183</v>
      </c>
      <c r="C539" s="42" t="s">
        <v>187</v>
      </c>
      <c r="D539" s="52">
        <f>(40.63)*(10.764)</f>
        <v>437.34132</v>
      </c>
      <c r="E539" s="42">
        <v>0</v>
      </c>
      <c r="F539" s="42">
        <f>D539*(($F$519)+1)+(IF(E539&lt;101,E539,IF(E539&lt;201,E539/2,IF(E539&lt;=301,E539/3,E539/4))))</f>
        <v>677.87904600000002</v>
      </c>
      <c r="G539" s="145"/>
      <c r="H539" s="146"/>
      <c r="I539" s="36"/>
      <c r="N539" s="36"/>
    </row>
    <row r="540" spans="1:14" s="37" customFormat="1" ht="15.75" hidden="1" customHeight="1" x14ac:dyDescent="0.25">
      <c r="A540" s="97" t="s">
        <v>192</v>
      </c>
      <c r="B540" s="98"/>
      <c r="C540" s="98"/>
      <c r="D540" s="98"/>
      <c r="E540" s="98"/>
      <c r="F540" s="98"/>
      <c r="G540" s="98"/>
      <c r="H540" s="99"/>
      <c r="I540" s="36"/>
    </row>
    <row r="541" spans="1:14" s="37" customFormat="1" ht="15.75" hidden="1" customHeight="1" x14ac:dyDescent="0.25">
      <c r="A541" s="42">
        <v>1</v>
      </c>
      <c r="B541" s="42" t="s">
        <v>183</v>
      </c>
      <c r="C541" s="42" t="s">
        <v>187</v>
      </c>
      <c r="D541" s="52">
        <f>(40.74)*(10.764)</f>
        <v>438.52535999999998</v>
      </c>
      <c r="E541" s="42">
        <v>0</v>
      </c>
      <c r="F541" s="42">
        <f>D541*(($F$519)+1)+(IF(E541&lt;101,E541,IF(E541&lt;201,E541/2,IF(E541&lt;=301,E541/3,E541/4))))</f>
        <v>679.71430799999996</v>
      </c>
      <c r="G541" s="141" t="str">
        <f>A540</f>
        <v>21st, 22nd, 23rd Floor</v>
      </c>
      <c r="H541" s="142"/>
      <c r="I541" s="36"/>
    </row>
    <row r="542" spans="1:14" s="37" customFormat="1" ht="15.75" hidden="1" customHeight="1" x14ac:dyDescent="0.25">
      <c r="A542" s="42">
        <v>2</v>
      </c>
      <c r="B542" s="42" t="s">
        <v>183</v>
      </c>
      <c r="C542" s="42" t="s">
        <v>187</v>
      </c>
      <c r="D542" s="52">
        <f>(40.74)*(10.764)</f>
        <v>438.52535999999998</v>
      </c>
      <c r="E542" s="42">
        <v>0</v>
      </c>
      <c r="F542" s="42">
        <f>D542*(($F$519)+1)+(IF(E542&lt;101,E542,IF(E542&lt;201,E542/2,IF(E542&lt;=301,E542/3,E542/4))))</f>
        <v>679.71430799999996</v>
      </c>
      <c r="G542" s="143"/>
      <c r="H542" s="144"/>
      <c r="I542" s="36"/>
    </row>
    <row r="543" spans="1:14" s="37" customFormat="1" ht="15.75" hidden="1" customHeight="1" x14ac:dyDescent="0.25">
      <c r="A543" s="42">
        <v>3</v>
      </c>
      <c r="B543" s="42" t="s">
        <v>183</v>
      </c>
      <c r="C543" s="42" t="s">
        <v>187</v>
      </c>
      <c r="D543" s="52">
        <f>(40.74)*(10.764)</f>
        <v>438.52535999999998</v>
      </c>
      <c r="E543" s="42">
        <v>0</v>
      </c>
      <c r="F543" s="42">
        <f>D543*(($F$519)+1)+(IF(E543&lt;101,E543,IF(E543&lt;201,E543/2,IF(E543&lt;=301,E543/3,E543/4))))</f>
        <v>679.71430799999996</v>
      </c>
      <c r="G543" s="143"/>
      <c r="H543" s="144"/>
      <c r="I543" s="36"/>
    </row>
    <row r="544" spans="1:14" s="37" customFormat="1" ht="15.75" hidden="1" customHeight="1" x14ac:dyDescent="0.25">
      <c r="A544" s="42">
        <v>4</v>
      </c>
      <c r="B544" s="42" t="s">
        <v>183</v>
      </c>
      <c r="C544" s="42" t="s">
        <v>187</v>
      </c>
      <c r="D544" s="52">
        <f>(40.63)*(10.764)</f>
        <v>437.34132</v>
      </c>
      <c r="E544" s="42">
        <v>0</v>
      </c>
      <c r="F544" s="42">
        <f>D544*(($F$519)+1)+(IF(E544&lt;101,E544,IF(E544&lt;201,E544/2,IF(E544&lt;=301,E544/3,E544/4))))</f>
        <v>677.87904600000002</v>
      </c>
      <c r="G544" s="143"/>
      <c r="H544" s="144"/>
      <c r="I544" s="36"/>
    </row>
    <row r="545" spans="1:9" s="37" customFormat="1" ht="15.75" hidden="1" customHeight="1" x14ac:dyDescent="0.25">
      <c r="A545" s="42">
        <v>5</v>
      </c>
      <c r="B545" s="42" t="s">
        <v>183</v>
      </c>
      <c r="C545" s="42" t="s">
        <v>187</v>
      </c>
      <c r="D545" s="52">
        <f>(40.63)*(10.764)</f>
        <v>437.34132</v>
      </c>
      <c r="E545" s="42">
        <v>0</v>
      </c>
      <c r="F545" s="42">
        <f>D545*(($F$519)+1)+(IF(E545&lt;101,E545,IF(E545&lt;201,E545/2,IF(E545&lt;=301,E545/3,E545/4))))</f>
        <v>677.87904600000002</v>
      </c>
      <c r="G545" s="145"/>
      <c r="H545" s="146"/>
      <c r="I545" s="36"/>
    </row>
    <row r="546" spans="1:9" s="37" customFormat="1" ht="15.75" hidden="1" customHeight="1" x14ac:dyDescent="0.25">
      <c r="A546" s="97" t="s">
        <v>193</v>
      </c>
      <c r="B546" s="98"/>
      <c r="C546" s="98"/>
      <c r="D546" s="98"/>
      <c r="E546" s="98"/>
      <c r="F546" s="98"/>
      <c r="G546" s="98"/>
      <c r="H546" s="99"/>
      <c r="I546" s="36"/>
    </row>
    <row r="547" spans="1:9" s="37" customFormat="1" ht="15.75" hidden="1" customHeight="1" x14ac:dyDescent="0.25">
      <c r="A547" s="97" t="s">
        <v>194</v>
      </c>
      <c r="B547" s="98"/>
      <c r="C547" s="98"/>
      <c r="D547" s="98"/>
      <c r="E547" s="98"/>
      <c r="F547" s="98"/>
      <c r="G547" s="98"/>
      <c r="H547" s="99"/>
      <c r="I547" s="36"/>
    </row>
    <row r="548" spans="1:9" s="37" customFormat="1" ht="15.75" hidden="1" customHeight="1" x14ac:dyDescent="0.25">
      <c r="A548" s="42">
        <v>1</v>
      </c>
      <c r="B548" s="42" t="s">
        <v>183</v>
      </c>
      <c r="C548" s="42" t="s">
        <v>187</v>
      </c>
      <c r="D548" s="52">
        <f>(40.74)*(10.764)</f>
        <v>438.52535999999998</v>
      </c>
      <c r="E548" s="42">
        <v>0</v>
      </c>
      <c r="F548" s="42">
        <f>D548*(($F$519)+1)+(IF(E548&lt;101,E548,IF(E548&lt;201,E548/2,IF(E548&lt;=301,E548/3,E548/4))))</f>
        <v>679.71430799999996</v>
      </c>
      <c r="G548" s="141" t="str">
        <f>A547</f>
        <v>1st to 7th, 9th to 14th &amp; 16th to 19th Floor For Residential</v>
      </c>
      <c r="H548" s="142"/>
      <c r="I548" s="36"/>
    </row>
    <row r="549" spans="1:9" s="37" customFormat="1" ht="15.75" hidden="1" customHeight="1" x14ac:dyDescent="0.25">
      <c r="A549" s="42">
        <v>2</v>
      </c>
      <c r="B549" s="42" t="s">
        <v>183</v>
      </c>
      <c r="C549" s="42" t="s">
        <v>187</v>
      </c>
      <c r="D549" s="52">
        <f>(40.74)*(10.764)</f>
        <v>438.52535999999998</v>
      </c>
      <c r="E549" s="42">
        <v>0</v>
      </c>
      <c r="F549" s="42">
        <f>D549*(($F$519)+1)+(IF(E549&lt;101,E549,IF(E549&lt;201,E549/2,IF(E549&lt;=301,E549/3,E549/4))))</f>
        <v>679.71430799999996</v>
      </c>
      <c r="G549" s="143"/>
      <c r="H549" s="144"/>
      <c r="I549" s="36"/>
    </row>
    <row r="550" spans="1:9" s="37" customFormat="1" ht="15.75" hidden="1" customHeight="1" x14ac:dyDescent="0.25">
      <c r="A550" s="42">
        <v>3</v>
      </c>
      <c r="B550" s="42" t="s">
        <v>183</v>
      </c>
      <c r="C550" s="42" t="s">
        <v>187</v>
      </c>
      <c r="D550" s="52">
        <f>(40.74)*(10.764)</f>
        <v>438.52535999999998</v>
      </c>
      <c r="E550" s="42">
        <v>0</v>
      </c>
      <c r="F550" s="42">
        <f>D550*(($F$519)+1)+(IF(E550&lt;101,E550,IF(E550&lt;201,E550/2,IF(E550&lt;=301,E550/3,E550/4))))</f>
        <v>679.71430799999996</v>
      </c>
      <c r="G550" s="143"/>
      <c r="H550" s="144"/>
      <c r="I550" s="36"/>
    </row>
    <row r="551" spans="1:9" s="37" customFormat="1" ht="15.75" hidden="1" customHeight="1" x14ac:dyDescent="0.25">
      <c r="A551" s="42">
        <v>4</v>
      </c>
      <c r="B551" s="42" t="s">
        <v>183</v>
      </c>
      <c r="C551" s="42" t="s">
        <v>187</v>
      </c>
      <c r="D551" s="52">
        <f>(40.63)*(10.764)</f>
        <v>437.34132</v>
      </c>
      <c r="E551" s="42">
        <v>0</v>
      </c>
      <c r="F551" s="42">
        <f>D551*(($F$519)+1)+(IF(E551&lt;101,E551,IF(E551&lt;201,E551/2,IF(E551&lt;=301,E551/3,E551/4))))</f>
        <v>677.87904600000002</v>
      </c>
      <c r="G551" s="143"/>
      <c r="H551" s="144"/>
      <c r="I551" s="36"/>
    </row>
    <row r="552" spans="1:9" s="37" customFormat="1" ht="15.75" hidden="1" customHeight="1" x14ac:dyDescent="0.25">
      <c r="A552" s="42">
        <v>5</v>
      </c>
      <c r="B552" s="42" t="s">
        <v>183</v>
      </c>
      <c r="C552" s="42" t="s">
        <v>187</v>
      </c>
      <c r="D552" s="52">
        <f>(40.63)*(10.764)</f>
        <v>437.34132</v>
      </c>
      <c r="E552" s="42">
        <v>0</v>
      </c>
      <c r="F552" s="42">
        <f>D552*(($F$519)+1)+(IF(E552&lt;101,E552,IF(E552&lt;201,E552/2,IF(E552&lt;=301,E552/3,E552/4))))</f>
        <v>677.87904600000002</v>
      </c>
      <c r="G552" s="145"/>
      <c r="H552" s="146"/>
      <c r="I552" s="36"/>
    </row>
    <row r="553" spans="1:9" s="37" customFormat="1" ht="15.75" hidden="1" customHeight="1" x14ac:dyDescent="0.25">
      <c r="A553" s="97" t="s">
        <v>195</v>
      </c>
      <c r="B553" s="98"/>
      <c r="C553" s="98"/>
      <c r="D553" s="98"/>
      <c r="E553" s="98"/>
      <c r="F553" s="98"/>
      <c r="G553" s="98"/>
      <c r="H553" s="99"/>
      <c r="I553" s="36"/>
    </row>
    <row r="554" spans="1:9" s="37" customFormat="1" hidden="1" x14ac:dyDescent="0.25">
      <c r="A554" s="42">
        <v>1</v>
      </c>
      <c r="B554" s="42" t="s">
        <v>183</v>
      </c>
      <c r="C554" s="42" t="s">
        <v>187</v>
      </c>
      <c r="D554" s="52">
        <f>(40.74)*(10.764)</f>
        <v>438.52535999999998</v>
      </c>
      <c r="E554" s="42">
        <v>0</v>
      </c>
      <c r="F554" s="42">
        <f>D554*(($F$519)+1)+(IF(E554&lt;101,E554,IF(E554&lt;201,E554/2,IF(E554&lt;=301,E554/3,E554/4))))</f>
        <v>679.71430799999996</v>
      </c>
      <c r="G554" s="141" t="str">
        <f>A553</f>
        <v>8th Floor For Residential &amp; Fitness Center (Part Refuge Area)</v>
      </c>
      <c r="H554" s="142"/>
      <c r="I554" s="36"/>
    </row>
    <row r="555" spans="1:9" s="37" customFormat="1" hidden="1" x14ac:dyDescent="0.25">
      <c r="A555" s="42">
        <v>2</v>
      </c>
      <c r="B555" s="42" t="s">
        <v>190</v>
      </c>
      <c r="C555" s="42" t="s">
        <v>190</v>
      </c>
      <c r="D555" s="147" t="s">
        <v>191</v>
      </c>
      <c r="E555" s="153"/>
      <c r="F555" s="148"/>
      <c r="G555" s="143"/>
      <c r="H555" s="144"/>
      <c r="I555" s="36"/>
    </row>
    <row r="556" spans="1:9" s="37" customFormat="1" ht="15.75" hidden="1" customHeight="1" x14ac:dyDescent="0.25">
      <c r="A556" s="42">
        <v>3</v>
      </c>
      <c r="B556" s="42" t="s">
        <v>190</v>
      </c>
      <c r="C556" s="42" t="s">
        <v>190</v>
      </c>
      <c r="D556" s="147" t="s">
        <v>196</v>
      </c>
      <c r="E556" s="153">
        <v>0</v>
      </c>
      <c r="F556" s="148" t="e">
        <f>D556*(($F$519)+1)+(IF(E556&lt;101,E556,IF(E556&lt;201,E556/2,IF(E556&lt;=301,E556/3,E556/4))))</f>
        <v>#VALUE!</v>
      </c>
      <c r="G556" s="143"/>
      <c r="H556" s="144"/>
      <c r="I556" s="36"/>
    </row>
    <row r="557" spans="1:9" s="37" customFormat="1" ht="15.75" hidden="1" customHeight="1" x14ac:dyDescent="0.25">
      <c r="A557" s="42">
        <v>4</v>
      </c>
      <c r="B557" s="42" t="s">
        <v>183</v>
      </c>
      <c r="C557" s="42" t="s">
        <v>187</v>
      </c>
      <c r="D557" s="52">
        <f>(40.63)*(10.764)</f>
        <v>437.34132</v>
      </c>
      <c r="E557" s="42">
        <v>0</v>
      </c>
      <c r="F557" s="42">
        <f>D557*(($F$519)+1)+(IF(E557&lt;101,E557,IF(E557&lt;201,E557/2,IF(E557&lt;=301,E557/3,E557/4))))</f>
        <v>677.87904600000002</v>
      </c>
      <c r="G557" s="143"/>
      <c r="H557" s="144"/>
      <c r="I557" s="36"/>
    </row>
    <row r="558" spans="1:9" s="37" customFormat="1" ht="15.75" hidden="1" customHeight="1" x14ac:dyDescent="0.25">
      <c r="A558" s="42">
        <v>5</v>
      </c>
      <c r="B558" s="42" t="s">
        <v>183</v>
      </c>
      <c r="C558" s="42" t="s">
        <v>187</v>
      </c>
      <c r="D558" s="52">
        <f>(40.63)*(10.764)</f>
        <v>437.34132</v>
      </c>
      <c r="E558" s="42">
        <v>0</v>
      </c>
      <c r="F558" s="42">
        <f>D558*(($F$519)+1)+(IF(E558&lt;101,E558,IF(E558&lt;201,E558/2,IF(E558&lt;=301,E558/3,E558/4))))</f>
        <v>677.87904600000002</v>
      </c>
      <c r="G558" s="145"/>
      <c r="H558" s="146"/>
      <c r="I558" s="36"/>
    </row>
    <row r="559" spans="1:9" s="37" customFormat="1" ht="15.75" hidden="1" customHeight="1" x14ac:dyDescent="0.25">
      <c r="A559" s="97" t="s">
        <v>189</v>
      </c>
      <c r="B559" s="98"/>
      <c r="C559" s="98"/>
      <c r="D559" s="98"/>
      <c r="E559" s="98"/>
      <c r="F559" s="98"/>
      <c r="G559" s="98"/>
      <c r="H559" s="99"/>
      <c r="I559" s="36"/>
    </row>
    <row r="560" spans="1:9" s="37" customFormat="1" hidden="1" x14ac:dyDescent="0.25">
      <c r="A560" s="42">
        <v>1</v>
      </c>
      <c r="B560" s="42" t="s">
        <v>183</v>
      </c>
      <c r="C560" s="42" t="s">
        <v>187</v>
      </c>
      <c r="D560" s="52">
        <f>(40.74)*(10.764)</f>
        <v>438.52535999999998</v>
      </c>
      <c r="E560" s="42">
        <v>0</v>
      </c>
      <c r="F560" s="42">
        <f>D560*(($F$519)+1)+(IF(E560&lt;101,E560,IF(E560&lt;201,E560/2,IF(E560&lt;=301,E560/3,E560/4))))</f>
        <v>679.71430799999996</v>
      </c>
      <c r="G560" s="141" t="str">
        <f>A559</f>
        <v>15th Floor (Part Refuge Area)</v>
      </c>
      <c r="H560" s="142"/>
      <c r="I560" s="36"/>
    </row>
    <row r="561" spans="1:11" s="37" customFormat="1" hidden="1" x14ac:dyDescent="0.25">
      <c r="A561" s="42">
        <v>2</v>
      </c>
      <c r="B561" s="42" t="s">
        <v>190</v>
      </c>
      <c r="C561" s="42" t="s">
        <v>190</v>
      </c>
      <c r="D561" s="147" t="s">
        <v>191</v>
      </c>
      <c r="E561" s="153">
        <v>0</v>
      </c>
      <c r="F561" s="148" t="e">
        <f>D561*(($F$519)+1)+(IF(E561&lt;101,E561,IF(E561&lt;201,E561/2,IF(E561&lt;=301,E561/3,E561/4))))</f>
        <v>#VALUE!</v>
      </c>
      <c r="G561" s="143"/>
      <c r="H561" s="144"/>
      <c r="I561" s="36"/>
    </row>
    <row r="562" spans="1:11" s="37" customFormat="1" ht="15.75" hidden="1" customHeight="1" x14ac:dyDescent="0.25">
      <c r="A562" s="42">
        <v>3</v>
      </c>
      <c r="B562" s="42" t="s">
        <v>183</v>
      </c>
      <c r="C562" s="42" t="s">
        <v>187</v>
      </c>
      <c r="D562" s="52">
        <f>(40.74)*(10.764)</f>
        <v>438.52535999999998</v>
      </c>
      <c r="E562" s="42">
        <v>0</v>
      </c>
      <c r="F562" s="42">
        <f>D562*(($F$519)+1)+(IF(E562&lt;101,E562,IF(E562&lt;201,E562/2,IF(E562&lt;=301,E562/3,E562/4))))</f>
        <v>679.71430799999996</v>
      </c>
      <c r="G562" s="143"/>
      <c r="H562" s="144"/>
      <c r="I562" s="36"/>
    </row>
    <row r="563" spans="1:11" s="37" customFormat="1" ht="15.75" hidden="1" customHeight="1" x14ac:dyDescent="0.25">
      <c r="A563" s="42">
        <v>4</v>
      </c>
      <c r="B563" s="42" t="s">
        <v>183</v>
      </c>
      <c r="C563" s="42" t="s">
        <v>187</v>
      </c>
      <c r="D563" s="52">
        <f>(40.63)*(10.764)</f>
        <v>437.34132</v>
      </c>
      <c r="E563" s="42">
        <v>0</v>
      </c>
      <c r="F563" s="42">
        <f>D563*(($F$519)+1)+(IF(E563&lt;101,E563,IF(E563&lt;201,E563/2,IF(E563&lt;=301,E563/3,E563/4))))</f>
        <v>677.87904600000002</v>
      </c>
      <c r="G563" s="143"/>
      <c r="H563" s="144"/>
      <c r="I563" s="36"/>
    </row>
    <row r="564" spans="1:11" s="37" customFormat="1" ht="15.75" hidden="1" customHeight="1" x14ac:dyDescent="0.25">
      <c r="A564" s="42">
        <v>5</v>
      </c>
      <c r="B564" s="42" t="s">
        <v>183</v>
      </c>
      <c r="C564" s="42" t="s">
        <v>187</v>
      </c>
      <c r="D564" s="52">
        <f>(40.63)*(10.764)</f>
        <v>437.34132</v>
      </c>
      <c r="E564" s="42">
        <v>0</v>
      </c>
      <c r="F564" s="42">
        <f>D564*(($F$519)+1)+(IF(E564&lt;101,E564,IF(E564&lt;201,E564/2,IF(E564&lt;=301,E564/3,E564/4))))</f>
        <v>677.87904600000002</v>
      </c>
      <c r="G564" s="145"/>
      <c r="H564" s="146"/>
      <c r="I564" s="36"/>
    </row>
    <row r="565" spans="1:11" s="37" customFormat="1" hidden="1" x14ac:dyDescent="0.25">
      <c r="A565" s="97" t="s">
        <v>197</v>
      </c>
      <c r="B565" s="98"/>
      <c r="C565" s="98"/>
      <c r="D565" s="98"/>
      <c r="E565" s="98"/>
      <c r="F565" s="98"/>
      <c r="G565" s="98"/>
      <c r="H565" s="99"/>
      <c r="I565" s="36"/>
    </row>
    <row r="566" spans="1:11" s="37" customFormat="1" hidden="1" x14ac:dyDescent="0.25">
      <c r="A566" s="42">
        <v>1</v>
      </c>
      <c r="B566" s="42" t="s">
        <v>183</v>
      </c>
      <c r="C566" s="42" t="s">
        <v>187</v>
      </c>
      <c r="D566" s="52">
        <f>(40.74)*(10.764)</f>
        <v>438.52535999999998</v>
      </c>
      <c r="E566" s="42">
        <v>0</v>
      </c>
      <c r="F566" s="42">
        <f>D566*(($F$519)+1)+(IF(E566&lt;101,E566,IF(E566&lt;201,E566/2,IF(E566&lt;=301,E566/3,E566/4))))</f>
        <v>679.71430799999996</v>
      </c>
      <c r="G566" s="141" t="str">
        <f>A565</f>
        <v>20th Floor</v>
      </c>
      <c r="H566" s="142"/>
      <c r="I566" s="36"/>
    </row>
    <row r="567" spans="1:11" s="37" customFormat="1" hidden="1" x14ac:dyDescent="0.25">
      <c r="A567" s="42">
        <v>2</v>
      </c>
      <c r="B567" s="42" t="s">
        <v>183</v>
      </c>
      <c r="C567" s="42" t="s">
        <v>187</v>
      </c>
      <c r="D567" s="52">
        <f>(40.74)*(10.764)</f>
        <v>438.52535999999998</v>
      </c>
      <c r="E567" s="42">
        <v>0</v>
      </c>
      <c r="F567" s="42">
        <f>D567*(($F$519)+1)+(IF(E567&lt;101,E567,IF(E567&lt;201,E567/2,IF(E567&lt;=301,E567/3,E567/4))))</f>
        <v>679.71430799999996</v>
      </c>
      <c r="G567" s="143"/>
      <c r="H567" s="144"/>
      <c r="I567" s="36"/>
    </row>
    <row r="568" spans="1:11" s="37" customFormat="1" hidden="1" x14ac:dyDescent="0.25">
      <c r="A568" s="42">
        <v>3</v>
      </c>
      <c r="B568" s="42" t="s">
        <v>183</v>
      </c>
      <c r="C568" s="42" t="s">
        <v>187</v>
      </c>
      <c r="D568" s="52">
        <f>(40.74)*(10.764)</f>
        <v>438.52535999999998</v>
      </c>
      <c r="E568" s="42">
        <v>0</v>
      </c>
      <c r="F568" s="42">
        <f>D568*(($F$519)+1)+(IF(E568&lt;101,E568,IF(E568&lt;201,E568/2,IF(E568&lt;=301,E568/3,E568/4))))</f>
        <v>679.71430799999996</v>
      </c>
      <c r="G568" s="143"/>
      <c r="H568" s="144"/>
      <c r="I568" s="36"/>
    </row>
    <row r="569" spans="1:11" s="37" customFormat="1" hidden="1" x14ac:dyDescent="0.25">
      <c r="A569" s="42">
        <v>4</v>
      </c>
      <c r="B569" s="42" t="s">
        <v>183</v>
      </c>
      <c r="C569" s="42" t="s">
        <v>187</v>
      </c>
      <c r="D569" s="52">
        <f>(40.63)*(10.764)</f>
        <v>437.34132</v>
      </c>
      <c r="E569" s="42">
        <v>0</v>
      </c>
      <c r="F569" s="42">
        <f>D569*(($F$519)+1)+(IF(E569&lt;101,E569,IF(E569&lt;201,E569/2,IF(E569&lt;=301,E569/3,E569/4))))</f>
        <v>677.87904600000002</v>
      </c>
      <c r="G569" s="143"/>
      <c r="H569" s="144"/>
      <c r="I569" s="36"/>
      <c r="K569" s="37" t="s">
        <v>236</v>
      </c>
    </row>
    <row r="570" spans="1:11" s="37" customFormat="1" hidden="1" x14ac:dyDescent="0.25">
      <c r="A570" s="42">
        <v>5</v>
      </c>
      <c r="B570" s="42" t="s">
        <v>183</v>
      </c>
      <c r="C570" s="42" t="s">
        <v>187</v>
      </c>
      <c r="D570" s="52">
        <f>(40.63)*(10.764)</f>
        <v>437.34132</v>
      </c>
      <c r="E570" s="42">
        <v>0</v>
      </c>
      <c r="F570" s="42">
        <f>D570*(($F$519)+1)+(IF(E570&lt;101,E570,IF(E570&lt;201,E570/2,IF(E570&lt;=301,E570/3,E570/4))))</f>
        <v>677.87904600000002</v>
      </c>
      <c r="G570" s="145"/>
      <c r="H570" s="146"/>
      <c r="I570" s="36"/>
    </row>
    <row r="571" spans="1:11" s="37" customFormat="1" hidden="1" x14ac:dyDescent="0.25">
      <c r="A571" s="97" t="s">
        <v>192</v>
      </c>
      <c r="B571" s="98"/>
      <c r="C571" s="98"/>
      <c r="D571" s="98"/>
      <c r="E571" s="98"/>
      <c r="F571" s="98"/>
      <c r="G571" s="98"/>
      <c r="H571" s="99"/>
      <c r="I571" s="36"/>
    </row>
    <row r="572" spans="1:11" s="37" customFormat="1" hidden="1" x14ac:dyDescent="0.25">
      <c r="A572" s="42">
        <v>1</v>
      </c>
      <c r="B572" s="42" t="s">
        <v>183</v>
      </c>
      <c r="C572" s="42" t="s">
        <v>187</v>
      </c>
      <c r="D572" s="52">
        <f>(40.74)*(10.764)</f>
        <v>438.52535999999998</v>
      </c>
      <c r="E572" s="42">
        <v>0</v>
      </c>
      <c r="F572" s="42">
        <f>D572*(($F$519)+1)+(IF(E572&lt;101,E572,IF(E572&lt;201,E572/2,IF(E572&lt;=301,E572/3,E572/4))))</f>
        <v>679.71430799999996</v>
      </c>
      <c r="G572" s="141" t="str">
        <f>A571</f>
        <v>21st, 22nd, 23rd Floor</v>
      </c>
      <c r="H572" s="142"/>
      <c r="I572" s="36"/>
    </row>
    <row r="573" spans="1:11" s="37" customFormat="1" hidden="1" x14ac:dyDescent="0.25">
      <c r="A573" s="42">
        <v>2</v>
      </c>
      <c r="B573" s="42" t="s">
        <v>183</v>
      </c>
      <c r="C573" s="42" t="s">
        <v>187</v>
      </c>
      <c r="D573" s="52">
        <f>(40.74)*(10.764)</f>
        <v>438.52535999999998</v>
      </c>
      <c r="E573" s="42">
        <v>0</v>
      </c>
      <c r="F573" s="42">
        <f>D573*(($F$519)+1)+(IF(E573&lt;101,E573,IF(E573&lt;201,E573/2,IF(E573&lt;=301,E573/3,E573/4))))</f>
        <v>679.71430799999996</v>
      </c>
      <c r="G573" s="143"/>
      <c r="H573" s="144"/>
      <c r="I573" s="36"/>
    </row>
    <row r="574" spans="1:11" s="37" customFormat="1" hidden="1" x14ac:dyDescent="0.25">
      <c r="A574" s="42">
        <v>3</v>
      </c>
      <c r="B574" s="42" t="s">
        <v>183</v>
      </c>
      <c r="C574" s="42" t="s">
        <v>187</v>
      </c>
      <c r="D574" s="52">
        <f>(40.74)*(10.764)</f>
        <v>438.52535999999998</v>
      </c>
      <c r="E574" s="42">
        <v>0</v>
      </c>
      <c r="F574" s="42">
        <f>D574*(($F$519)+1)+(IF(E574&lt;101,E574,IF(E574&lt;201,E574/2,IF(E574&lt;=301,E574/3,E574/4))))</f>
        <v>679.71430799999996</v>
      </c>
      <c r="G574" s="143"/>
      <c r="H574" s="144"/>
      <c r="I574" s="36"/>
    </row>
    <row r="575" spans="1:11" s="37" customFormat="1" hidden="1" x14ac:dyDescent="0.25">
      <c r="A575" s="42">
        <v>4</v>
      </c>
      <c r="B575" s="42" t="s">
        <v>183</v>
      </c>
      <c r="C575" s="42" t="s">
        <v>187</v>
      </c>
      <c r="D575" s="52">
        <f>(40.63)*(10.764)</f>
        <v>437.34132</v>
      </c>
      <c r="E575" s="42">
        <v>0</v>
      </c>
      <c r="F575" s="42">
        <f>D575*(($F$519)+1)+(IF(E575&lt;101,E575,IF(E575&lt;201,E575/2,IF(E575&lt;=301,E575/3,E575/4))))</f>
        <v>677.87904600000002</v>
      </c>
      <c r="G575" s="143"/>
      <c r="H575" s="144"/>
      <c r="I575" s="36"/>
    </row>
    <row r="576" spans="1:11" s="37" customFormat="1" hidden="1" x14ac:dyDescent="0.25">
      <c r="A576" s="42">
        <v>5</v>
      </c>
      <c r="B576" s="42" t="s">
        <v>183</v>
      </c>
      <c r="C576" s="42" t="s">
        <v>187</v>
      </c>
      <c r="D576" s="52">
        <f>(40.63)*(10.764)</f>
        <v>437.34132</v>
      </c>
      <c r="E576" s="42">
        <v>0</v>
      </c>
      <c r="F576" s="42">
        <f>D576*(($F$519)+1)+(IF(E576&lt;101,E576,IF(E576&lt;201,E576/2,IF(E576&lt;=301,E576/3,E576/4))))</f>
        <v>677.87904600000002</v>
      </c>
      <c r="G576" s="145"/>
      <c r="H576" s="146"/>
      <c r="I576" s="36"/>
    </row>
    <row r="577" spans="1:9" s="37" customFormat="1" hidden="1" x14ac:dyDescent="0.25">
      <c r="A577" s="97" t="s">
        <v>199</v>
      </c>
      <c r="B577" s="98"/>
      <c r="C577" s="98"/>
      <c r="D577" s="98"/>
      <c r="E577" s="98"/>
      <c r="F577" s="98"/>
      <c r="G577" s="98"/>
      <c r="H577" s="99"/>
      <c r="I577" s="36"/>
    </row>
    <row r="578" spans="1:9" s="37" customFormat="1" hidden="1" x14ac:dyDescent="0.25">
      <c r="A578" s="97" t="s">
        <v>232</v>
      </c>
      <c r="B578" s="98"/>
      <c r="C578" s="98"/>
      <c r="D578" s="98"/>
      <c r="E578" s="98"/>
      <c r="F578" s="98"/>
      <c r="G578" s="98"/>
      <c r="H578" s="99"/>
      <c r="I578" s="36"/>
    </row>
    <row r="579" spans="1:9" s="37" customFormat="1" hidden="1" x14ac:dyDescent="0.25">
      <c r="A579" s="97" t="s">
        <v>200</v>
      </c>
      <c r="B579" s="98"/>
      <c r="C579" s="98"/>
      <c r="D579" s="98"/>
      <c r="E579" s="98"/>
      <c r="F579" s="98"/>
      <c r="G579" s="98"/>
      <c r="H579" s="99"/>
      <c r="I579" s="36"/>
    </row>
    <row r="580" spans="1:9" s="37" customFormat="1" hidden="1" x14ac:dyDescent="0.25">
      <c r="A580" s="97" t="s">
        <v>201</v>
      </c>
      <c r="B580" s="98"/>
      <c r="C580" s="98"/>
      <c r="D580" s="98"/>
      <c r="E580" s="98"/>
      <c r="F580" s="98"/>
      <c r="G580" s="98"/>
      <c r="H580" s="99"/>
      <c r="I580" s="36"/>
    </row>
    <row r="581" spans="1:9" s="37" customFormat="1" hidden="1" x14ac:dyDescent="0.25">
      <c r="A581" s="42">
        <v>1</v>
      </c>
      <c r="B581" s="42" t="s">
        <v>203</v>
      </c>
      <c r="C581" s="42" t="s">
        <v>187</v>
      </c>
      <c r="D581" s="52">
        <f>(57.27)*(10.764)</f>
        <v>616.45428000000004</v>
      </c>
      <c r="E581" s="42">
        <v>0</v>
      </c>
      <c r="F581" s="42">
        <f>D581*(($F$519)+1)+(IF(E581&lt;101,E581,IF(E581&lt;201,E581/2,IF(E581&lt;=301,E581/3,E581/4))))</f>
        <v>955.50413400000014</v>
      </c>
      <c r="G581" s="141" t="str">
        <f>A580</f>
        <v>1st to 7th, 9th to 14th Floor For Residential</v>
      </c>
      <c r="H581" s="142"/>
      <c r="I581" s="36"/>
    </row>
    <row r="582" spans="1:9" s="37" customFormat="1" hidden="1" x14ac:dyDescent="0.25">
      <c r="A582" s="42">
        <v>2</v>
      </c>
      <c r="B582" s="42" t="s">
        <v>203</v>
      </c>
      <c r="C582" s="42" t="s">
        <v>202</v>
      </c>
      <c r="D582" s="52">
        <f>(38.28)*(10.764)</f>
        <v>412.04591999999997</v>
      </c>
      <c r="E582" s="42">
        <v>0</v>
      </c>
      <c r="F582" s="42">
        <f>D582*(($F$519)+1)+(IF(E582&lt;101,E582,IF(E582&lt;201,E582/2,IF(E582&lt;=301,E582/3,E582/4))))</f>
        <v>638.67117599999995</v>
      </c>
      <c r="G582" s="143"/>
      <c r="H582" s="144"/>
      <c r="I582" s="52">
        <f>10.764</f>
        <v>10.763999999999999</v>
      </c>
    </row>
    <row r="583" spans="1:9" s="37" customFormat="1" hidden="1" x14ac:dyDescent="0.25">
      <c r="A583" s="42">
        <v>3</v>
      </c>
      <c r="B583" s="42" t="s">
        <v>203</v>
      </c>
      <c r="C583" s="42" t="s">
        <v>202</v>
      </c>
      <c r="D583" s="52">
        <f>(38.28)*(10.764)</f>
        <v>412.04591999999997</v>
      </c>
      <c r="E583" s="42">
        <v>0</v>
      </c>
      <c r="F583" s="42">
        <f>D583*(($F$519)+1)+(IF(E583&lt;101,E583,IF(E583&lt;201,E583/2,IF(E583&lt;=301,E583/3,E583/4))))</f>
        <v>638.67117599999995</v>
      </c>
      <c r="G583" s="143"/>
      <c r="H583" s="144"/>
      <c r="I583" s="36"/>
    </row>
    <row r="584" spans="1:9" s="37" customFormat="1" hidden="1" x14ac:dyDescent="0.25">
      <c r="A584" s="42">
        <v>4</v>
      </c>
      <c r="B584" s="42" t="s">
        <v>203</v>
      </c>
      <c r="C584" s="42" t="s">
        <v>187</v>
      </c>
      <c r="D584" s="52">
        <f>(57.27)*(10.764)</f>
        <v>616.45428000000004</v>
      </c>
      <c r="E584" s="42">
        <v>0</v>
      </c>
      <c r="F584" s="42">
        <f>D584*(($F$519)+1)+(IF(E584&lt;101,E584,IF(E584&lt;201,E584/2,IF(E584&lt;=301,E584/3,E584/4))))</f>
        <v>955.50413400000014</v>
      </c>
      <c r="G584" s="143"/>
      <c r="H584" s="144"/>
      <c r="I584" s="36"/>
    </row>
    <row r="585" spans="1:9" s="37" customFormat="1" hidden="1" x14ac:dyDescent="0.25">
      <c r="A585" s="97" t="s">
        <v>188</v>
      </c>
      <c r="B585" s="98"/>
      <c r="C585" s="98"/>
      <c r="D585" s="98"/>
      <c r="E585" s="98"/>
      <c r="F585" s="98"/>
      <c r="G585" s="98"/>
      <c r="H585" s="99"/>
      <c r="I585" s="36"/>
    </row>
    <row r="586" spans="1:9" s="37" customFormat="1" hidden="1" x14ac:dyDescent="0.25">
      <c r="A586" s="42">
        <v>1</v>
      </c>
      <c r="B586" s="42" t="s">
        <v>203</v>
      </c>
      <c r="C586" s="42" t="s">
        <v>187</v>
      </c>
      <c r="D586" s="52">
        <f>(57.27)*(10.764)</f>
        <v>616.45428000000004</v>
      </c>
      <c r="E586" s="42">
        <v>0</v>
      </c>
      <c r="F586" s="42">
        <f>D586*(($F$519)+1)+(IF(E586&lt;101,E586,IF(E586&lt;201,E586/2,IF(E586&lt;=301,E586/3,E586/4))))</f>
        <v>955.50413400000014</v>
      </c>
      <c r="G586" s="141" t="str">
        <f>A585</f>
        <v>8th Floor (Part Refuge Area)</v>
      </c>
      <c r="H586" s="142"/>
      <c r="I586" s="36"/>
    </row>
    <row r="587" spans="1:9" s="37" customFormat="1" hidden="1" x14ac:dyDescent="0.25">
      <c r="A587" s="42">
        <v>2</v>
      </c>
      <c r="B587" s="42" t="s">
        <v>203</v>
      </c>
      <c r="C587" s="42" t="s">
        <v>202</v>
      </c>
      <c r="D587" s="52">
        <f>(38.28)*(10.764)</f>
        <v>412.04591999999997</v>
      </c>
      <c r="E587" s="42">
        <v>0</v>
      </c>
      <c r="F587" s="42">
        <f>D587*(($F$519)+1)+(IF(E587&lt;101,E587,IF(E587&lt;201,E587/2,IF(E587&lt;=301,E587/3,E587/4))))</f>
        <v>638.67117599999995</v>
      </c>
      <c r="G587" s="143"/>
      <c r="H587" s="144"/>
      <c r="I587" s="36"/>
    </row>
    <row r="588" spans="1:9" s="37" customFormat="1" hidden="1" x14ac:dyDescent="0.25">
      <c r="A588" s="42">
        <v>3</v>
      </c>
      <c r="B588" s="42" t="s">
        <v>203</v>
      </c>
      <c r="C588" s="42" t="s">
        <v>202</v>
      </c>
      <c r="D588" s="52">
        <f>(38.28)*(10.764)</f>
        <v>412.04591999999997</v>
      </c>
      <c r="E588" s="42">
        <v>0</v>
      </c>
      <c r="F588" s="42">
        <f>D588*(($F$519)+1)+(IF(E588&lt;101,E588,IF(E588&lt;201,E588/2,IF(E588&lt;=301,E588/3,E588/4))))</f>
        <v>638.67117599999995</v>
      </c>
      <c r="G588" s="143"/>
      <c r="H588" s="144"/>
      <c r="I588" s="36"/>
    </row>
    <row r="589" spans="1:9" s="37" customFormat="1" hidden="1" x14ac:dyDescent="0.25">
      <c r="A589" s="42">
        <v>4</v>
      </c>
      <c r="B589" s="42" t="s">
        <v>190</v>
      </c>
      <c r="C589" s="42" t="s">
        <v>190</v>
      </c>
      <c r="D589" s="147" t="s">
        <v>191</v>
      </c>
      <c r="E589" s="153"/>
      <c r="F589" s="148"/>
      <c r="G589" s="143"/>
      <c r="H589" s="144"/>
      <c r="I589" s="36"/>
    </row>
    <row r="590" spans="1:9" s="37" customFormat="1" hidden="1" x14ac:dyDescent="0.25">
      <c r="A590" s="97" t="s">
        <v>189</v>
      </c>
      <c r="B590" s="98"/>
      <c r="C590" s="98"/>
      <c r="D590" s="98"/>
      <c r="E590" s="98"/>
      <c r="F590" s="98"/>
      <c r="G590" s="98"/>
      <c r="H590" s="99"/>
      <c r="I590" s="36"/>
    </row>
    <row r="591" spans="1:9" s="37" customFormat="1" hidden="1" x14ac:dyDescent="0.25">
      <c r="A591" s="42">
        <v>1</v>
      </c>
      <c r="B591" s="42" t="s">
        <v>183</v>
      </c>
      <c r="C591" s="42" t="s">
        <v>187</v>
      </c>
      <c r="D591" s="52">
        <f>(57.27)*(10.764)</f>
        <v>616.45428000000004</v>
      </c>
      <c r="E591" s="42">
        <v>0</v>
      </c>
      <c r="F591" s="42">
        <f>D591*(($F$519)+1)+(IF(E591&lt;101,E591,IF(E591&lt;201,E591/2,IF(E591&lt;=301,E591/3,E591/4))))</f>
        <v>955.50413400000014</v>
      </c>
      <c r="G591" s="141" t="str">
        <f>A590</f>
        <v>15th Floor (Part Refuge Area)</v>
      </c>
      <c r="H591" s="142"/>
      <c r="I591" s="36"/>
    </row>
    <row r="592" spans="1:9" s="37" customFormat="1" hidden="1" x14ac:dyDescent="0.25">
      <c r="A592" s="42">
        <v>2</v>
      </c>
      <c r="B592" s="42" t="s">
        <v>183</v>
      </c>
      <c r="C592" s="42" t="s">
        <v>202</v>
      </c>
      <c r="D592" s="52">
        <f>(38.28)*(10.764)</f>
        <v>412.04591999999997</v>
      </c>
      <c r="E592" s="42">
        <v>0</v>
      </c>
      <c r="F592" s="42">
        <f>D592*(($F$519)+1)+(IF(E592&lt;101,E592,IF(E592&lt;201,E592/2,IF(E592&lt;=301,E592/3,E592/4))))</f>
        <v>638.67117599999995</v>
      </c>
      <c r="G592" s="143"/>
      <c r="H592" s="144"/>
      <c r="I592" s="36"/>
    </row>
    <row r="593" spans="1:10" s="37" customFormat="1" hidden="1" x14ac:dyDescent="0.25">
      <c r="A593" s="42">
        <v>3</v>
      </c>
      <c r="B593" s="42" t="s">
        <v>183</v>
      </c>
      <c r="C593" s="42" t="s">
        <v>202</v>
      </c>
      <c r="D593" s="52">
        <f>(38.28)*(10.764)</f>
        <v>412.04591999999997</v>
      </c>
      <c r="E593" s="42">
        <v>0</v>
      </c>
      <c r="F593" s="42">
        <f>D593*(($F$519)+1)+(IF(E593&lt;101,E593,IF(E593&lt;201,E593/2,IF(E593&lt;=301,E593/3,E593/4))))</f>
        <v>638.67117599999995</v>
      </c>
      <c r="G593" s="143"/>
      <c r="H593" s="144"/>
      <c r="I593" s="36"/>
    </row>
    <row r="594" spans="1:10" s="37" customFormat="1" hidden="1" x14ac:dyDescent="0.25">
      <c r="A594" s="42">
        <v>4</v>
      </c>
      <c r="B594" s="42" t="s">
        <v>183</v>
      </c>
      <c r="C594" s="42" t="s">
        <v>190</v>
      </c>
      <c r="D594" s="147" t="s">
        <v>191</v>
      </c>
      <c r="E594" s="153"/>
      <c r="F594" s="148"/>
      <c r="G594" s="143"/>
      <c r="H594" s="144"/>
      <c r="I594" s="36"/>
    </row>
    <row r="595" spans="1:10" s="37" customFormat="1" hidden="1" x14ac:dyDescent="0.25">
      <c r="A595" s="97" t="s">
        <v>204</v>
      </c>
      <c r="B595" s="98"/>
      <c r="C595" s="98"/>
      <c r="D595" s="98"/>
      <c r="E595" s="98"/>
      <c r="F595" s="98"/>
      <c r="G595" s="98"/>
      <c r="H595" s="99"/>
      <c r="I595" s="36"/>
    </row>
    <row r="596" spans="1:10" s="37" customFormat="1" hidden="1" x14ac:dyDescent="0.25">
      <c r="A596" s="42">
        <v>1</v>
      </c>
      <c r="B596" s="42" t="s">
        <v>183</v>
      </c>
      <c r="C596" s="42" t="s">
        <v>187</v>
      </c>
      <c r="D596" s="52">
        <f>(57.27)*(10.764)</f>
        <v>616.45428000000004</v>
      </c>
      <c r="E596" s="42">
        <v>0</v>
      </c>
      <c r="F596" s="42">
        <f>D596*(($F$519)+1)+(IF(E596&lt;101,E596,IF(E596&lt;201,E596/2,IF(E596&lt;=301,E596/3,E596/4))))</f>
        <v>955.50413400000014</v>
      </c>
      <c r="G596" s="141" t="str">
        <f>A595</f>
        <v>16th to 23rd Floor</v>
      </c>
      <c r="H596" s="142"/>
      <c r="I596" s="36"/>
    </row>
    <row r="597" spans="1:10" s="37" customFormat="1" hidden="1" x14ac:dyDescent="0.25">
      <c r="A597" s="42">
        <v>2</v>
      </c>
      <c r="B597" s="42" t="s">
        <v>183</v>
      </c>
      <c r="C597" s="42" t="s">
        <v>202</v>
      </c>
      <c r="D597" s="52">
        <f>(38.28)*(10.764)</f>
        <v>412.04591999999997</v>
      </c>
      <c r="E597" s="42">
        <v>0</v>
      </c>
      <c r="F597" s="42">
        <f>D597*(($F$519)+1)+(IF(E597&lt;101,E597,IF(E597&lt;201,E597/2,IF(E597&lt;=301,E597/3,E597/4))))</f>
        <v>638.67117599999995</v>
      </c>
      <c r="G597" s="143"/>
      <c r="H597" s="144"/>
      <c r="I597" s="36"/>
    </row>
    <row r="598" spans="1:10" s="37" customFormat="1" hidden="1" x14ac:dyDescent="0.25">
      <c r="A598" s="42">
        <v>3</v>
      </c>
      <c r="B598" s="42" t="s">
        <v>183</v>
      </c>
      <c r="C598" s="42" t="s">
        <v>202</v>
      </c>
      <c r="D598" s="52">
        <f>(38.28)*(10.764)</f>
        <v>412.04591999999997</v>
      </c>
      <c r="E598" s="42">
        <v>0</v>
      </c>
      <c r="F598" s="42">
        <f>D598*(($F$519)+1)+(IF(E598&lt;101,E598,IF(E598&lt;201,E598/2,IF(E598&lt;=301,E598/3,E598/4))))</f>
        <v>638.67117599999995</v>
      </c>
      <c r="G598" s="143"/>
      <c r="H598" s="144"/>
      <c r="I598" s="36"/>
    </row>
    <row r="599" spans="1:10" s="37" customFormat="1" hidden="1" x14ac:dyDescent="0.25">
      <c r="A599" s="42">
        <v>4</v>
      </c>
      <c r="B599" s="42" t="s">
        <v>183</v>
      </c>
      <c r="C599" s="42" t="s">
        <v>187</v>
      </c>
      <c r="D599" s="52">
        <f>(57.27)*(10.764)</f>
        <v>616.45428000000004</v>
      </c>
      <c r="E599" s="42">
        <v>0</v>
      </c>
      <c r="F599" s="42">
        <f>D599*(($F$519)+1)+(IF(E599&lt;101,E599,IF(E599&lt;201,E599/2,IF(E599&lt;=301,E599/3,E599/4))))</f>
        <v>955.50413400000014</v>
      </c>
      <c r="G599" s="143"/>
      <c r="H599" s="144"/>
      <c r="I599" s="36"/>
    </row>
    <row r="600" spans="1:10" s="37" customFormat="1" hidden="1" x14ac:dyDescent="0.25">
      <c r="A600" s="97" t="s">
        <v>205</v>
      </c>
      <c r="B600" s="98"/>
      <c r="C600" s="98"/>
      <c r="D600" s="98"/>
      <c r="E600" s="98"/>
      <c r="F600" s="98"/>
      <c r="G600" s="98"/>
      <c r="H600" s="99"/>
      <c r="I600" s="36"/>
    </row>
    <row r="601" spans="1:10" s="37" customFormat="1" hidden="1" x14ac:dyDescent="0.25">
      <c r="A601" s="97" t="s">
        <v>180</v>
      </c>
      <c r="B601" s="98"/>
      <c r="C601" s="98"/>
      <c r="D601" s="98"/>
      <c r="E601" s="98"/>
      <c r="F601" s="98"/>
      <c r="G601" s="98"/>
      <c r="H601" s="99"/>
      <c r="I601" s="36"/>
    </row>
    <row r="602" spans="1:10" s="37" customFormat="1" hidden="1" x14ac:dyDescent="0.25">
      <c r="A602" s="97" t="s">
        <v>208</v>
      </c>
      <c r="B602" s="98"/>
      <c r="C602" s="98"/>
      <c r="D602" s="98"/>
      <c r="E602" s="98"/>
      <c r="F602" s="98"/>
      <c r="G602" s="98"/>
      <c r="H602" s="99"/>
      <c r="I602" s="36"/>
    </row>
    <row r="603" spans="1:10" s="37" customFormat="1" hidden="1" x14ac:dyDescent="0.25">
      <c r="A603" s="97" t="s">
        <v>210</v>
      </c>
      <c r="B603" s="98"/>
      <c r="C603" s="98"/>
      <c r="D603" s="98"/>
      <c r="E603" s="98"/>
      <c r="F603" s="98"/>
      <c r="G603" s="98"/>
      <c r="H603" s="99"/>
      <c r="I603" s="36"/>
    </row>
    <row r="604" spans="1:10" s="37" customFormat="1" hidden="1" x14ac:dyDescent="0.25">
      <c r="A604" s="97" t="s">
        <v>180</v>
      </c>
      <c r="B604" s="98"/>
      <c r="C604" s="98"/>
      <c r="D604" s="98"/>
      <c r="E604" s="98"/>
      <c r="F604" s="98"/>
      <c r="G604" s="98"/>
      <c r="H604" s="99"/>
      <c r="I604" s="36"/>
    </row>
    <row r="605" spans="1:10" s="37" customFormat="1" hidden="1" x14ac:dyDescent="0.25">
      <c r="A605" s="97" t="s">
        <v>211</v>
      </c>
      <c r="B605" s="98"/>
      <c r="C605" s="98"/>
      <c r="D605" s="98"/>
      <c r="E605" s="98"/>
      <c r="F605" s="98"/>
      <c r="G605" s="98"/>
      <c r="H605" s="99"/>
      <c r="I605" s="36"/>
    </row>
    <row r="606" spans="1:10" s="37" customFormat="1" ht="15.75" hidden="1" customHeight="1" x14ac:dyDescent="0.25">
      <c r="A606" s="42">
        <v>1</v>
      </c>
      <c r="B606" s="42" t="s">
        <v>212</v>
      </c>
      <c r="C606" s="42" t="s">
        <v>187</v>
      </c>
      <c r="D606" s="52">
        <f>(59.75)*(10.764)</f>
        <v>643.149</v>
      </c>
      <c r="E606" s="42">
        <v>0</v>
      </c>
      <c r="F606" s="42">
        <f t="shared" ref="F606:F613" si="93">D606*(($F$519)+1)+(IF(E606&lt;101,E606,IF(E606&lt;201,E606/2,IF(E606&lt;=301,E606/3,E606/4))))</f>
        <v>996.88094999999998</v>
      </c>
      <c r="G606" s="141" t="str">
        <f>A605</f>
        <v>12th Floor For Residential</v>
      </c>
      <c r="H606" s="142"/>
      <c r="I606" s="36"/>
    </row>
    <row r="607" spans="1:10" s="37" customFormat="1" hidden="1" x14ac:dyDescent="0.25">
      <c r="A607" s="42">
        <v>2</v>
      </c>
      <c r="B607" s="42" t="s">
        <v>212</v>
      </c>
      <c r="C607" s="42" t="s">
        <v>202</v>
      </c>
      <c r="D607" s="52">
        <f>(39.41)*(10.764)</f>
        <v>424.20923999999997</v>
      </c>
      <c r="E607" s="42">
        <v>0</v>
      </c>
      <c r="F607" s="42">
        <f t="shared" si="93"/>
        <v>657.52432199999998</v>
      </c>
      <c r="G607" s="143"/>
      <c r="H607" s="144"/>
      <c r="I607" s="36"/>
      <c r="J607" s="37">
        <f>29-15</f>
        <v>14</v>
      </c>
    </row>
    <row r="608" spans="1:10" s="37" customFormat="1" hidden="1" x14ac:dyDescent="0.25">
      <c r="A608" s="42">
        <v>3</v>
      </c>
      <c r="B608" s="42" t="s">
        <v>212</v>
      </c>
      <c r="C608" s="42" t="s">
        <v>202</v>
      </c>
      <c r="D608" s="52">
        <f>(39.41)*(10.764)</f>
        <v>424.20923999999997</v>
      </c>
      <c r="E608" s="42">
        <v>0</v>
      </c>
      <c r="F608" s="42">
        <f t="shared" si="93"/>
        <v>657.52432199999998</v>
      </c>
      <c r="G608" s="143"/>
      <c r="H608" s="144"/>
      <c r="I608" s="36"/>
      <c r="J608" s="37">
        <f>12500000/F607</f>
        <v>19010.703607097897</v>
      </c>
    </row>
    <row r="609" spans="1:10" s="37" customFormat="1" hidden="1" x14ac:dyDescent="0.25">
      <c r="A609" s="42">
        <v>4</v>
      </c>
      <c r="B609" s="42" t="s">
        <v>212</v>
      </c>
      <c r="C609" s="42" t="s">
        <v>187</v>
      </c>
      <c r="D609" s="52">
        <f>(59.75)*(10.764)</f>
        <v>643.149</v>
      </c>
      <c r="E609" s="42">
        <v>0</v>
      </c>
      <c r="F609" s="42">
        <f t="shared" si="93"/>
        <v>996.88094999999998</v>
      </c>
      <c r="G609" s="143"/>
      <c r="H609" s="144"/>
      <c r="I609" s="36"/>
    </row>
    <row r="610" spans="1:10" s="37" customFormat="1" hidden="1" x14ac:dyDescent="0.25">
      <c r="A610" s="42">
        <v>5</v>
      </c>
      <c r="B610" s="42" t="s">
        <v>212</v>
      </c>
      <c r="C610" s="42" t="s">
        <v>187</v>
      </c>
      <c r="D610" s="52">
        <f>(59.75)*(10.764)</f>
        <v>643.149</v>
      </c>
      <c r="E610" s="42">
        <v>0</v>
      </c>
      <c r="F610" s="42">
        <f t="shared" si="93"/>
        <v>996.88094999999998</v>
      </c>
      <c r="G610" s="143"/>
      <c r="H610" s="144"/>
      <c r="I610" s="36"/>
      <c r="J610" s="37">
        <f>19000000/F609</f>
        <v>19059.447369317269</v>
      </c>
    </row>
    <row r="611" spans="1:10" s="37" customFormat="1" hidden="1" x14ac:dyDescent="0.25">
      <c r="A611" s="42">
        <v>6</v>
      </c>
      <c r="B611" s="42" t="s">
        <v>212</v>
      </c>
      <c r="C611" s="42" t="s">
        <v>202</v>
      </c>
      <c r="D611" s="52">
        <f>(39.41)*(10.764)</f>
        <v>424.20923999999997</v>
      </c>
      <c r="E611" s="42">
        <v>0</v>
      </c>
      <c r="F611" s="42">
        <f t="shared" si="93"/>
        <v>657.52432199999998</v>
      </c>
      <c r="G611" s="143"/>
      <c r="H611" s="144"/>
      <c r="I611" s="36"/>
    </row>
    <row r="612" spans="1:10" s="37" customFormat="1" hidden="1" x14ac:dyDescent="0.25">
      <c r="A612" s="42">
        <v>7</v>
      </c>
      <c r="B612" s="42" t="s">
        <v>212</v>
      </c>
      <c r="C612" s="42" t="s">
        <v>202</v>
      </c>
      <c r="D612" s="52">
        <f>(39.41)*(10.764)</f>
        <v>424.20923999999997</v>
      </c>
      <c r="E612" s="42">
        <v>0</v>
      </c>
      <c r="F612" s="42">
        <f t="shared" si="93"/>
        <v>657.52432199999998</v>
      </c>
      <c r="G612" s="143"/>
      <c r="H612" s="144"/>
      <c r="I612" s="36"/>
    </row>
    <row r="613" spans="1:10" s="37" customFormat="1" hidden="1" x14ac:dyDescent="0.25">
      <c r="A613" s="42">
        <v>8</v>
      </c>
      <c r="B613" s="42" t="s">
        <v>212</v>
      </c>
      <c r="C613" s="42" t="s">
        <v>187</v>
      </c>
      <c r="D613" s="52">
        <f>(59.75)*(10.764)</f>
        <v>643.149</v>
      </c>
      <c r="E613" s="42">
        <v>0</v>
      </c>
      <c r="F613" s="42">
        <f t="shared" si="93"/>
        <v>996.88094999999998</v>
      </c>
      <c r="G613" s="145"/>
      <c r="H613" s="146"/>
      <c r="I613" s="36"/>
    </row>
    <row r="614" spans="1:10" s="37" customFormat="1" hidden="1" x14ac:dyDescent="0.25">
      <c r="A614" s="97" t="s">
        <v>213</v>
      </c>
      <c r="B614" s="98"/>
      <c r="C614" s="98"/>
      <c r="D614" s="98"/>
      <c r="E614" s="98"/>
      <c r="F614" s="98"/>
      <c r="G614" s="98"/>
      <c r="H614" s="99"/>
      <c r="I614" s="36"/>
    </row>
    <row r="615" spans="1:10" s="37" customFormat="1" hidden="1" x14ac:dyDescent="0.25">
      <c r="A615" s="42">
        <v>1</v>
      </c>
      <c r="B615" s="42" t="s">
        <v>212</v>
      </c>
      <c r="C615" s="42" t="s">
        <v>187</v>
      </c>
      <c r="D615" s="52">
        <f>(59.75)*(10.764)</f>
        <v>643.149</v>
      </c>
      <c r="E615" s="42">
        <v>0</v>
      </c>
      <c r="F615" s="42">
        <f t="shared" ref="F615:F622" si="94">D615*(($F$519)+1)+(IF(E615&lt;101,E615,IF(E615&lt;201,E615/2,IF(E615&lt;=301,E615/3,E615/4))))</f>
        <v>996.88094999999998</v>
      </c>
      <c r="G615" s="141" t="str">
        <f>A614</f>
        <v>13th Floor</v>
      </c>
      <c r="H615" s="142"/>
      <c r="I615" s="36"/>
    </row>
    <row r="616" spans="1:10" s="37" customFormat="1" hidden="1" x14ac:dyDescent="0.25">
      <c r="A616" s="42">
        <v>2</v>
      </c>
      <c r="B616" s="42" t="s">
        <v>212</v>
      </c>
      <c r="C616" s="42" t="s">
        <v>202</v>
      </c>
      <c r="D616" s="52">
        <f>(39.41)*(10.764)</f>
        <v>424.20923999999997</v>
      </c>
      <c r="E616" s="42">
        <v>0</v>
      </c>
      <c r="F616" s="42">
        <f t="shared" si="94"/>
        <v>657.52432199999998</v>
      </c>
      <c r="G616" s="143"/>
      <c r="H616" s="144"/>
      <c r="I616" s="36"/>
    </row>
    <row r="617" spans="1:10" s="37" customFormat="1" hidden="1" x14ac:dyDescent="0.25">
      <c r="A617" s="42">
        <v>3</v>
      </c>
      <c r="B617" s="42" t="s">
        <v>212</v>
      </c>
      <c r="C617" s="42" t="s">
        <v>202</v>
      </c>
      <c r="D617" s="52">
        <f>(39.41)*(10.764)</f>
        <v>424.20923999999997</v>
      </c>
      <c r="E617" s="42">
        <v>0</v>
      </c>
      <c r="F617" s="42">
        <f t="shared" si="94"/>
        <v>657.52432199999998</v>
      </c>
      <c r="G617" s="143"/>
      <c r="H617" s="144"/>
      <c r="I617" s="36"/>
    </row>
    <row r="618" spans="1:10" s="37" customFormat="1" hidden="1" x14ac:dyDescent="0.25">
      <c r="A618" s="42">
        <v>4</v>
      </c>
      <c r="B618" s="42" t="s">
        <v>212</v>
      </c>
      <c r="C618" s="42" t="s">
        <v>187</v>
      </c>
      <c r="D618" s="52">
        <f>(59.75)*(10.764)</f>
        <v>643.149</v>
      </c>
      <c r="E618" s="42">
        <v>0</v>
      </c>
      <c r="F618" s="42">
        <f t="shared" si="94"/>
        <v>996.88094999999998</v>
      </c>
      <c r="G618" s="143"/>
      <c r="H618" s="144"/>
      <c r="I618" s="36"/>
    </row>
    <row r="619" spans="1:10" s="37" customFormat="1" hidden="1" x14ac:dyDescent="0.25">
      <c r="A619" s="42">
        <v>5</v>
      </c>
      <c r="B619" s="42" t="s">
        <v>212</v>
      </c>
      <c r="C619" s="42" t="s">
        <v>187</v>
      </c>
      <c r="D619" s="52">
        <f>(59.75)*(10.764)</f>
        <v>643.149</v>
      </c>
      <c r="E619" s="42">
        <v>0</v>
      </c>
      <c r="F619" s="42">
        <f t="shared" si="94"/>
        <v>996.88094999999998</v>
      </c>
      <c r="G619" s="143"/>
      <c r="H619" s="144"/>
      <c r="I619" s="36"/>
    </row>
    <row r="620" spans="1:10" s="37" customFormat="1" hidden="1" x14ac:dyDescent="0.25">
      <c r="A620" s="42">
        <v>6</v>
      </c>
      <c r="B620" s="42" t="s">
        <v>212</v>
      </c>
      <c r="C620" s="42" t="s">
        <v>202</v>
      </c>
      <c r="D620" s="52">
        <f>(39.41)*(10.764)</f>
        <v>424.20923999999997</v>
      </c>
      <c r="E620" s="42">
        <v>0</v>
      </c>
      <c r="F620" s="42">
        <f t="shared" si="94"/>
        <v>657.52432199999998</v>
      </c>
      <c r="G620" s="143"/>
      <c r="H620" s="144"/>
      <c r="I620" s="36"/>
    </row>
    <row r="621" spans="1:10" s="37" customFormat="1" hidden="1" x14ac:dyDescent="0.25">
      <c r="A621" s="42">
        <v>7</v>
      </c>
      <c r="B621" s="42" t="s">
        <v>212</v>
      </c>
      <c r="C621" s="42" t="s">
        <v>202</v>
      </c>
      <c r="D621" s="52">
        <f>(39.41)*(10.764)</f>
        <v>424.20923999999997</v>
      </c>
      <c r="E621" s="42">
        <v>0</v>
      </c>
      <c r="F621" s="42">
        <f t="shared" si="94"/>
        <v>657.52432199999998</v>
      </c>
      <c r="G621" s="143"/>
      <c r="H621" s="144"/>
      <c r="I621" s="36"/>
    </row>
    <row r="622" spans="1:10" s="37" customFormat="1" hidden="1" x14ac:dyDescent="0.25">
      <c r="A622" s="42">
        <v>8</v>
      </c>
      <c r="B622" s="42" t="s">
        <v>212</v>
      </c>
      <c r="C622" s="42" t="s">
        <v>187</v>
      </c>
      <c r="D622" s="52">
        <f>(59.75)*(10.764)</f>
        <v>643.149</v>
      </c>
      <c r="E622" s="42">
        <v>0</v>
      </c>
      <c r="F622" s="42">
        <f t="shared" si="94"/>
        <v>996.88094999999998</v>
      </c>
      <c r="G622" s="145"/>
      <c r="H622" s="146"/>
      <c r="I622" s="36"/>
    </row>
    <row r="623" spans="1:10" s="37" customFormat="1" hidden="1" x14ac:dyDescent="0.25">
      <c r="A623" s="97" t="s">
        <v>214</v>
      </c>
      <c r="B623" s="98"/>
      <c r="C623" s="98"/>
      <c r="D623" s="98"/>
      <c r="E623" s="98"/>
      <c r="F623" s="98"/>
      <c r="G623" s="98"/>
      <c r="H623" s="99"/>
      <c r="I623" s="36"/>
    </row>
    <row r="624" spans="1:10" s="37" customFormat="1" hidden="1" x14ac:dyDescent="0.25">
      <c r="A624" s="42">
        <v>1</v>
      </c>
      <c r="B624" s="42" t="s">
        <v>212</v>
      </c>
      <c r="C624" s="42" t="s">
        <v>187</v>
      </c>
      <c r="D624" s="52">
        <f>(59.75)*(10.764)</f>
        <v>643.149</v>
      </c>
      <c r="E624" s="42">
        <v>0</v>
      </c>
      <c r="F624" s="42">
        <f t="shared" ref="F624:F631" si="95">D624*(($F$519)+1)+(IF(E624&lt;101,E624,IF(E624&lt;201,E624/2,IF(E624&lt;=301,E624/3,E624/4))))</f>
        <v>996.88094999999998</v>
      </c>
      <c r="G624" s="141" t="str">
        <f>A623</f>
        <v>14th Floor</v>
      </c>
      <c r="H624" s="142"/>
      <c r="I624" s="36"/>
    </row>
    <row r="625" spans="1:9" s="37" customFormat="1" hidden="1" x14ac:dyDescent="0.25">
      <c r="A625" s="42">
        <v>2</v>
      </c>
      <c r="B625" s="42" t="s">
        <v>212</v>
      </c>
      <c r="C625" s="42" t="s">
        <v>202</v>
      </c>
      <c r="D625" s="52">
        <f>(39.41)*(10.764)</f>
        <v>424.20923999999997</v>
      </c>
      <c r="E625" s="42">
        <v>0</v>
      </c>
      <c r="F625" s="42">
        <f t="shared" si="95"/>
        <v>657.52432199999998</v>
      </c>
      <c r="G625" s="143"/>
      <c r="H625" s="144"/>
      <c r="I625" s="36"/>
    </row>
    <row r="626" spans="1:9" s="37" customFormat="1" hidden="1" x14ac:dyDescent="0.25">
      <c r="A626" s="42">
        <v>3</v>
      </c>
      <c r="B626" s="42" t="s">
        <v>212</v>
      </c>
      <c r="C626" s="42" t="s">
        <v>202</v>
      </c>
      <c r="D626" s="52">
        <f>(39.41)*(10.764)</f>
        <v>424.20923999999997</v>
      </c>
      <c r="E626" s="42">
        <v>0</v>
      </c>
      <c r="F626" s="42">
        <f t="shared" si="95"/>
        <v>657.52432199999998</v>
      </c>
      <c r="G626" s="143"/>
      <c r="H626" s="144"/>
      <c r="I626" s="36"/>
    </row>
    <row r="627" spans="1:9" s="37" customFormat="1" hidden="1" x14ac:dyDescent="0.25">
      <c r="A627" s="42">
        <v>4</v>
      </c>
      <c r="B627" s="42" t="s">
        <v>212</v>
      </c>
      <c r="C627" s="42" t="s">
        <v>187</v>
      </c>
      <c r="D627" s="52">
        <f>(59.75)*(10.764)</f>
        <v>643.149</v>
      </c>
      <c r="E627" s="42">
        <v>0</v>
      </c>
      <c r="F627" s="42">
        <f t="shared" si="95"/>
        <v>996.88094999999998</v>
      </c>
      <c r="G627" s="143"/>
      <c r="H627" s="144"/>
      <c r="I627" s="36"/>
    </row>
    <row r="628" spans="1:9" s="37" customFormat="1" hidden="1" x14ac:dyDescent="0.25">
      <c r="A628" s="42">
        <v>5</v>
      </c>
      <c r="B628" s="42" t="s">
        <v>212</v>
      </c>
      <c r="C628" s="42" t="s">
        <v>187</v>
      </c>
      <c r="D628" s="52">
        <f>(59.75)*(10.764)</f>
        <v>643.149</v>
      </c>
      <c r="E628" s="42">
        <v>0</v>
      </c>
      <c r="F628" s="42">
        <f t="shared" si="95"/>
        <v>996.88094999999998</v>
      </c>
      <c r="G628" s="143"/>
      <c r="H628" s="144"/>
      <c r="I628" s="36"/>
    </row>
    <row r="629" spans="1:9" s="37" customFormat="1" hidden="1" x14ac:dyDescent="0.25">
      <c r="A629" s="42">
        <v>6</v>
      </c>
      <c r="B629" s="42" t="s">
        <v>212</v>
      </c>
      <c r="C629" s="42" t="s">
        <v>202</v>
      </c>
      <c r="D629" s="52">
        <f>(39.41)*(10.764)</f>
        <v>424.20923999999997</v>
      </c>
      <c r="E629" s="42">
        <v>0</v>
      </c>
      <c r="F629" s="42">
        <f t="shared" si="95"/>
        <v>657.52432199999998</v>
      </c>
      <c r="G629" s="143"/>
      <c r="H629" s="144"/>
      <c r="I629" s="36"/>
    </row>
    <row r="630" spans="1:9" s="37" customFormat="1" hidden="1" x14ac:dyDescent="0.25">
      <c r="A630" s="42">
        <v>7</v>
      </c>
      <c r="B630" s="42" t="s">
        <v>212</v>
      </c>
      <c r="C630" s="42" t="s">
        <v>202</v>
      </c>
      <c r="D630" s="52">
        <f>(39.41)*(10.764)</f>
        <v>424.20923999999997</v>
      </c>
      <c r="E630" s="42">
        <v>0</v>
      </c>
      <c r="F630" s="42">
        <f t="shared" si="95"/>
        <v>657.52432199999998</v>
      </c>
      <c r="G630" s="143"/>
      <c r="H630" s="144"/>
      <c r="I630" s="36"/>
    </row>
    <row r="631" spans="1:9" s="37" customFormat="1" hidden="1" x14ac:dyDescent="0.25">
      <c r="A631" s="42">
        <v>8</v>
      </c>
      <c r="B631" s="42" t="s">
        <v>212</v>
      </c>
      <c r="C631" s="42" t="s">
        <v>187</v>
      </c>
      <c r="D631" s="52">
        <f>(59.75)*(10.764)</f>
        <v>643.149</v>
      </c>
      <c r="E631" s="42">
        <v>0</v>
      </c>
      <c r="F631" s="42">
        <f t="shared" si="95"/>
        <v>996.88094999999998</v>
      </c>
      <c r="G631" s="145"/>
      <c r="H631" s="146"/>
      <c r="I631" s="36"/>
    </row>
    <row r="632" spans="1:9" s="37" customFormat="1" hidden="1" x14ac:dyDescent="0.25">
      <c r="A632" s="97" t="s">
        <v>215</v>
      </c>
      <c r="B632" s="98"/>
      <c r="C632" s="98"/>
      <c r="D632" s="98"/>
      <c r="E632" s="98"/>
      <c r="F632" s="98"/>
      <c r="G632" s="98"/>
      <c r="H632" s="99"/>
      <c r="I632" s="36"/>
    </row>
    <row r="633" spans="1:9" s="37" customFormat="1" hidden="1" x14ac:dyDescent="0.25">
      <c r="A633" s="42">
        <v>1</v>
      </c>
      <c r="B633" s="42" t="s">
        <v>203</v>
      </c>
      <c r="C633" s="42" t="s">
        <v>187</v>
      </c>
      <c r="D633" s="52">
        <f>(59.75)*(10.764)</f>
        <v>643.149</v>
      </c>
      <c r="E633" s="42">
        <v>0</v>
      </c>
      <c r="F633" s="42">
        <f t="shared" ref="F633:F640" si="96">D633*(($F$519)+1)+(IF(E633&lt;101,E633,IF(E633&lt;201,E633/2,IF(E633&lt;=301,E633/3,E633/4))))</f>
        <v>996.88094999999998</v>
      </c>
      <c r="G633" s="141" t="str">
        <f>A632</f>
        <v>15th, 16th Floor</v>
      </c>
      <c r="H633" s="142"/>
      <c r="I633" s="36"/>
    </row>
    <row r="634" spans="1:9" s="37" customFormat="1" hidden="1" x14ac:dyDescent="0.25">
      <c r="A634" s="42">
        <v>2</v>
      </c>
      <c r="B634" s="42" t="s">
        <v>203</v>
      </c>
      <c r="C634" s="42" t="s">
        <v>202</v>
      </c>
      <c r="D634" s="52">
        <f>(39.41)*(10.764)</f>
        <v>424.20923999999997</v>
      </c>
      <c r="E634" s="42">
        <v>0</v>
      </c>
      <c r="F634" s="42">
        <f t="shared" si="96"/>
        <v>657.52432199999998</v>
      </c>
      <c r="G634" s="143"/>
      <c r="H634" s="144"/>
      <c r="I634" s="36"/>
    </row>
    <row r="635" spans="1:9" s="37" customFormat="1" hidden="1" x14ac:dyDescent="0.25">
      <c r="A635" s="42">
        <v>3</v>
      </c>
      <c r="B635" s="42" t="s">
        <v>203</v>
      </c>
      <c r="C635" s="42" t="s">
        <v>202</v>
      </c>
      <c r="D635" s="52">
        <f>(39.41)*(10.764)</f>
        <v>424.20923999999997</v>
      </c>
      <c r="E635" s="42">
        <v>0</v>
      </c>
      <c r="F635" s="42">
        <f t="shared" si="96"/>
        <v>657.52432199999998</v>
      </c>
      <c r="G635" s="143"/>
      <c r="H635" s="144"/>
      <c r="I635" s="36"/>
    </row>
    <row r="636" spans="1:9" s="37" customFormat="1" hidden="1" x14ac:dyDescent="0.25">
      <c r="A636" s="42">
        <v>4</v>
      </c>
      <c r="B636" s="42" t="s">
        <v>203</v>
      </c>
      <c r="C636" s="42" t="s">
        <v>187</v>
      </c>
      <c r="D636" s="52">
        <f>(59.75)*(10.764)</f>
        <v>643.149</v>
      </c>
      <c r="E636" s="42">
        <v>0</v>
      </c>
      <c r="F636" s="42">
        <f t="shared" si="96"/>
        <v>996.88094999999998</v>
      </c>
      <c r="G636" s="143"/>
      <c r="H636" s="144"/>
      <c r="I636" s="36"/>
    </row>
    <row r="637" spans="1:9" s="37" customFormat="1" hidden="1" x14ac:dyDescent="0.25">
      <c r="A637" s="42">
        <v>5</v>
      </c>
      <c r="B637" s="42" t="s">
        <v>203</v>
      </c>
      <c r="C637" s="42" t="s">
        <v>187</v>
      </c>
      <c r="D637" s="52">
        <f>(59.75)*(10.764)</f>
        <v>643.149</v>
      </c>
      <c r="E637" s="42">
        <v>0</v>
      </c>
      <c r="F637" s="42">
        <f t="shared" si="96"/>
        <v>996.88094999999998</v>
      </c>
      <c r="G637" s="143"/>
      <c r="H637" s="144"/>
      <c r="I637" s="36"/>
    </row>
    <row r="638" spans="1:9" s="37" customFormat="1" hidden="1" x14ac:dyDescent="0.25">
      <c r="A638" s="42">
        <v>6</v>
      </c>
      <c r="B638" s="42" t="s">
        <v>203</v>
      </c>
      <c r="C638" s="42" t="s">
        <v>202</v>
      </c>
      <c r="D638" s="52">
        <f>(39.41)*(10.764)</f>
        <v>424.20923999999997</v>
      </c>
      <c r="E638" s="42">
        <v>0</v>
      </c>
      <c r="F638" s="42">
        <f t="shared" si="96"/>
        <v>657.52432199999998</v>
      </c>
      <c r="G638" s="143"/>
      <c r="H638" s="144"/>
      <c r="I638" s="36"/>
    </row>
    <row r="639" spans="1:9" s="37" customFormat="1" hidden="1" x14ac:dyDescent="0.25">
      <c r="A639" s="42">
        <v>7</v>
      </c>
      <c r="B639" s="42" t="s">
        <v>203</v>
      </c>
      <c r="C639" s="42" t="s">
        <v>202</v>
      </c>
      <c r="D639" s="52">
        <f>(39.41)*(10.764)</f>
        <v>424.20923999999997</v>
      </c>
      <c r="E639" s="42">
        <v>0</v>
      </c>
      <c r="F639" s="42">
        <f t="shared" si="96"/>
        <v>657.52432199999998</v>
      </c>
      <c r="G639" s="143"/>
      <c r="H639" s="144"/>
      <c r="I639" s="36"/>
    </row>
    <row r="640" spans="1:9" s="37" customFormat="1" hidden="1" x14ac:dyDescent="0.25">
      <c r="A640" s="42">
        <v>8</v>
      </c>
      <c r="B640" s="42" t="s">
        <v>203</v>
      </c>
      <c r="C640" s="42" t="s">
        <v>187</v>
      </c>
      <c r="D640" s="52">
        <f>(59.75)*(10.764)</f>
        <v>643.149</v>
      </c>
      <c r="E640" s="42">
        <v>0</v>
      </c>
      <c r="F640" s="42">
        <f t="shared" si="96"/>
        <v>996.88094999999998</v>
      </c>
      <c r="G640" s="145"/>
      <c r="H640" s="146"/>
      <c r="I640" s="36"/>
    </row>
    <row r="641" spans="1:12" s="37" customFormat="1" hidden="1" x14ac:dyDescent="0.25">
      <c r="A641" s="97" t="s">
        <v>193</v>
      </c>
      <c r="B641" s="98"/>
      <c r="C641" s="98"/>
      <c r="D641" s="98"/>
      <c r="E641" s="98"/>
      <c r="F641" s="98"/>
      <c r="G641" s="98"/>
      <c r="H641" s="99"/>
      <c r="I641" s="36"/>
    </row>
    <row r="642" spans="1:12" s="37" customFormat="1" hidden="1" x14ac:dyDescent="0.25">
      <c r="A642" s="97" t="s">
        <v>198</v>
      </c>
      <c r="B642" s="98"/>
      <c r="C642" s="98"/>
      <c r="D642" s="98"/>
      <c r="E642" s="98"/>
      <c r="F642" s="98"/>
      <c r="G642" s="98"/>
      <c r="H642" s="99"/>
      <c r="I642" s="36"/>
    </row>
    <row r="643" spans="1:12" s="37" customFormat="1" hidden="1" x14ac:dyDescent="0.25">
      <c r="A643" s="97" t="s">
        <v>208</v>
      </c>
      <c r="B643" s="98"/>
      <c r="C643" s="98"/>
      <c r="D643" s="98"/>
      <c r="E643" s="98"/>
      <c r="F643" s="98"/>
      <c r="G643" s="98"/>
      <c r="H643" s="99"/>
      <c r="I643" s="36"/>
    </row>
    <row r="644" spans="1:12" s="37" customFormat="1" hidden="1" x14ac:dyDescent="0.25">
      <c r="A644" s="97" t="s">
        <v>210</v>
      </c>
      <c r="B644" s="98"/>
      <c r="C644" s="98"/>
      <c r="D644" s="98"/>
      <c r="E644" s="98"/>
      <c r="F644" s="98"/>
      <c r="G644" s="98"/>
      <c r="H644" s="99"/>
      <c r="I644" s="36"/>
    </row>
    <row r="645" spans="1:12" s="37" customFormat="1" hidden="1" x14ac:dyDescent="0.25">
      <c r="A645" s="97" t="s">
        <v>211</v>
      </c>
      <c r="B645" s="98"/>
      <c r="C645" s="98"/>
      <c r="D645" s="98"/>
      <c r="E645" s="98"/>
      <c r="F645" s="98"/>
      <c r="G645" s="98"/>
      <c r="H645" s="99"/>
      <c r="I645" s="36"/>
    </row>
    <row r="646" spans="1:12" s="37" customFormat="1" ht="15.75" hidden="1" customHeight="1" x14ac:dyDescent="0.25">
      <c r="A646" s="42">
        <v>1</v>
      </c>
      <c r="B646" s="42" t="s">
        <v>212</v>
      </c>
      <c r="C646" s="42" t="s">
        <v>187</v>
      </c>
      <c r="D646" s="52">
        <f>(59.75)*(10.764)</f>
        <v>643.149</v>
      </c>
      <c r="E646" s="42">
        <v>0</v>
      </c>
      <c r="F646" s="42">
        <f t="shared" ref="F646:F651" si="97">D646*(($F$519)+1)+(IF(E646&lt;101,E646,IF(E646&lt;201,E646/2,IF(E646&lt;=301,E646/3,E646/4))))</f>
        <v>996.88094999999998</v>
      </c>
      <c r="G646" s="141" t="str">
        <f>A645</f>
        <v>12th Floor For Residential</v>
      </c>
      <c r="H646" s="142"/>
      <c r="I646" s="52">
        <f>(59.75)*(10.764)</f>
        <v>643.149</v>
      </c>
      <c r="K646" s="37">
        <f>45000/1.55</f>
        <v>29032.258064516129</v>
      </c>
      <c r="L646" s="37">
        <f>20000000/F646</f>
        <v>20062.576178228705</v>
      </c>
    </row>
    <row r="647" spans="1:12" s="37" customFormat="1" hidden="1" x14ac:dyDescent="0.25">
      <c r="A647" s="42">
        <v>2</v>
      </c>
      <c r="B647" s="42" t="s">
        <v>212</v>
      </c>
      <c r="C647" s="42" t="s">
        <v>202</v>
      </c>
      <c r="D647" s="52">
        <f>(39.41)*(10.764)</f>
        <v>424.20923999999997</v>
      </c>
      <c r="E647" s="42">
        <v>0</v>
      </c>
      <c r="F647" s="42">
        <f t="shared" si="97"/>
        <v>657.52432199999998</v>
      </c>
      <c r="G647" s="143"/>
      <c r="H647" s="144"/>
      <c r="I647" s="52">
        <f>(39.41)*(10.764)</f>
        <v>424.20923999999997</v>
      </c>
    </row>
    <row r="648" spans="1:12" s="37" customFormat="1" hidden="1" x14ac:dyDescent="0.25">
      <c r="A648" s="42">
        <v>3</v>
      </c>
      <c r="B648" s="42" t="s">
        <v>212</v>
      </c>
      <c r="C648" s="42" t="s">
        <v>202</v>
      </c>
      <c r="D648" s="52">
        <f>(39.41)*(10.764)</f>
        <v>424.20923999999997</v>
      </c>
      <c r="E648" s="42">
        <v>0</v>
      </c>
      <c r="F648" s="42">
        <f t="shared" si="97"/>
        <v>657.52432199999998</v>
      </c>
      <c r="G648" s="143"/>
      <c r="H648" s="144"/>
      <c r="I648" s="52">
        <f>(39.41)*(10.764)</f>
        <v>424.20923999999997</v>
      </c>
    </row>
    <row r="649" spans="1:12" s="37" customFormat="1" hidden="1" x14ac:dyDescent="0.25">
      <c r="A649" s="42">
        <v>4</v>
      </c>
      <c r="B649" s="42" t="s">
        <v>212</v>
      </c>
      <c r="C649" s="42" t="s">
        <v>187</v>
      </c>
      <c r="D649" s="52">
        <f>(58.7)*(10.764)</f>
        <v>631.84680000000003</v>
      </c>
      <c r="E649" s="42">
        <v>0</v>
      </c>
      <c r="F649" s="42">
        <f t="shared" si="97"/>
        <v>979.36254000000008</v>
      </c>
      <c r="G649" s="143"/>
      <c r="H649" s="144"/>
      <c r="I649" s="52">
        <f>(58.7)*(10.764)</f>
        <v>631.84680000000003</v>
      </c>
    </row>
    <row r="650" spans="1:12" s="37" customFormat="1" hidden="1" x14ac:dyDescent="0.25">
      <c r="A650" s="42">
        <v>5</v>
      </c>
      <c r="B650" s="42" t="s">
        <v>212</v>
      </c>
      <c r="C650" s="42" t="s">
        <v>202</v>
      </c>
      <c r="D650" s="52">
        <f>(39.41)*(10.764)</f>
        <v>424.20923999999997</v>
      </c>
      <c r="E650" s="42">
        <v>0</v>
      </c>
      <c r="F650" s="42">
        <f t="shared" si="97"/>
        <v>657.52432199999998</v>
      </c>
      <c r="G650" s="143"/>
      <c r="H650" s="144"/>
      <c r="I650" s="52">
        <f>(39.41)*(10.764)</f>
        <v>424.20923999999997</v>
      </c>
    </row>
    <row r="651" spans="1:12" s="37" customFormat="1" hidden="1" x14ac:dyDescent="0.25">
      <c r="A651" s="42">
        <v>6</v>
      </c>
      <c r="B651" s="42" t="s">
        <v>212</v>
      </c>
      <c r="C651" s="42" t="s">
        <v>187</v>
      </c>
      <c r="D651" s="52">
        <f>(59.75)*(10.764)</f>
        <v>643.149</v>
      </c>
      <c r="E651" s="42">
        <v>0</v>
      </c>
      <c r="F651" s="42">
        <f t="shared" si="97"/>
        <v>996.88094999999998</v>
      </c>
      <c r="G651" s="143"/>
      <c r="H651" s="144"/>
      <c r="I651" s="52">
        <f>(59.75)*(10.764)</f>
        <v>643.149</v>
      </c>
    </row>
    <row r="652" spans="1:12" s="37" customFormat="1" hidden="1" x14ac:dyDescent="0.25">
      <c r="A652" s="97" t="s">
        <v>213</v>
      </c>
      <c r="B652" s="98"/>
      <c r="C652" s="98"/>
      <c r="D652" s="98"/>
      <c r="E652" s="98"/>
      <c r="F652" s="98"/>
      <c r="G652" s="98"/>
      <c r="H652" s="99"/>
      <c r="I652" s="36"/>
    </row>
    <row r="653" spans="1:12" s="37" customFormat="1" hidden="1" x14ac:dyDescent="0.25">
      <c r="A653" s="42">
        <v>1</v>
      </c>
      <c r="B653" s="42" t="s">
        <v>212</v>
      </c>
      <c r="C653" s="42" t="s">
        <v>187</v>
      </c>
      <c r="D653" s="52">
        <f>(59.75)*(10.764)</f>
        <v>643.149</v>
      </c>
      <c r="E653" s="42">
        <v>0</v>
      </c>
      <c r="F653" s="42">
        <f t="shared" ref="F653:F658" si="98">D653*(($F$519)+1)+(IF(E653&lt;101,E653,IF(E653&lt;201,E653/2,IF(E653&lt;=301,E653/3,E653/4))))</f>
        <v>996.88094999999998</v>
      </c>
      <c r="G653" s="141" t="str">
        <f>A652</f>
        <v>13th Floor</v>
      </c>
      <c r="H653" s="142"/>
      <c r="I653" s="36"/>
    </row>
    <row r="654" spans="1:12" s="37" customFormat="1" hidden="1" x14ac:dyDescent="0.25">
      <c r="A654" s="42">
        <v>2</v>
      </c>
      <c r="B654" s="42" t="s">
        <v>212</v>
      </c>
      <c r="C654" s="42" t="s">
        <v>202</v>
      </c>
      <c r="D654" s="52">
        <f>(39.41)*(10.764)</f>
        <v>424.20923999999997</v>
      </c>
      <c r="E654" s="42">
        <v>0</v>
      </c>
      <c r="F654" s="42">
        <f t="shared" si="98"/>
        <v>657.52432199999998</v>
      </c>
      <c r="G654" s="143"/>
      <c r="H654" s="144"/>
      <c r="I654" s="36"/>
    </row>
    <row r="655" spans="1:12" s="37" customFormat="1" hidden="1" x14ac:dyDescent="0.25">
      <c r="A655" s="42">
        <v>3</v>
      </c>
      <c r="B655" s="42" t="s">
        <v>212</v>
      </c>
      <c r="C655" s="42" t="s">
        <v>202</v>
      </c>
      <c r="D655" s="52">
        <f>(39.41)*(10.764)</f>
        <v>424.20923999999997</v>
      </c>
      <c r="E655" s="42">
        <v>0</v>
      </c>
      <c r="F655" s="42">
        <f t="shared" si="98"/>
        <v>657.52432199999998</v>
      </c>
      <c r="G655" s="143"/>
      <c r="H655" s="144"/>
      <c r="I655" s="36"/>
    </row>
    <row r="656" spans="1:12" s="37" customFormat="1" hidden="1" x14ac:dyDescent="0.25">
      <c r="A656" s="42">
        <v>4</v>
      </c>
      <c r="B656" s="42" t="s">
        <v>212</v>
      </c>
      <c r="C656" s="42" t="s">
        <v>187</v>
      </c>
      <c r="D656" s="52">
        <f>(58.7)*(10.764)</f>
        <v>631.84680000000003</v>
      </c>
      <c r="E656" s="42">
        <v>0</v>
      </c>
      <c r="F656" s="42">
        <f t="shared" si="98"/>
        <v>979.36254000000008</v>
      </c>
      <c r="G656" s="143"/>
      <c r="H656" s="144"/>
      <c r="I656" s="36"/>
    </row>
    <row r="657" spans="1:11" s="37" customFormat="1" hidden="1" x14ac:dyDescent="0.25">
      <c r="A657" s="42">
        <v>5</v>
      </c>
      <c r="B657" s="42" t="s">
        <v>212</v>
      </c>
      <c r="C657" s="42" t="s">
        <v>202</v>
      </c>
      <c r="D657" s="52">
        <f>(39.41)*(10.764)</f>
        <v>424.20923999999997</v>
      </c>
      <c r="E657" s="42">
        <v>0</v>
      </c>
      <c r="F657" s="42">
        <f t="shared" si="98"/>
        <v>657.52432199999998</v>
      </c>
      <c r="G657" s="143"/>
      <c r="H657" s="144"/>
      <c r="I657" s="36"/>
    </row>
    <row r="658" spans="1:11" s="37" customFormat="1" hidden="1" x14ac:dyDescent="0.25">
      <c r="A658" s="42">
        <v>6</v>
      </c>
      <c r="B658" s="42" t="s">
        <v>212</v>
      </c>
      <c r="C658" s="42" t="s">
        <v>187</v>
      </c>
      <c r="D658" s="52">
        <f>(59.75)*(10.764)</f>
        <v>643.149</v>
      </c>
      <c r="E658" s="42">
        <v>0</v>
      </c>
      <c r="F658" s="42">
        <f t="shared" si="98"/>
        <v>996.88094999999998</v>
      </c>
      <c r="G658" s="143"/>
      <c r="H658" s="144"/>
      <c r="I658" s="36"/>
    </row>
    <row r="659" spans="1:11" s="37" customFormat="1" hidden="1" x14ac:dyDescent="0.25">
      <c r="A659" s="97" t="s">
        <v>214</v>
      </c>
      <c r="B659" s="98"/>
      <c r="C659" s="98"/>
      <c r="D659" s="98"/>
      <c r="E659" s="98"/>
      <c r="F659" s="98"/>
      <c r="G659" s="98"/>
      <c r="H659" s="99"/>
      <c r="I659" s="36"/>
    </row>
    <row r="660" spans="1:11" s="37" customFormat="1" hidden="1" x14ac:dyDescent="0.25">
      <c r="A660" s="42">
        <v>1</v>
      </c>
      <c r="B660" s="42" t="s">
        <v>212</v>
      </c>
      <c r="C660" s="42" t="s">
        <v>187</v>
      </c>
      <c r="D660" s="52">
        <f>(59.75)*(10.764)</f>
        <v>643.149</v>
      </c>
      <c r="E660" s="42">
        <v>0</v>
      </c>
      <c r="F660" s="42">
        <f t="shared" ref="F660:F665" si="99">D660*(($F$519)+1)+(IF(E660&lt;101,E660,IF(E660&lt;201,E660/2,IF(E660&lt;=301,E660/3,E660/4))))</f>
        <v>996.88094999999998</v>
      </c>
      <c r="G660" s="141" t="str">
        <f>A659</f>
        <v>14th Floor</v>
      </c>
      <c r="H660" s="142"/>
      <c r="I660" s="36"/>
      <c r="K660" s="37">
        <f>19500*F660</f>
        <v>19439178.524999999</v>
      </c>
    </row>
    <row r="661" spans="1:11" s="37" customFormat="1" hidden="1" x14ac:dyDescent="0.25">
      <c r="A661" s="42">
        <v>2</v>
      </c>
      <c r="B661" s="42" t="s">
        <v>212</v>
      </c>
      <c r="C661" s="42" t="s">
        <v>202</v>
      </c>
      <c r="D661" s="52">
        <f>(39.41)*(10.764)</f>
        <v>424.20923999999997</v>
      </c>
      <c r="E661" s="42">
        <v>0</v>
      </c>
      <c r="F661" s="42">
        <f t="shared" si="99"/>
        <v>657.52432199999998</v>
      </c>
      <c r="G661" s="143"/>
      <c r="H661" s="144"/>
      <c r="I661" s="36"/>
      <c r="K661" s="37">
        <f t="shared" ref="K661:K665" si="100">19500*F661</f>
        <v>12821724.278999999</v>
      </c>
    </row>
    <row r="662" spans="1:11" s="37" customFormat="1" hidden="1" x14ac:dyDescent="0.25">
      <c r="A662" s="42">
        <v>3</v>
      </c>
      <c r="B662" s="42" t="s">
        <v>212</v>
      </c>
      <c r="C662" s="42" t="s">
        <v>202</v>
      </c>
      <c r="D662" s="52">
        <f>(39.41)*(10.764)</f>
        <v>424.20923999999997</v>
      </c>
      <c r="E662" s="42">
        <v>0</v>
      </c>
      <c r="F662" s="42">
        <f t="shared" si="99"/>
        <v>657.52432199999998</v>
      </c>
      <c r="G662" s="143"/>
      <c r="H662" s="144"/>
      <c r="I662" s="36"/>
      <c r="K662" s="37">
        <f t="shared" si="100"/>
        <v>12821724.278999999</v>
      </c>
    </row>
    <row r="663" spans="1:11" s="37" customFormat="1" hidden="1" x14ac:dyDescent="0.25">
      <c r="A663" s="42">
        <v>4</v>
      </c>
      <c r="B663" s="42" t="s">
        <v>212</v>
      </c>
      <c r="C663" s="42" t="s">
        <v>187</v>
      </c>
      <c r="D663" s="52">
        <f>(58.7)*(10.764)</f>
        <v>631.84680000000003</v>
      </c>
      <c r="E663" s="42">
        <v>0</v>
      </c>
      <c r="F663" s="42">
        <f t="shared" si="99"/>
        <v>979.36254000000008</v>
      </c>
      <c r="G663" s="143"/>
      <c r="H663" s="144"/>
      <c r="I663" s="36"/>
      <c r="K663" s="37">
        <f t="shared" si="100"/>
        <v>19097569.530000001</v>
      </c>
    </row>
    <row r="664" spans="1:11" s="37" customFormat="1" hidden="1" x14ac:dyDescent="0.25">
      <c r="A664" s="42">
        <v>5</v>
      </c>
      <c r="B664" s="42" t="s">
        <v>212</v>
      </c>
      <c r="C664" s="42" t="s">
        <v>202</v>
      </c>
      <c r="D664" s="52">
        <f>(39.41)*(10.764)</f>
        <v>424.20923999999997</v>
      </c>
      <c r="E664" s="42">
        <v>0</v>
      </c>
      <c r="F664" s="42">
        <f t="shared" si="99"/>
        <v>657.52432199999998</v>
      </c>
      <c r="G664" s="143"/>
      <c r="H664" s="144"/>
      <c r="I664" s="36"/>
      <c r="K664" s="37">
        <f t="shared" si="100"/>
        <v>12821724.278999999</v>
      </c>
    </row>
    <row r="665" spans="1:11" s="37" customFormat="1" hidden="1" x14ac:dyDescent="0.25">
      <c r="A665" s="42">
        <v>6</v>
      </c>
      <c r="B665" s="42" t="s">
        <v>212</v>
      </c>
      <c r="C665" s="42" t="s">
        <v>187</v>
      </c>
      <c r="D665" s="52">
        <f>(59.75)*(10.764)</f>
        <v>643.149</v>
      </c>
      <c r="E665" s="42">
        <v>0</v>
      </c>
      <c r="F665" s="42">
        <f t="shared" si="99"/>
        <v>996.88094999999998</v>
      </c>
      <c r="G665" s="143"/>
      <c r="H665" s="144"/>
      <c r="I665" s="36"/>
      <c r="K665" s="37">
        <f t="shared" si="100"/>
        <v>19439178.524999999</v>
      </c>
    </row>
    <row r="666" spans="1:11" s="37" customFormat="1" hidden="1" x14ac:dyDescent="0.25">
      <c r="A666" s="97" t="s">
        <v>233</v>
      </c>
      <c r="B666" s="98"/>
      <c r="C666" s="98"/>
      <c r="D666" s="98"/>
      <c r="E666" s="98"/>
      <c r="F666" s="98"/>
      <c r="G666" s="98"/>
      <c r="H666" s="99"/>
      <c r="I666" s="36"/>
    </row>
    <row r="667" spans="1:11" s="37" customFormat="1" hidden="1" x14ac:dyDescent="0.25">
      <c r="A667" s="42">
        <v>1</v>
      </c>
      <c r="B667" s="42" t="s">
        <v>212</v>
      </c>
      <c r="C667" s="42" t="s">
        <v>187</v>
      </c>
      <c r="D667" s="52">
        <f>(59.75)*(10.764)</f>
        <v>643.149</v>
      </c>
      <c r="E667" s="42">
        <v>0</v>
      </c>
      <c r="F667" s="42">
        <f t="shared" ref="F667:F672" si="101">D667*(($F$519)+1)+(IF(E667&lt;101,E667,IF(E667&lt;201,E667/2,IF(E667&lt;=301,E667/3,E667/4))))</f>
        <v>996.88094999999998</v>
      </c>
      <c r="G667" s="141" t="str">
        <f>A666</f>
        <v>15th &amp; 16th Floor</v>
      </c>
      <c r="H667" s="142"/>
      <c r="I667" s="36"/>
    </row>
    <row r="668" spans="1:11" s="37" customFormat="1" hidden="1" x14ac:dyDescent="0.25">
      <c r="A668" s="42">
        <v>2</v>
      </c>
      <c r="B668" s="42" t="s">
        <v>212</v>
      </c>
      <c r="C668" s="42" t="s">
        <v>202</v>
      </c>
      <c r="D668" s="52">
        <f>(39.41)*(10.764)</f>
        <v>424.20923999999997</v>
      </c>
      <c r="E668" s="42">
        <v>0</v>
      </c>
      <c r="F668" s="42">
        <f t="shared" si="101"/>
        <v>657.52432199999998</v>
      </c>
      <c r="G668" s="143"/>
      <c r="H668" s="144"/>
      <c r="I668" s="36">
        <f>5.15*2.85+3.25*1.3+2.15*2.88+3.35*2.9+1*2.9+3.05*4.1+2.3*1.35+2.3*1.5</f>
        <v>56.769500000000001</v>
      </c>
    </row>
    <row r="669" spans="1:11" s="37" customFormat="1" hidden="1" x14ac:dyDescent="0.25">
      <c r="A669" s="42">
        <v>3</v>
      </c>
      <c r="B669" s="42" t="s">
        <v>212</v>
      </c>
      <c r="C669" s="42" t="s">
        <v>202</v>
      </c>
      <c r="D669" s="52">
        <f>(39.41)*(10.764)</f>
        <v>424.20923999999997</v>
      </c>
      <c r="E669" s="42">
        <v>0</v>
      </c>
      <c r="F669" s="42">
        <f t="shared" si="101"/>
        <v>657.52432199999998</v>
      </c>
      <c r="G669" s="143"/>
      <c r="H669" s="144"/>
      <c r="I669" s="36">
        <f>(5.15*2.9+2.4*2.13+0.9*1.65+2.35*1.35+3.35*2.9+1.35*2.4)</f>
        <v>37.659500000000001</v>
      </c>
    </row>
    <row r="670" spans="1:11" s="37" customFormat="1" hidden="1" x14ac:dyDescent="0.25">
      <c r="A670" s="42">
        <v>4</v>
      </c>
      <c r="B670" s="42" t="s">
        <v>212</v>
      </c>
      <c r="C670" s="42" t="s">
        <v>187</v>
      </c>
      <c r="D670" s="52">
        <f>(58.7)*(10.764)</f>
        <v>631.84680000000003</v>
      </c>
      <c r="E670" s="42">
        <v>0</v>
      </c>
      <c r="F670" s="42">
        <f t="shared" si="101"/>
        <v>979.36254000000008</v>
      </c>
      <c r="G670" s="143"/>
      <c r="H670" s="144"/>
      <c r="I670" s="36"/>
    </row>
    <row r="671" spans="1:11" s="37" customFormat="1" hidden="1" x14ac:dyDescent="0.25">
      <c r="A671" s="42">
        <v>5</v>
      </c>
      <c r="B671" s="42" t="s">
        <v>212</v>
      </c>
      <c r="C671" s="42" t="s">
        <v>202</v>
      </c>
      <c r="D671" s="52">
        <f>(39.41)*(10.764)</f>
        <v>424.20923999999997</v>
      </c>
      <c r="E671" s="42">
        <v>0</v>
      </c>
      <c r="F671" s="42">
        <f t="shared" si="101"/>
        <v>657.52432199999998</v>
      </c>
      <c r="G671" s="143"/>
      <c r="H671" s="144"/>
      <c r="I671" s="36"/>
    </row>
    <row r="672" spans="1:11" s="37" customFormat="1" hidden="1" x14ac:dyDescent="0.25">
      <c r="A672" s="42">
        <v>6</v>
      </c>
      <c r="B672" s="42" t="s">
        <v>212</v>
      </c>
      <c r="C672" s="42" t="s">
        <v>187</v>
      </c>
      <c r="D672" s="52">
        <f>(59.75)*(10.764)</f>
        <v>643.149</v>
      </c>
      <c r="E672" s="42">
        <v>0</v>
      </c>
      <c r="F672" s="42">
        <f t="shared" si="101"/>
        <v>996.88094999999998</v>
      </c>
      <c r="G672" s="143"/>
      <c r="H672" s="144"/>
      <c r="I672" s="36"/>
    </row>
    <row r="673" spans="1:9" s="37" customFormat="1" hidden="1" x14ac:dyDescent="0.25">
      <c r="A673" s="97" t="s">
        <v>216</v>
      </c>
      <c r="B673" s="98"/>
      <c r="C673" s="98"/>
      <c r="D673" s="98"/>
      <c r="E673" s="98"/>
      <c r="F673" s="98"/>
      <c r="G673" s="98"/>
      <c r="H673" s="99"/>
      <c r="I673" s="36"/>
    </row>
    <row r="674" spans="1:9" s="37" customFormat="1" hidden="1" x14ac:dyDescent="0.25">
      <c r="A674" s="42">
        <v>1</v>
      </c>
      <c r="B674" s="42" t="s">
        <v>212</v>
      </c>
      <c r="C674" s="42" t="s">
        <v>187</v>
      </c>
      <c r="D674" s="52">
        <f>(59.75)*(10.764)</f>
        <v>643.149</v>
      </c>
      <c r="E674" s="42">
        <v>0</v>
      </c>
      <c r="F674" s="42">
        <f t="shared" ref="F674:F679" si="102">D674*(($F$519)+1)+(IF(E674&lt;101,E674,IF(E674&lt;201,E674/2,IF(E674&lt;=301,E674/3,E674/4))))</f>
        <v>996.88094999999998</v>
      </c>
      <c r="G674" s="141" t="str">
        <f>A673</f>
        <v>17th Floor</v>
      </c>
      <c r="H674" s="142"/>
      <c r="I674" s="36"/>
    </row>
    <row r="675" spans="1:9" s="37" customFormat="1" hidden="1" x14ac:dyDescent="0.25">
      <c r="A675" s="42">
        <v>2</v>
      </c>
      <c r="B675" s="42" t="s">
        <v>212</v>
      </c>
      <c r="C675" s="42" t="s">
        <v>202</v>
      </c>
      <c r="D675" s="52">
        <f>(39.41)*(10.764)</f>
        <v>424.20923999999997</v>
      </c>
      <c r="E675" s="42">
        <v>0</v>
      </c>
      <c r="F675" s="42">
        <f t="shared" si="102"/>
        <v>657.52432199999998</v>
      </c>
      <c r="G675" s="143"/>
      <c r="H675" s="144"/>
      <c r="I675" s="36"/>
    </row>
    <row r="676" spans="1:9" s="37" customFormat="1" hidden="1" x14ac:dyDescent="0.25">
      <c r="A676" s="42">
        <v>3</v>
      </c>
      <c r="B676" s="42" t="s">
        <v>212</v>
      </c>
      <c r="C676" s="42" t="s">
        <v>202</v>
      </c>
      <c r="D676" s="52">
        <f>(39.41)*(10.764)</f>
        <v>424.20923999999997</v>
      </c>
      <c r="E676" s="42">
        <v>0</v>
      </c>
      <c r="F676" s="42">
        <f t="shared" si="102"/>
        <v>657.52432199999998</v>
      </c>
      <c r="G676" s="143"/>
      <c r="H676" s="144"/>
      <c r="I676" s="36"/>
    </row>
    <row r="677" spans="1:9" s="37" customFormat="1" hidden="1" x14ac:dyDescent="0.25">
      <c r="A677" s="42">
        <v>4</v>
      </c>
      <c r="B677" s="42" t="s">
        <v>212</v>
      </c>
      <c r="C677" s="42" t="s">
        <v>187</v>
      </c>
      <c r="D677" s="52">
        <f>(58.7)*(10.764)</f>
        <v>631.84680000000003</v>
      </c>
      <c r="E677" s="42">
        <v>0</v>
      </c>
      <c r="F677" s="42">
        <f t="shared" si="102"/>
        <v>979.36254000000008</v>
      </c>
      <c r="G677" s="143"/>
      <c r="H677" s="144"/>
      <c r="I677" s="36"/>
    </row>
    <row r="678" spans="1:9" s="37" customFormat="1" hidden="1" x14ac:dyDescent="0.25">
      <c r="A678" s="42">
        <v>5</v>
      </c>
      <c r="B678" s="42" t="s">
        <v>212</v>
      </c>
      <c r="C678" s="42" t="s">
        <v>202</v>
      </c>
      <c r="D678" s="52">
        <f>(39.41)*(10.764)</f>
        <v>424.20923999999997</v>
      </c>
      <c r="E678" s="42">
        <v>0</v>
      </c>
      <c r="F678" s="42">
        <f t="shared" si="102"/>
        <v>657.52432199999998</v>
      </c>
      <c r="G678" s="143"/>
      <c r="H678" s="144"/>
      <c r="I678" s="36"/>
    </row>
    <row r="679" spans="1:9" s="37" customFormat="1" hidden="1" x14ac:dyDescent="0.25">
      <c r="A679" s="42">
        <v>6</v>
      </c>
      <c r="B679" s="42" t="s">
        <v>212</v>
      </c>
      <c r="C679" s="42" t="s">
        <v>187</v>
      </c>
      <c r="D679" s="52">
        <f>(59.75)*(10.764)</f>
        <v>643.149</v>
      </c>
      <c r="E679" s="42">
        <v>0</v>
      </c>
      <c r="F679" s="42">
        <f t="shared" si="102"/>
        <v>996.88094999999998</v>
      </c>
      <c r="G679" s="143"/>
      <c r="H679" s="144"/>
      <c r="I679" s="36"/>
    </row>
    <row r="680" spans="1:9" s="37" customFormat="1" hidden="1" x14ac:dyDescent="0.25">
      <c r="A680" s="97" t="s">
        <v>234</v>
      </c>
      <c r="B680" s="98"/>
      <c r="C680" s="98"/>
      <c r="D680" s="98"/>
      <c r="E680" s="98"/>
      <c r="F680" s="98"/>
      <c r="G680" s="98"/>
      <c r="H680" s="99"/>
      <c r="I680" s="36"/>
    </row>
    <row r="681" spans="1:9" s="37" customFormat="1" hidden="1" x14ac:dyDescent="0.25">
      <c r="A681" s="42">
        <v>1</v>
      </c>
      <c r="B681" s="42" t="s">
        <v>212</v>
      </c>
      <c r="C681" s="42" t="s">
        <v>187</v>
      </c>
      <c r="D681" s="42">
        <f>59.75*10.764</f>
        <v>643.149</v>
      </c>
      <c r="E681" s="42">
        <v>0</v>
      </c>
      <c r="F681" s="42">
        <f>D681*(($F$519)+1)+(IF(E681&lt;101,E681,IF(E681&lt;201,E681/2,IF(E681&lt;=301,E681/3,E681/4))))</f>
        <v>996.88094999999998</v>
      </c>
      <c r="G681" s="141" t="str">
        <f>A680</f>
        <v>18th &amp; 25th Floor (Part Refuge Area)</v>
      </c>
      <c r="H681" s="142"/>
      <c r="I681" s="36"/>
    </row>
    <row r="682" spans="1:9" s="37" customFormat="1" hidden="1" x14ac:dyDescent="0.25">
      <c r="A682" s="42">
        <v>2</v>
      </c>
      <c r="B682" s="42" t="s">
        <v>212</v>
      </c>
      <c r="C682" s="42" t="s">
        <v>202</v>
      </c>
      <c r="D682" s="52">
        <f>(39.41)*(10.764)</f>
        <v>424.20923999999997</v>
      </c>
      <c r="E682" s="42">
        <v>0</v>
      </c>
      <c r="F682" s="42">
        <f>D682*(($F$519)+1)+(IF(E682&lt;101,E682,IF(E682&lt;201,E682/2,IF(E682&lt;=301,E682/3,E682/4))))</f>
        <v>657.52432199999998</v>
      </c>
      <c r="G682" s="143"/>
      <c r="H682" s="144"/>
      <c r="I682" s="36"/>
    </row>
    <row r="683" spans="1:9" s="37" customFormat="1" hidden="1" x14ac:dyDescent="0.25">
      <c r="A683" s="42">
        <v>3</v>
      </c>
      <c r="B683" s="42" t="s">
        <v>212</v>
      </c>
      <c r="C683" s="42" t="s">
        <v>202</v>
      </c>
      <c r="D683" s="52">
        <f>(39.41)*(10.764)</f>
        <v>424.20923999999997</v>
      </c>
      <c r="E683" s="42">
        <v>0</v>
      </c>
      <c r="F683" s="42">
        <f>D683*(($F$519)+1)+(IF(E683&lt;101,E683,IF(E683&lt;201,E683/2,IF(E683&lt;=301,E683/3,E683/4))))</f>
        <v>657.52432199999998</v>
      </c>
      <c r="G683" s="143"/>
      <c r="H683" s="144"/>
      <c r="I683" s="36"/>
    </row>
    <row r="684" spans="1:9" s="37" customFormat="1" hidden="1" x14ac:dyDescent="0.25">
      <c r="A684" s="42">
        <v>4</v>
      </c>
      <c r="B684" s="42" t="s">
        <v>212</v>
      </c>
      <c r="C684" s="42" t="s">
        <v>187</v>
      </c>
      <c r="D684" s="52">
        <f>(58.7)*(10.764)</f>
        <v>631.84680000000003</v>
      </c>
      <c r="E684" s="42">
        <v>0</v>
      </c>
      <c r="F684" s="42">
        <f>D684*(($F$519)+1)+(IF(E684&lt;101,E684,IF(E684&lt;201,E684/2,IF(E684&lt;=301,E684/3,E684/4))))</f>
        <v>979.36254000000008</v>
      </c>
      <c r="G684" s="143"/>
      <c r="H684" s="144"/>
      <c r="I684" s="36"/>
    </row>
    <row r="685" spans="1:9" s="37" customFormat="1" hidden="1" x14ac:dyDescent="0.25">
      <c r="A685" s="42">
        <v>5</v>
      </c>
      <c r="B685" s="42" t="s">
        <v>190</v>
      </c>
      <c r="C685" s="42" t="s">
        <v>190</v>
      </c>
      <c r="D685" s="147" t="s">
        <v>191</v>
      </c>
      <c r="E685" s="153"/>
      <c r="F685" s="148"/>
      <c r="G685" s="143"/>
      <c r="H685" s="144"/>
      <c r="I685" s="36"/>
    </row>
    <row r="686" spans="1:9" s="37" customFormat="1" hidden="1" x14ac:dyDescent="0.25">
      <c r="A686" s="42">
        <v>6</v>
      </c>
      <c r="B686" s="42" t="s">
        <v>190</v>
      </c>
      <c r="C686" s="42" t="s">
        <v>190</v>
      </c>
      <c r="D686" s="147" t="s">
        <v>191</v>
      </c>
      <c r="E686" s="153">
        <v>0</v>
      </c>
      <c r="F686" s="148" t="e">
        <f>D686*(($F$519)+1)+(IF(E686&lt;101,E686,IF(E686&lt;201,E686/2,IF(E686&lt;=301,E686/3,E686/4))))</f>
        <v>#VALUE!</v>
      </c>
      <c r="G686" s="143"/>
      <c r="H686" s="144"/>
      <c r="I686" s="36"/>
    </row>
    <row r="687" spans="1:9" s="37" customFormat="1" hidden="1" x14ac:dyDescent="0.25">
      <c r="A687" s="97" t="s">
        <v>217</v>
      </c>
      <c r="B687" s="98"/>
      <c r="C687" s="98"/>
      <c r="D687" s="98"/>
      <c r="E687" s="98"/>
      <c r="F687" s="98"/>
      <c r="G687" s="98"/>
      <c r="H687" s="99"/>
      <c r="I687" s="36"/>
    </row>
    <row r="688" spans="1:9" s="37" customFormat="1" hidden="1" x14ac:dyDescent="0.25">
      <c r="A688" s="42">
        <v>1</v>
      </c>
      <c r="B688" s="42" t="s">
        <v>212</v>
      </c>
      <c r="C688" s="42" t="s">
        <v>187</v>
      </c>
      <c r="D688" s="52">
        <f>(59.75)*(10.764)</f>
        <v>643.149</v>
      </c>
      <c r="E688" s="42">
        <v>0</v>
      </c>
      <c r="F688" s="42">
        <f t="shared" ref="F688:F693" si="103">D688*(($F$519)+1)+(IF(E688&lt;101,E688,IF(E688&lt;201,E688/2,IF(E688&lt;=301,E688/3,E688/4))))</f>
        <v>996.88094999999998</v>
      </c>
      <c r="G688" s="141" t="str">
        <f>A687</f>
        <v>19th to 24th, 26th to 31st, 33rd Floor</v>
      </c>
      <c r="H688" s="142"/>
      <c r="I688" s="36"/>
    </row>
    <row r="689" spans="1:11" s="37" customFormat="1" hidden="1" x14ac:dyDescent="0.25">
      <c r="A689" s="42">
        <v>2</v>
      </c>
      <c r="B689" s="42" t="s">
        <v>212</v>
      </c>
      <c r="C689" s="42" t="s">
        <v>202</v>
      </c>
      <c r="D689" s="52">
        <f>(39.41)*(10.764)</f>
        <v>424.20923999999997</v>
      </c>
      <c r="E689" s="42">
        <v>0</v>
      </c>
      <c r="F689" s="42">
        <f t="shared" si="103"/>
        <v>657.52432199999998</v>
      </c>
      <c r="G689" s="143"/>
      <c r="H689" s="144"/>
      <c r="I689" s="36"/>
    </row>
    <row r="690" spans="1:11" s="37" customFormat="1" hidden="1" x14ac:dyDescent="0.25">
      <c r="A690" s="42">
        <v>3</v>
      </c>
      <c r="B690" s="42" t="s">
        <v>212</v>
      </c>
      <c r="C690" s="42" t="s">
        <v>202</v>
      </c>
      <c r="D690" s="52">
        <f>(39.41)*(10.764)</f>
        <v>424.20923999999997</v>
      </c>
      <c r="E690" s="42">
        <v>0</v>
      </c>
      <c r="F690" s="42">
        <f t="shared" si="103"/>
        <v>657.52432199999998</v>
      </c>
      <c r="G690" s="143"/>
      <c r="H690" s="144"/>
      <c r="I690" s="36"/>
    </row>
    <row r="691" spans="1:11" s="37" customFormat="1" hidden="1" x14ac:dyDescent="0.25">
      <c r="A691" s="42">
        <v>4</v>
      </c>
      <c r="B691" s="42" t="s">
        <v>212</v>
      </c>
      <c r="C691" s="42" t="s">
        <v>187</v>
      </c>
      <c r="D691" s="52">
        <f>(58.7)*(10.764)</f>
        <v>631.84680000000003</v>
      </c>
      <c r="E691" s="42">
        <v>0</v>
      </c>
      <c r="F691" s="42">
        <f t="shared" si="103"/>
        <v>979.36254000000008</v>
      </c>
      <c r="G691" s="143"/>
      <c r="H691" s="144"/>
      <c r="I691" s="36"/>
    </row>
    <row r="692" spans="1:11" s="37" customFormat="1" hidden="1" x14ac:dyDescent="0.25">
      <c r="A692" s="42">
        <v>5</v>
      </c>
      <c r="B692" s="42" t="s">
        <v>212</v>
      </c>
      <c r="C692" s="42" t="s">
        <v>202</v>
      </c>
      <c r="D692" s="52">
        <f>(39.41)*(10.764)</f>
        <v>424.20923999999997</v>
      </c>
      <c r="E692" s="42">
        <v>0</v>
      </c>
      <c r="F692" s="42">
        <f t="shared" si="103"/>
        <v>657.52432199999998</v>
      </c>
      <c r="G692" s="143"/>
      <c r="H692" s="144"/>
      <c r="I692" s="36"/>
    </row>
    <row r="693" spans="1:11" s="37" customFormat="1" hidden="1" x14ac:dyDescent="0.25">
      <c r="A693" s="42">
        <v>6</v>
      </c>
      <c r="B693" s="42" t="s">
        <v>212</v>
      </c>
      <c r="C693" s="42" t="s">
        <v>187</v>
      </c>
      <c r="D693" s="52">
        <f>(59.75)*(10.764)</f>
        <v>643.149</v>
      </c>
      <c r="E693" s="42">
        <v>0</v>
      </c>
      <c r="F693" s="42">
        <f t="shared" si="103"/>
        <v>996.88094999999998</v>
      </c>
      <c r="G693" s="143"/>
      <c r="H693" s="144"/>
      <c r="I693" s="36"/>
    </row>
    <row r="694" spans="1:11" s="37" customFormat="1" hidden="1" x14ac:dyDescent="0.25">
      <c r="A694" s="97" t="s">
        <v>235</v>
      </c>
      <c r="B694" s="98"/>
      <c r="C694" s="98"/>
      <c r="D694" s="98"/>
      <c r="E694" s="98"/>
      <c r="F694" s="98"/>
      <c r="G694" s="98"/>
      <c r="H694" s="99"/>
      <c r="I694" s="36"/>
    </row>
    <row r="695" spans="1:11" s="37" customFormat="1" hidden="1" x14ac:dyDescent="0.25">
      <c r="A695" s="42">
        <v>1</v>
      </c>
      <c r="B695" s="42" t="s">
        <v>212</v>
      </c>
      <c r="C695" s="42" t="s">
        <v>187</v>
      </c>
      <c r="D695" s="42">
        <f>59.75*10.764</f>
        <v>643.149</v>
      </c>
      <c r="E695" s="42">
        <v>0</v>
      </c>
      <c r="F695" s="42">
        <f>D695*(($F$519)+1)+(IF(E695&lt;101,E695,IF(E695&lt;201,E695/2,IF(E695&lt;=301,E695/3,E695/4))))</f>
        <v>996.88094999999998</v>
      </c>
      <c r="G695" s="141" t="str">
        <f>A694</f>
        <v>32nd Floor (Part Refuge Area)</v>
      </c>
      <c r="H695" s="142"/>
      <c r="I695" s="36"/>
      <c r="J695" s="37">
        <f>F695*19500</f>
        <v>19439178.524999999</v>
      </c>
      <c r="K695" s="37">
        <f>16558108/F695</f>
        <v>16609.915155866907</v>
      </c>
    </row>
    <row r="696" spans="1:11" s="37" customFormat="1" hidden="1" x14ac:dyDescent="0.25">
      <c r="A696" s="42">
        <v>2</v>
      </c>
      <c r="B696" s="42" t="s">
        <v>212</v>
      </c>
      <c r="C696" s="42" t="s">
        <v>202</v>
      </c>
      <c r="D696" s="42">
        <f>39.41*10.764</f>
        <v>424.20923999999997</v>
      </c>
      <c r="E696" s="42">
        <v>0</v>
      </c>
      <c r="F696" s="42">
        <f>D696*(($F$519)+1)+(IF(E696&lt;101,E696,IF(E696&lt;201,E696/2,IF(E696&lt;=301,E696/3,E696/4))))</f>
        <v>657.52432199999998</v>
      </c>
      <c r="G696" s="143"/>
      <c r="H696" s="144"/>
      <c r="I696" s="36"/>
    </row>
    <row r="697" spans="1:11" s="37" customFormat="1" hidden="1" x14ac:dyDescent="0.25">
      <c r="A697" s="42">
        <v>3</v>
      </c>
      <c r="B697" s="42" t="s">
        <v>212</v>
      </c>
      <c r="C697" s="42" t="s">
        <v>202</v>
      </c>
      <c r="D697" s="42">
        <f>39.41*10.764</f>
        <v>424.20923999999997</v>
      </c>
      <c r="E697" s="42">
        <v>0</v>
      </c>
      <c r="F697" s="42">
        <f>D697*(($F$519)+1)+(IF(E697&lt;101,E697,IF(E697&lt;201,E697/2,IF(E697&lt;=301,E697/3,E697/4))))</f>
        <v>657.52432199999998</v>
      </c>
      <c r="G697" s="143"/>
      <c r="H697" s="144"/>
      <c r="I697" s="36"/>
    </row>
    <row r="698" spans="1:11" s="37" customFormat="1" hidden="1" x14ac:dyDescent="0.25">
      <c r="A698" s="42">
        <v>4</v>
      </c>
      <c r="B698" s="42" t="s">
        <v>212</v>
      </c>
      <c r="C698" s="42" t="s">
        <v>187</v>
      </c>
      <c r="D698" s="42">
        <f>58.7*10.764</f>
        <v>631.84680000000003</v>
      </c>
      <c r="E698" s="42">
        <v>0</v>
      </c>
      <c r="F698" s="42">
        <f>D698*(($F$519)+1)+(IF(E698&lt;101,E698,IF(E698&lt;201,E698/2,IF(E698&lt;=301,E698/3,E698/4))))</f>
        <v>979.36254000000008</v>
      </c>
      <c r="G698" s="143"/>
      <c r="H698" s="144"/>
      <c r="I698" s="36"/>
    </row>
    <row r="699" spans="1:11" s="37" customFormat="1" hidden="1" x14ac:dyDescent="0.25">
      <c r="A699" s="42">
        <v>5</v>
      </c>
      <c r="B699" s="42" t="s">
        <v>190</v>
      </c>
      <c r="C699" s="42" t="s">
        <v>190</v>
      </c>
      <c r="D699" s="147" t="s">
        <v>191</v>
      </c>
      <c r="E699" s="153"/>
      <c r="F699" s="148"/>
      <c r="G699" s="143"/>
      <c r="H699" s="144"/>
      <c r="I699" s="36"/>
    </row>
    <row r="700" spans="1:11" s="37" customFormat="1" hidden="1" x14ac:dyDescent="0.25">
      <c r="A700" s="42">
        <v>6</v>
      </c>
      <c r="B700" s="42" t="s">
        <v>190</v>
      </c>
      <c r="C700" s="42" t="s">
        <v>190</v>
      </c>
      <c r="D700" s="147" t="s">
        <v>191</v>
      </c>
      <c r="E700" s="153">
        <v>0</v>
      </c>
      <c r="F700" s="148" t="e">
        <f>D700*(($F$519)+1)+(IF(E700&lt;101,E700,IF(E700&lt;201,E700/2,IF(E700&lt;=301,E700/3,E700/4))))</f>
        <v>#VALUE!</v>
      </c>
      <c r="G700" s="143"/>
      <c r="H700" s="144"/>
      <c r="I700" s="36"/>
    </row>
    <row r="701" spans="1:11" s="37" customFormat="1" hidden="1" x14ac:dyDescent="0.25">
      <c r="A701" s="97" t="s">
        <v>199</v>
      </c>
      <c r="B701" s="98"/>
      <c r="C701" s="98"/>
      <c r="D701" s="98"/>
      <c r="E701" s="98"/>
      <c r="F701" s="98"/>
      <c r="G701" s="98"/>
      <c r="H701" s="99"/>
      <c r="I701" s="36"/>
    </row>
    <row r="702" spans="1:11" s="37" customFormat="1" hidden="1" x14ac:dyDescent="0.25">
      <c r="A702" s="97" t="s">
        <v>208</v>
      </c>
      <c r="B702" s="98"/>
      <c r="C702" s="98"/>
      <c r="D702" s="98"/>
      <c r="E702" s="98"/>
      <c r="F702" s="98"/>
      <c r="G702" s="98"/>
      <c r="H702" s="99"/>
      <c r="I702" s="36"/>
    </row>
    <row r="703" spans="1:11" s="37" customFormat="1" hidden="1" x14ac:dyDescent="0.25">
      <c r="A703" s="97" t="s">
        <v>210</v>
      </c>
      <c r="B703" s="98"/>
      <c r="C703" s="98"/>
      <c r="D703" s="98"/>
      <c r="E703" s="98"/>
      <c r="F703" s="98"/>
      <c r="G703" s="98"/>
      <c r="H703" s="99"/>
      <c r="I703" s="36"/>
    </row>
    <row r="704" spans="1:11" s="37" customFormat="1" hidden="1" x14ac:dyDescent="0.25">
      <c r="A704" s="97" t="s">
        <v>211</v>
      </c>
      <c r="B704" s="98"/>
      <c r="C704" s="98"/>
      <c r="D704" s="98"/>
      <c r="E704" s="98"/>
      <c r="F704" s="98"/>
      <c r="G704" s="98"/>
      <c r="H704" s="99"/>
      <c r="I704" s="36"/>
    </row>
    <row r="705" spans="1:9" s="37" customFormat="1" ht="15.75" hidden="1" customHeight="1" x14ac:dyDescent="0.25">
      <c r="A705" s="42">
        <v>1</v>
      </c>
      <c r="B705" s="42" t="s">
        <v>212</v>
      </c>
      <c r="C705" s="42" t="s">
        <v>187</v>
      </c>
      <c r="D705" s="52">
        <f>(59.75)*(10.764)</f>
        <v>643.149</v>
      </c>
      <c r="E705" s="42">
        <v>0</v>
      </c>
      <c r="F705" s="42">
        <f t="shared" ref="F705:F712" si="104">D705*(($F$519)+1)+(IF(E705&lt;101,E705,IF(E705&lt;201,E705/2,IF(E705&lt;=301,E705/3,E705/4))))</f>
        <v>996.88094999999998</v>
      </c>
      <c r="G705" s="141" t="str">
        <f>A704</f>
        <v>12th Floor For Residential</v>
      </c>
      <c r="H705" s="142"/>
      <c r="I705" s="36"/>
    </row>
    <row r="706" spans="1:9" s="37" customFormat="1" hidden="1" x14ac:dyDescent="0.25">
      <c r="A706" s="42">
        <v>2</v>
      </c>
      <c r="B706" s="42" t="s">
        <v>212</v>
      </c>
      <c r="C706" s="42" t="s">
        <v>202</v>
      </c>
      <c r="D706" s="52">
        <f>(39.41)*(10.764)</f>
        <v>424.20923999999997</v>
      </c>
      <c r="E706" s="42">
        <v>0</v>
      </c>
      <c r="F706" s="42">
        <f t="shared" si="104"/>
        <v>657.52432199999998</v>
      </c>
      <c r="G706" s="143"/>
      <c r="H706" s="144"/>
      <c r="I706" s="36"/>
    </row>
    <row r="707" spans="1:9" s="37" customFormat="1" hidden="1" x14ac:dyDescent="0.25">
      <c r="A707" s="42">
        <v>3</v>
      </c>
      <c r="B707" s="42" t="s">
        <v>212</v>
      </c>
      <c r="C707" s="42" t="s">
        <v>202</v>
      </c>
      <c r="D707" s="52">
        <f>(39.41)*(10.764)</f>
        <v>424.20923999999997</v>
      </c>
      <c r="E707" s="42">
        <v>0</v>
      </c>
      <c r="F707" s="42">
        <f t="shared" si="104"/>
        <v>657.52432199999998</v>
      </c>
      <c r="G707" s="143"/>
      <c r="H707" s="144"/>
      <c r="I707" s="36"/>
    </row>
    <row r="708" spans="1:9" s="37" customFormat="1" hidden="1" x14ac:dyDescent="0.25">
      <c r="A708" s="42">
        <v>4</v>
      </c>
      <c r="B708" s="42" t="s">
        <v>212</v>
      </c>
      <c r="C708" s="42" t="s">
        <v>187</v>
      </c>
      <c r="D708" s="52">
        <f>(59.75)*(10.764)</f>
        <v>643.149</v>
      </c>
      <c r="E708" s="42">
        <v>0</v>
      </c>
      <c r="F708" s="42">
        <f t="shared" si="104"/>
        <v>996.88094999999998</v>
      </c>
      <c r="G708" s="143"/>
      <c r="H708" s="144"/>
      <c r="I708" s="36"/>
    </row>
    <row r="709" spans="1:9" s="37" customFormat="1" hidden="1" x14ac:dyDescent="0.25">
      <c r="A709" s="42">
        <v>5</v>
      </c>
      <c r="B709" s="42" t="s">
        <v>212</v>
      </c>
      <c r="C709" s="42" t="s">
        <v>187</v>
      </c>
      <c r="D709" s="52">
        <f>(59.75)*(10.764)</f>
        <v>643.149</v>
      </c>
      <c r="E709" s="42">
        <v>0</v>
      </c>
      <c r="F709" s="42">
        <f t="shared" si="104"/>
        <v>996.88094999999998</v>
      </c>
      <c r="G709" s="143"/>
      <c r="H709" s="144"/>
      <c r="I709" s="36"/>
    </row>
    <row r="710" spans="1:9" s="37" customFormat="1" hidden="1" x14ac:dyDescent="0.25">
      <c r="A710" s="42">
        <v>6</v>
      </c>
      <c r="B710" s="42" t="s">
        <v>212</v>
      </c>
      <c r="C710" s="42" t="s">
        <v>202</v>
      </c>
      <c r="D710" s="52">
        <f>(39.41)*(10.764)</f>
        <v>424.20923999999997</v>
      </c>
      <c r="E710" s="42">
        <v>0</v>
      </c>
      <c r="F710" s="42">
        <f t="shared" si="104"/>
        <v>657.52432199999998</v>
      </c>
      <c r="G710" s="143"/>
      <c r="H710" s="144"/>
      <c r="I710" s="36"/>
    </row>
    <row r="711" spans="1:9" s="37" customFormat="1" hidden="1" x14ac:dyDescent="0.25">
      <c r="A711" s="42">
        <v>7</v>
      </c>
      <c r="B711" s="42" t="s">
        <v>212</v>
      </c>
      <c r="C711" s="42" t="s">
        <v>202</v>
      </c>
      <c r="D711" s="52">
        <f>(39.41)*(10.764)</f>
        <v>424.20923999999997</v>
      </c>
      <c r="E711" s="42">
        <v>0</v>
      </c>
      <c r="F711" s="42">
        <f t="shared" si="104"/>
        <v>657.52432199999998</v>
      </c>
      <c r="G711" s="143"/>
      <c r="H711" s="144"/>
      <c r="I711" s="36"/>
    </row>
    <row r="712" spans="1:9" s="37" customFormat="1" hidden="1" x14ac:dyDescent="0.25">
      <c r="A712" s="42">
        <v>8</v>
      </c>
      <c r="B712" s="42" t="s">
        <v>212</v>
      </c>
      <c r="C712" s="42" t="s">
        <v>187</v>
      </c>
      <c r="D712" s="52">
        <f>(59.75)*(10.764)</f>
        <v>643.149</v>
      </c>
      <c r="E712" s="42">
        <v>0</v>
      </c>
      <c r="F712" s="42">
        <f t="shared" si="104"/>
        <v>996.88094999999998</v>
      </c>
      <c r="G712" s="145"/>
      <c r="H712" s="146"/>
      <c r="I712" s="36"/>
    </row>
    <row r="713" spans="1:9" s="37" customFormat="1" hidden="1" x14ac:dyDescent="0.25">
      <c r="A713" s="97" t="s">
        <v>213</v>
      </c>
      <c r="B713" s="98"/>
      <c r="C713" s="98"/>
      <c r="D713" s="98"/>
      <c r="E713" s="98"/>
      <c r="F713" s="98"/>
      <c r="G713" s="98"/>
      <c r="H713" s="99"/>
      <c r="I713" s="36"/>
    </row>
    <row r="714" spans="1:9" s="37" customFormat="1" hidden="1" x14ac:dyDescent="0.25">
      <c r="A714" s="42">
        <v>1</v>
      </c>
      <c r="B714" s="42" t="s">
        <v>212</v>
      </c>
      <c r="C714" s="42" t="s">
        <v>187</v>
      </c>
      <c r="D714" s="52">
        <f>(59.75)*(10.764)</f>
        <v>643.149</v>
      </c>
      <c r="E714" s="42">
        <v>0</v>
      </c>
      <c r="F714" s="42">
        <f t="shared" ref="F714:F721" si="105">D714*(($F$519)+1)+(IF(E714&lt;101,E714,IF(E714&lt;201,E714/2,IF(E714&lt;=301,E714/3,E714/4))))</f>
        <v>996.88094999999998</v>
      </c>
      <c r="G714" s="141" t="str">
        <f>A713</f>
        <v>13th Floor</v>
      </c>
      <c r="H714" s="142"/>
      <c r="I714" s="36"/>
    </row>
    <row r="715" spans="1:9" s="37" customFormat="1" hidden="1" x14ac:dyDescent="0.25">
      <c r="A715" s="42">
        <v>2</v>
      </c>
      <c r="B715" s="42" t="s">
        <v>212</v>
      </c>
      <c r="C715" s="42" t="s">
        <v>202</v>
      </c>
      <c r="D715" s="52">
        <f>(39.41)*(10.764)</f>
        <v>424.20923999999997</v>
      </c>
      <c r="E715" s="42">
        <v>0</v>
      </c>
      <c r="F715" s="42">
        <f t="shared" si="105"/>
        <v>657.52432199999998</v>
      </c>
      <c r="G715" s="143"/>
      <c r="H715" s="144"/>
      <c r="I715" s="36"/>
    </row>
    <row r="716" spans="1:9" s="37" customFormat="1" hidden="1" x14ac:dyDescent="0.25">
      <c r="A716" s="42">
        <v>3</v>
      </c>
      <c r="B716" s="42" t="s">
        <v>212</v>
      </c>
      <c r="C716" s="42" t="s">
        <v>202</v>
      </c>
      <c r="D716" s="52">
        <f>(39.41)*(10.764)</f>
        <v>424.20923999999997</v>
      </c>
      <c r="E716" s="42">
        <v>0</v>
      </c>
      <c r="F716" s="42">
        <f t="shared" si="105"/>
        <v>657.52432199999998</v>
      </c>
      <c r="G716" s="143"/>
      <c r="H716" s="144"/>
      <c r="I716" s="36"/>
    </row>
    <row r="717" spans="1:9" s="37" customFormat="1" hidden="1" x14ac:dyDescent="0.25">
      <c r="A717" s="42">
        <v>4</v>
      </c>
      <c r="B717" s="42" t="s">
        <v>212</v>
      </c>
      <c r="C717" s="42" t="s">
        <v>187</v>
      </c>
      <c r="D717" s="52">
        <f>(59.75)*(10.764)</f>
        <v>643.149</v>
      </c>
      <c r="E717" s="42">
        <v>0</v>
      </c>
      <c r="F717" s="42">
        <f t="shared" si="105"/>
        <v>996.88094999999998</v>
      </c>
      <c r="G717" s="143"/>
      <c r="H717" s="144"/>
      <c r="I717" s="36"/>
    </row>
    <row r="718" spans="1:9" s="37" customFormat="1" hidden="1" x14ac:dyDescent="0.25">
      <c r="A718" s="42">
        <v>5</v>
      </c>
      <c r="B718" s="42" t="s">
        <v>212</v>
      </c>
      <c r="C718" s="42" t="s">
        <v>187</v>
      </c>
      <c r="D718" s="52">
        <f>(59.75)*(10.764)</f>
        <v>643.149</v>
      </c>
      <c r="E718" s="42">
        <v>0</v>
      </c>
      <c r="F718" s="42">
        <f t="shared" si="105"/>
        <v>996.88094999999998</v>
      </c>
      <c r="G718" s="143"/>
      <c r="H718" s="144"/>
      <c r="I718" s="36"/>
    </row>
    <row r="719" spans="1:9" s="37" customFormat="1" hidden="1" x14ac:dyDescent="0.25">
      <c r="A719" s="42">
        <v>6</v>
      </c>
      <c r="B719" s="42" t="s">
        <v>212</v>
      </c>
      <c r="C719" s="42" t="s">
        <v>202</v>
      </c>
      <c r="D719" s="52">
        <f>(39.41)*(10.764)</f>
        <v>424.20923999999997</v>
      </c>
      <c r="E719" s="42">
        <v>0</v>
      </c>
      <c r="F719" s="42">
        <f t="shared" si="105"/>
        <v>657.52432199999998</v>
      </c>
      <c r="G719" s="143"/>
      <c r="H719" s="144"/>
      <c r="I719" s="36"/>
    </row>
    <row r="720" spans="1:9" s="37" customFormat="1" hidden="1" x14ac:dyDescent="0.25">
      <c r="A720" s="42">
        <v>7</v>
      </c>
      <c r="B720" s="42" t="s">
        <v>212</v>
      </c>
      <c r="C720" s="42" t="s">
        <v>202</v>
      </c>
      <c r="D720" s="52">
        <f>(39.41)*(10.764)</f>
        <v>424.20923999999997</v>
      </c>
      <c r="E720" s="42">
        <v>0</v>
      </c>
      <c r="F720" s="42">
        <f t="shared" si="105"/>
        <v>657.52432199999998</v>
      </c>
      <c r="G720" s="143"/>
      <c r="H720" s="144"/>
      <c r="I720" s="36"/>
    </row>
    <row r="721" spans="1:9" s="37" customFormat="1" hidden="1" x14ac:dyDescent="0.25">
      <c r="A721" s="42">
        <v>8</v>
      </c>
      <c r="B721" s="42" t="s">
        <v>212</v>
      </c>
      <c r="C721" s="42" t="s">
        <v>187</v>
      </c>
      <c r="D721" s="52">
        <f>(59.75)*(10.764)</f>
        <v>643.149</v>
      </c>
      <c r="E721" s="42">
        <v>0</v>
      </c>
      <c r="F721" s="42">
        <f t="shared" si="105"/>
        <v>996.88094999999998</v>
      </c>
      <c r="G721" s="145"/>
      <c r="H721" s="146"/>
      <c r="I721" s="36"/>
    </row>
    <row r="722" spans="1:9" s="37" customFormat="1" hidden="1" x14ac:dyDescent="0.25">
      <c r="A722" s="97" t="s">
        <v>214</v>
      </c>
      <c r="B722" s="98"/>
      <c r="C722" s="98"/>
      <c r="D722" s="98"/>
      <c r="E722" s="98"/>
      <c r="F722" s="98"/>
      <c r="G722" s="98"/>
      <c r="H722" s="99"/>
      <c r="I722" s="36"/>
    </row>
    <row r="723" spans="1:9" s="37" customFormat="1" hidden="1" x14ac:dyDescent="0.25">
      <c r="A723" s="42">
        <v>1</v>
      </c>
      <c r="B723" s="42" t="s">
        <v>212</v>
      </c>
      <c r="C723" s="42" t="s">
        <v>187</v>
      </c>
      <c r="D723" s="52">
        <f>(59.75)*(10.764)</f>
        <v>643.149</v>
      </c>
      <c r="E723" s="42">
        <v>0</v>
      </c>
      <c r="F723" s="42">
        <f t="shared" ref="F723:F730" si="106">D723*(($F$519)+1)+(IF(E723&lt;101,E723,IF(E723&lt;201,E723/2,IF(E723&lt;=301,E723/3,E723/4))))</f>
        <v>996.88094999999998</v>
      </c>
      <c r="G723" s="141" t="str">
        <f>A722</f>
        <v>14th Floor</v>
      </c>
      <c r="H723" s="142"/>
      <c r="I723" s="36"/>
    </row>
    <row r="724" spans="1:9" s="37" customFormat="1" hidden="1" x14ac:dyDescent="0.25">
      <c r="A724" s="42">
        <v>2</v>
      </c>
      <c r="B724" s="42" t="s">
        <v>212</v>
      </c>
      <c r="C724" s="42" t="s">
        <v>202</v>
      </c>
      <c r="D724" s="52">
        <f>(39.41)*(10.764)</f>
        <v>424.20923999999997</v>
      </c>
      <c r="E724" s="42">
        <v>0</v>
      </c>
      <c r="F724" s="42">
        <f t="shared" si="106"/>
        <v>657.52432199999998</v>
      </c>
      <c r="G724" s="143"/>
      <c r="H724" s="144"/>
      <c r="I724" s="36"/>
    </row>
    <row r="725" spans="1:9" s="37" customFormat="1" hidden="1" x14ac:dyDescent="0.25">
      <c r="A725" s="42">
        <v>3</v>
      </c>
      <c r="B725" s="42" t="s">
        <v>212</v>
      </c>
      <c r="C725" s="42" t="s">
        <v>202</v>
      </c>
      <c r="D725" s="52">
        <f>(39.41)*(10.764)</f>
        <v>424.20923999999997</v>
      </c>
      <c r="E725" s="42">
        <v>0</v>
      </c>
      <c r="F725" s="42">
        <f t="shared" si="106"/>
        <v>657.52432199999998</v>
      </c>
      <c r="G725" s="143"/>
      <c r="H725" s="144"/>
      <c r="I725" s="36"/>
    </row>
    <row r="726" spans="1:9" s="37" customFormat="1" hidden="1" x14ac:dyDescent="0.25">
      <c r="A726" s="42">
        <v>4</v>
      </c>
      <c r="B726" s="42" t="s">
        <v>212</v>
      </c>
      <c r="C726" s="42" t="s">
        <v>187</v>
      </c>
      <c r="D726" s="52">
        <f>(59.75)*(10.764)</f>
        <v>643.149</v>
      </c>
      <c r="E726" s="42">
        <v>0</v>
      </c>
      <c r="F726" s="42">
        <f t="shared" si="106"/>
        <v>996.88094999999998</v>
      </c>
      <c r="G726" s="143"/>
      <c r="H726" s="144"/>
      <c r="I726" s="36"/>
    </row>
    <row r="727" spans="1:9" s="37" customFormat="1" hidden="1" x14ac:dyDescent="0.25">
      <c r="A727" s="42">
        <v>5</v>
      </c>
      <c r="B727" s="42" t="s">
        <v>212</v>
      </c>
      <c r="C727" s="42" t="s">
        <v>187</v>
      </c>
      <c r="D727" s="52">
        <f>(59.75)*(10.764)</f>
        <v>643.149</v>
      </c>
      <c r="E727" s="42">
        <v>0</v>
      </c>
      <c r="F727" s="42">
        <f t="shared" si="106"/>
        <v>996.88094999999998</v>
      </c>
      <c r="G727" s="143"/>
      <c r="H727" s="144"/>
      <c r="I727" s="36"/>
    </row>
    <row r="728" spans="1:9" s="37" customFormat="1" hidden="1" x14ac:dyDescent="0.25">
      <c r="A728" s="42">
        <v>6</v>
      </c>
      <c r="B728" s="42" t="s">
        <v>212</v>
      </c>
      <c r="C728" s="42" t="s">
        <v>202</v>
      </c>
      <c r="D728" s="52">
        <f>(39.41)*(10.764)</f>
        <v>424.20923999999997</v>
      </c>
      <c r="E728" s="42">
        <v>0</v>
      </c>
      <c r="F728" s="42">
        <f t="shared" si="106"/>
        <v>657.52432199999998</v>
      </c>
      <c r="G728" s="143"/>
      <c r="H728" s="144"/>
      <c r="I728" s="36"/>
    </row>
    <row r="729" spans="1:9" s="37" customFormat="1" hidden="1" x14ac:dyDescent="0.25">
      <c r="A729" s="42">
        <v>7</v>
      </c>
      <c r="B729" s="42" t="s">
        <v>212</v>
      </c>
      <c r="C729" s="42" t="s">
        <v>202</v>
      </c>
      <c r="D729" s="52">
        <f>(39.41)*(10.764)</f>
        <v>424.20923999999997</v>
      </c>
      <c r="E729" s="42">
        <v>0</v>
      </c>
      <c r="F729" s="42">
        <f t="shared" si="106"/>
        <v>657.52432199999998</v>
      </c>
      <c r="G729" s="143"/>
      <c r="H729" s="144"/>
      <c r="I729" s="36"/>
    </row>
    <row r="730" spans="1:9" s="37" customFormat="1" hidden="1" x14ac:dyDescent="0.25">
      <c r="A730" s="42">
        <v>8</v>
      </c>
      <c r="B730" s="42" t="s">
        <v>212</v>
      </c>
      <c r="C730" s="42" t="s">
        <v>187</v>
      </c>
      <c r="D730" s="52">
        <f>(59.75)*(10.764)</f>
        <v>643.149</v>
      </c>
      <c r="E730" s="42">
        <v>0</v>
      </c>
      <c r="F730" s="42">
        <f t="shared" si="106"/>
        <v>996.88094999999998</v>
      </c>
      <c r="G730" s="145"/>
      <c r="H730" s="146"/>
      <c r="I730" s="36"/>
    </row>
    <row r="731" spans="1:9" s="37" customFormat="1" hidden="1" x14ac:dyDescent="0.25">
      <c r="A731" s="97" t="s">
        <v>215</v>
      </c>
      <c r="B731" s="98"/>
      <c r="C731" s="98"/>
      <c r="D731" s="98"/>
      <c r="E731" s="98"/>
      <c r="F731" s="98"/>
      <c r="G731" s="98"/>
      <c r="H731" s="99"/>
      <c r="I731" s="36"/>
    </row>
    <row r="732" spans="1:9" s="37" customFormat="1" hidden="1" x14ac:dyDescent="0.25">
      <c r="A732" s="42">
        <v>1</v>
      </c>
      <c r="B732" s="42" t="s">
        <v>212</v>
      </c>
      <c r="C732" s="42" t="s">
        <v>187</v>
      </c>
      <c r="D732" s="52">
        <f>(59.75)*(10.764)</f>
        <v>643.149</v>
      </c>
      <c r="E732" s="42">
        <v>0</v>
      </c>
      <c r="F732" s="42">
        <f t="shared" ref="F732:F739" si="107">D732*(($F$519)+1)+(IF(E732&lt;101,E732,IF(E732&lt;201,E732/2,IF(E732&lt;=301,E732/3,E732/4))))</f>
        <v>996.88094999999998</v>
      </c>
      <c r="G732" s="141" t="str">
        <f>A731</f>
        <v>15th, 16th Floor</v>
      </c>
      <c r="H732" s="142"/>
      <c r="I732" s="36"/>
    </row>
    <row r="733" spans="1:9" s="37" customFormat="1" hidden="1" x14ac:dyDescent="0.25">
      <c r="A733" s="42">
        <v>2</v>
      </c>
      <c r="B733" s="42" t="s">
        <v>212</v>
      </c>
      <c r="C733" s="42" t="s">
        <v>202</v>
      </c>
      <c r="D733" s="52">
        <f>(39.41)*(10.764)</f>
        <v>424.20923999999997</v>
      </c>
      <c r="E733" s="42">
        <v>0</v>
      </c>
      <c r="F733" s="42">
        <f t="shared" si="107"/>
        <v>657.52432199999998</v>
      </c>
      <c r="G733" s="143"/>
      <c r="H733" s="144"/>
      <c r="I733" s="36"/>
    </row>
    <row r="734" spans="1:9" s="37" customFormat="1" hidden="1" x14ac:dyDescent="0.25">
      <c r="A734" s="42">
        <v>3</v>
      </c>
      <c r="B734" s="42" t="s">
        <v>212</v>
      </c>
      <c r="C734" s="42" t="s">
        <v>202</v>
      </c>
      <c r="D734" s="52">
        <f>(39.41)*(10.764)</f>
        <v>424.20923999999997</v>
      </c>
      <c r="E734" s="42">
        <v>0</v>
      </c>
      <c r="F734" s="42">
        <f t="shared" si="107"/>
        <v>657.52432199999998</v>
      </c>
      <c r="G734" s="143"/>
      <c r="H734" s="144"/>
      <c r="I734" s="36"/>
    </row>
    <row r="735" spans="1:9" s="37" customFormat="1" hidden="1" x14ac:dyDescent="0.25">
      <c r="A735" s="42">
        <v>4</v>
      </c>
      <c r="B735" s="42" t="s">
        <v>212</v>
      </c>
      <c r="C735" s="42" t="s">
        <v>187</v>
      </c>
      <c r="D735" s="52">
        <f>(59.75)*(10.764)</f>
        <v>643.149</v>
      </c>
      <c r="E735" s="42">
        <v>0</v>
      </c>
      <c r="F735" s="42">
        <f t="shared" si="107"/>
        <v>996.88094999999998</v>
      </c>
      <c r="G735" s="143"/>
      <c r="H735" s="144"/>
      <c r="I735" s="36"/>
    </row>
    <row r="736" spans="1:9" s="37" customFormat="1" hidden="1" x14ac:dyDescent="0.25">
      <c r="A736" s="42">
        <v>5</v>
      </c>
      <c r="B736" s="42" t="s">
        <v>212</v>
      </c>
      <c r="C736" s="42" t="s">
        <v>187</v>
      </c>
      <c r="D736" s="52">
        <f>(59.75)*(10.764)</f>
        <v>643.149</v>
      </c>
      <c r="E736" s="42">
        <v>0</v>
      </c>
      <c r="F736" s="42">
        <f t="shared" si="107"/>
        <v>996.88094999999998</v>
      </c>
      <c r="G736" s="143"/>
      <c r="H736" s="144"/>
      <c r="I736" s="36"/>
    </row>
    <row r="737" spans="1:9" s="37" customFormat="1" hidden="1" x14ac:dyDescent="0.25">
      <c r="A737" s="42">
        <v>6</v>
      </c>
      <c r="B737" s="42" t="s">
        <v>212</v>
      </c>
      <c r="C737" s="42" t="s">
        <v>202</v>
      </c>
      <c r="D737" s="52">
        <f>(39.41)*(10.764)</f>
        <v>424.20923999999997</v>
      </c>
      <c r="E737" s="42">
        <v>0</v>
      </c>
      <c r="F737" s="42">
        <f t="shared" si="107"/>
        <v>657.52432199999998</v>
      </c>
      <c r="G737" s="143"/>
      <c r="H737" s="144"/>
      <c r="I737" s="36"/>
    </row>
    <row r="738" spans="1:9" s="37" customFormat="1" hidden="1" x14ac:dyDescent="0.25">
      <c r="A738" s="42">
        <v>7</v>
      </c>
      <c r="B738" s="42" t="s">
        <v>212</v>
      </c>
      <c r="C738" s="42" t="s">
        <v>202</v>
      </c>
      <c r="D738" s="52">
        <f>(39.41)*(10.764)</f>
        <v>424.20923999999997</v>
      </c>
      <c r="E738" s="42">
        <v>0</v>
      </c>
      <c r="F738" s="42">
        <f t="shared" si="107"/>
        <v>657.52432199999998</v>
      </c>
      <c r="G738" s="143"/>
      <c r="H738" s="144"/>
      <c r="I738" s="36"/>
    </row>
    <row r="739" spans="1:9" s="37" customFormat="1" hidden="1" x14ac:dyDescent="0.25">
      <c r="A739" s="42">
        <v>8</v>
      </c>
      <c r="B739" s="42" t="s">
        <v>212</v>
      </c>
      <c r="C739" s="42" t="s">
        <v>187</v>
      </c>
      <c r="D739" s="52">
        <f>(59.75)*(10.764)</f>
        <v>643.149</v>
      </c>
      <c r="E739" s="42">
        <v>0</v>
      </c>
      <c r="F739" s="42">
        <f t="shared" si="107"/>
        <v>996.88094999999998</v>
      </c>
      <c r="G739" s="145"/>
      <c r="H739" s="146"/>
      <c r="I739" s="36"/>
    </row>
    <row r="740" spans="1:9" s="37" customFormat="1" hidden="1" x14ac:dyDescent="0.25">
      <c r="A740" s="97" t="s">
        <v>216</v>
      </c>
      <c r="B740" s="98"/>
      <c r="C740" s="98"/>
      <c r="D740" s="98"/>
      <c r="E740" s="98"/>
      <c r="F740" s="98"/>
      <c r="G740" s="98"/>
      <c r="H740" s="99"/>
      <c r="I740" s="36"/>
    </row>
    <row r="741" spans="1:9" s="37" customFormat="1" hidden="1" x14ac:dyDescent="0.25">
      <c r="A741" s="42">
        <v>1</v>
      </c>
      <c r="B741" s="42" t="s">
        <v>212</v>
      </c>
      <c r="C741" s="42" t="s">
        <v>187</v>
      </c>
      <c r="D741" s="52">
        <f>(59.75)*(10.764)</f>
        <v>643.149</v>
      </c>
      <c r="E741" s="42">
        <v>0</v>
      </c>
      <c r="F741" s="42">
        <f t="shared" ref="F741:F748" si="108">D741*(($F$519)+1)+(IF(E741&lt;101,E741,IF(E741&lt;201,E741/2,IF(E741&lt;=301,E741/3,E741/4))))</f>
        <v>996.88094999999998</v>
      </c>
      <c r="G741" s="141" t="str">
        <f>A740</f>
        <v>17th Floor</v>
      </c>
      <c r="H741" s="142"/>
      <c r="I741" s="36"/>
    </row>
    <row r="742" spans="1:9" s="37" customFormat="1" hidden="1" x14ac:dyDescent="0.25">
      <c r="A742" s="42">
        <v>2</v>
      </c>
      <c r="B742" s="42" t="s">
        <v>212</v>
      </c>
      <c r="C742" s="42" t="s">
        <v>202</v>
      </c>
      <c r="D742" s="52">
        <f>(39.41)*(10.764)</f>
        <v>424.20923999999997</v>
      </c>
      <c r="E742" s="42">
        <v>0</v>
      </c>
      <c r="F742" s="42">
        <f t="shared" si="108"/>
        <v>657.52432199999998</v>
      </c>
      <c r="G742" s="143"/>
      <c r="H742" s="144"/>
      <c r="I742" s="36"/>
    </row>
    <row r="743" spans="1:9" s="37" customFormat="1" hidden="1" x14ac:dyDescent="0.25">
      <c r="A743" s="42">
        <v>3</v>
      </c>
      <c r="B743" s="42" t="s">
        <v>212</v>
      </c>
      <c r="C743" s="42" t="s">
        <v>202</v>
      </c>
      <c r="D743" s="52">
        <f>(39.41)*(10.764)</f>
        <v>424.20923999999997</v>
      </c>
      <c r="E743" s="42">
        <v>0</v>
      </c>
      <c r="F743" s="42">
        <f t="shared" si="108"/>
        <v>657.52432199999998</v>
      </c>
      <c r="G743" s="143"/>
      <c r="H743" s="144"/>
      <c r="I743" s="36"/>
    </row>
    <row r="744" spans="1:9" s="37" customFormat="1" hidden="1" x14ac:dyDescent="0.25">
      <c r="A744" s="42">
        <v>4</v>
      </c>
      <c r="B744" s="42" t="s">
        <v>212</v>
      </c>
      <c r="C744" s="42" t="s">
        <v>187</v>
      </c>
      <c r="D744" s="52">
        <f>(59.75)*(10.764)</f>
        <v>643.149</v>
      </c>
      <c r="E744" s="42">
        <v>0</v>
      </c>
      <c r="F744" s="42">
        <f t="shared" si="108"/>
        <v>996.88094999999998</v>
      </c>
      <c r="G744" s="143"/>
      <c r="H744" s="144"/>
      <c r="I744" s="36"/>
    </row>
    <row r="745" spans="1:9" s="37" customFormat="1" hidden="1" x14ac:dyDescent="0.25">
      <c r="A745" s="42">
        <v>5</v>
      </c>
      <c r="B745" s="42" t="s">
        <v>212</v>
      </c>
      <c r="C745" s="42" t="s">
        <v>187</v>
      </c>
      <c r="D745" s="52">
        <f>(59.75)*(10.764)</f>
        <v>643.149</v>
      </c>
      <c r="E745" s="42">
        <v>0</v>
      </c>
      <c r="F745" s="42">
        <f t="shared" si="108"/>
        <v>996.88094999999998</v>
      </c>
      <c r="G745" s="143"/>
      <c r="H745" s="144"/>
      <c r="I745" s="36"/>
    </row>
    <row r="746" spans="1:9" s="37" customFormat="1" hidden="1" x14ac:dyDescent="0.25">
      <c r="A746" s="42">
        <v>6</v>
      </c>
      <c r="B746" s="42" t="s">
        <v>212</v>
      </c>
      <c r="C746" s="42" t="s">
        <v>202</v>
      </c>
      <c r="D746" s="52">
        <f>(39.41)*(10.764)</f>
        <v>424.20923999999997</v>
      </c>
      <c r="E746" s="42">
        <v>0</v>
      </c>
      <c r="F746" s="42">
        <f t="shared" si="108"/>
        <v>657.52432199999998</v>
      </c>
      <c r="G746" s="143"/>
      <c r="H746" s="144"/>
      <c r="I746" s="36"/>
    </row>
    <row r="747" spans="1:9" s="37" customFormat="1" hidden="1" x14ac:dyDescent="0.25">
      <c r="A747" s="42">
        <v>7</v>
      </c>
      <c r="B747" s="42" t="s">
        <v>212</v>
      </c>
      <c r="C747" s="42" t="s">
        <v>202</v>
      </c>
      <c r="D747" s="52">
        <f>(39.41)*(10.764)</f>
        <v>424.20923999999997</v>
      </c>
      <c r="E747" s="42">
        <v>0</v>
      </c>
      <c r="F747" s="42">
        <f t="shared" si="108"/>
        <v>657.52432199999998</v>
      </c>
      <c r="G747" s="143"/>
      <c r="H747" s="144"/>
      <c r="I747" s="36"/>
    </row>
    <row r="748" spans="1:9" s="37" customFormat="1" hidden="1" x14ac:dyDescent="0.25">
      <c r="A748" s="42">
        <v>8</v>
      </c>
      <c r="B748" s="42" t="s">
        <v>212</v>
      </c>
      <c r="C748" s="42" t="s">
        <v>187</v>
      </c>
      <c r="D748" s="52">
        <f>(59.75)*(10.764)</f>
        <v>643.149</v>
      </c>
      <c r="E748" s="42">
        <v>0</v>
      </c>
      <c r="F748" s="42">
        <f t="shared" si="108"/>
        <v>996.88094999999998</v>
      </c>
      <c r="G748" s="145"/>
      <c r="H748" s="146"/>
      <c r="I748" s="36"/>
    </row>
    <row r="749" spans="1:9" s="37" customFormat="1" hidden="1" x14ac:dyDescent="0.25">
      <c r="A749" s="97" t="s">
        <v>218</v>
      </c>
      <c r="B749" s="98"/>
      <c r="C749" s="98"/>
      <c r="D749" s="98"/>
      <c r="E749" s="98"/>
      <c r="F749" s="98"/>
      <c r="G749" s="98"/>
      <c r="H749" s="99"/>
      <c r="I749" s="36"/>
    </row>
    <row r="750" spans="1:9" s="37" customFormat="1" hidden="1" x14ac:dyDescent="0.25">
      <c r="A750" s="42">
        <v>1</v>
      </c>
      <c r="B750" s="42" t="s">
        <v>212</v>
      </c>
      <c r="C750" s="42" t="s">
        <v>187</v>
      </c>
      <c r="D750" s="52">
        <f>(59.75)*(10.764)</f>
        <v>643.149</v>
      </c>
      <c r="E750" s="42">
        <v>0</v>
      </c>
      <c r="F750" s="42">
        <f t="shared" ref="F750:F755" si="109">D750*(($F$519)+1)+(IF(E750&lt;101,E750,IF(E750&lt;201,E750/2,IF(E750&lt;=301,E750/3,E750/4))))</f>
        <v>996.88094999999998</v>
      </c>
      <c r="G750" s="141" t="str">
        <f>A749</f>
        <v>18th, 25th Floor (Part Refuge Area)</v>
      </c>
      <c r="H750" s="142"/>
      <c r="I750" s="36"/>
    </row>
    <row r="751" spans="1:9" s="37" customFormat="1" hidden="1" x14ac:dyDescent="0.25">
      <c r="A751" s="42">
        <v>2</v>
      </c>
      <c r="B751" s="42" t="s">
        <v>212</v>
      </c>
      <c r="C751" s="42" t="s">
        <v>202</v>
      </c>
      <c r="D751" s="52">
        <f>(39.41)*(10.764)</f>
        <v>424.20923999999997</v>
      </c>
      <c r="E751" s="42">
        <v>0</v>
      </c>
      <c r="F751" s="42">
        <f t="shared" si="109"/>
        <v>657.52432199999998</v>
      </c>
      <c r="G751" s="143"/>
      <c r="H751" s="144"/>
      <c r="I751" s="36"/>
    </row>
    <row r="752" spans="1:9" s="37" customFormat="1" hidden="1" x14ac:dyDescent="0.25">
      <c r="A752" s="42">
        <v>3</v>
      </c>
      <c r="B752" s="42" t="s">
        <v>212</v>
      </c>
      <c r="C752" s="42" t="s">
        <v>202</v>
      </c>
      <c r="D752" s="52">
        <f>(39.41)*(10.764)</f>
        <v>424.20923999999997</v>
      </c>
      <c r="E752" s="42">
        <v>0</v>
      </c>
      <c r="F752" s="42">
        <f t="shared" si="109"/>
        <v>657.52432199999998</v>
      </c>
      <c r="G752" s="143"/>
      <c r="H752" s="144"/>
      <c r="I752" s="36"/>
    </row>
    <row r="753" spans="1:9" s="37" customFormat="1" hidden="1" x14ac:dyDescent="0.25">
      <c r="A753" s="42">
        <v>4</v>
      </c>
      <c r="B753" s="42" t="s">
        <v>212</v>
      </c>
      <c r="C753" s="42" t="s">
        <v>187</v>
      </c>
      <c r="D753" s="52">
        <f>(59.75)*(10.764)</f>
        <v>643.149</v>
      </c>
      <c r="E753" s="42">
        <v>0</v>
      </c>
      <c r="F753" s="42">
        <f t="shared" si="109"/>
        <v>996.88094999999998</v>
      </c>
      <c r="G753" s="143"/>
      <c r="H753" s="144"/>
      <c r="I753" s="36"/>
    </row>
    <row r="754" spans="1:9" s="37" customFormat="1" hidden="1" x14ac:dyDescent="0.25">
      <c r="A754" s="42">
        <v>5</v>
      </c>
      <c r="B754" s="42" t="s">
        <v>212</v>
      </c>
      <c r="C754" s="42" t="s">
        <v>187</v>
      </c>
      <c r="D754" s="52">
        <f>(59.75)*(10.764)</f>
        <v>643.149</v>
      </c>
      <c r="E754" s="42">
        <v>0</v>
      </c>
      <c r="F754" s="42">
        <f t="shared" si="109"/>
        <v>996.88094999999998</v>
      </c>
      <c r="G754" s="143"/>
      <c r="H754" s="144"/>
      <c r="I754" s="36"/>
    </row>
    <row r="755" spans="1:9" s="37" customFormat="1" hidden="1" x14ac:dyDescent="0.25">
      <c r="A755" s="42">
        <v>6</v>
      </c>
      <c r="B755" s="42" t="s">
        <v>212</v>
      </c>
      <c r="C755" s="42" t="s">
        <v>202</v>
      </c>
      <c r="D755" s="52">
        <f>(39.41)*(10.764)</f>
        <v>424.20923999999997</v>
      </c>
      <c r="E755" s="42">
        <v>0</v>
      </c>
      <c r="F755" s="42">
        <f t="shared" si="109"/>
        <v>657.52432199999998</v>
      </c>
      <c r="G755" s="143"/>
      <c r="H755" s="144"/>
      <c r="I755" s="36"/>
    </row>
    <row r="756" spans="1:9" s="37" customFormat="1" hidden="1" x14ac:dyDescent="0.25">
      <c r="A756" s="42">
        <v>7</v>
      </c>
      <c r="B756" s="42" t="s">
        <v>190</v>
      </c>
      <c r="C756" s="42" t="s">
        <v>190</v>
      </c>
      <c r="D756" s="147" t="s">
        <v>191</v>
      </c>
      <c r="E756" s="153"/>
      <c r="F756" s="148"/>
      <c r="G756" s="143"/>
      <c r="H756" s="144"/>
      <c r="I756" s="36"/>
    </row>
    <row r="757" spans="1:9" s="37" customFormat="1" hidden="1" x14ac:dyDescent="0.25">
      <c r="A757" s="42">
        <v>8</v>
      </c>
      <c r="B757" s="42" t="s">
        <v>190</v>
      </c>
      <c r="C757" s="42" t="s">
        <v>190</v>
      </c>
      <c r="D757" s="147" t="s">
        <v>191</v>
      </c>
      <c r="E757" s="153">
        <v>0</v>
      </c>
      <c r="F757" s="148" t="e">
        <f>D757*(($F$519)+1)+(IF(E757&lt;101,E757,IF(E757&lt;201,E757/2,IF(E757&lt;=301,E757/3,E757/4))))</f>
        <v>#VALUE!</v>
      </c>
      <c r="G757" s="145"/>
      <c r="H757" s="146"/>
      <c r="I757" s="36"/>
    </row>
    <row r="758" spans="1:9" s="37" customFormat="1" hidden="1" x14ac:dyDescent="0.25">
      <c r="A758" s="97" t="s">
        <v>217</v>
      </c>
      <c r="B758" s="98"/>
      <c r="C758" s="98"/>
      <c r="D758" s="98"/>
      <c r="E758" s="98"/>
      <c r="F758" s="98"/>
      <c r="G758" s="98"/>
      <c r="H758" s="99"/>
      <c r="I758" s="36"/>
    </row>
    <row r="759" spans="1:9" s="37" customFormat="1" hidden="1" x14ac:dyDescent="0.25">
      <c r="A759" s="42">
        <v>1</v>
      </c>
      <c r="B759" s="42" t="s">
        <v>212</v>
      </c>
      <c r="C759" s="42" t="s">
        <v>187</v>
      </c>
      <c r="D759" s="52">
        <f>(59.75)*(10.764)</f>
        <v>643.149</v>
      </c>
      <c r="E759" s="42">
        <v>0</v>
      </c>
      <c r="F759" s="42">
        <f>D759*(($F$519)+1)+(IF(E759&lt;101,E759,IF(E759&lt;201,E759/2,IF(E759&lt;=301,E759/3,E759/4))))</f>
        <v>996.88094999999998</v>
      </c>
      <c r="G759" s="141" t="str">
        <f>A758</f>
        <v>19th to 24th, 26th to 31st, 33rd Floor</v>
      </c>
      <c r="H759" s="142"/>
      <c r="I759" s="36"/>
    </row>
    <row r="760" spans="1:9" s="37" customFormat="1" hidden="1" x14ac:dyDescent="0.25">
      <c r="A760" s="42">
        <v>2</v>
      </c>
      <c r="B760" s="42" t="s">
        <v>212</v>
      </c>
      <c r="C760" s="42" t="s">
        <v>202</v>
      </c>
      <c r="D760" s="52">
        <f>(39.41)*(10.764)</f>
        <v>424.20923999999997</v>
      </c>
      <c r="E760" s="42">
        <v>0</v>
      </c>
      <c r="F760" s="42">
        <f t="shared" ref="F760:F766" si="110">D760*(($F$519)+1)+(IF(E760&lt;101,E760,IF(E760&lt;201,E760/2,IF(E760&lt;=301,E760/3,E760/4))))</f>
        <v>657.52432199999998</v>
      </c>
      <c r="G760" s="143"/>
      <c r="H760" s="144"/>
      <c r="I760" s="36"/>
    </row>
    <row r="761" spans="1:9" s="37" customFormat="1" hidden="1" x14ac:dyDescent="0.25">
      <c r="A761" s="42">
        <v>3</v>
      </c>
      <c r="B761" s="42" t="s">
        <v>212</v>
      </c>
      <c r="C761" s="42" t="s">
        <v>202</v>
      </c>
      <c r="D761" s="52">
        <f>(39.41)*(10.764)</f>
        <v>424.20923999999997</v>
      </c>
      <c r="E761" s="42">
        <v>0</v>
      </c>
      <c r="F761" s="42">
        <f t="shared" si="110"/>
        <v>657.52432199999998</v>
      </c>
      <c r="G761" s="143"/>
      <c r="H761" s="144"/>
      <c r="I761" s="36"/>
    </row>
    <row r="762" spans="1:9" s="37" customFormat="1" hidden="1" x14ac:dyDescent="0.25">
      <c r="A762" s="42">
        <v>4</v>
      </c>
      <c r="B762" s="42" t="s">
        <v>212</v>
      </c>
      <c r="C762" s="42" t="s">
        <v>187</v>
      </c>
      <c r="D762" s="52">
        <f>(59.75)*(10.764)</f>
        <v>643.149</v>
      </c>
      <c r="E762" s="42">
        <v>0</v>
      </c>
      <c r="F762" s="42">
        <f t="shared" si="110"/>
        <v>996.88094999999998</v>
      </c>
      <c r="G762" s="143"/>
      <c r="H762" s="144"/>
      <c r="I762" s="36"/>
    </row>
    <row r="763" spans="1:9" s="37" customFormat="1" hidden="1" x14ac:dyDescent="0.25">
      <c r="A763" s="42">
        <v>5</v>
      </c>
      <c r="B763" s="42" t="s">
        <v>212</v>
      </c>
      <c r="C763" s="42" t="s">
        <v>187</v>
      </c>
      <c r="D763" s="52">
        <f>(59.75)*(10.764)</f>
        <v>643.149</v>
      </c>
      <c r="E763" s="42">
        <v>0</v>
      </c>
      <c r="F763" s="42">
        <f t="shared" si="110"/>
        <v>996.88094999999998</v>
      </c>
      <c r="G763" s="143"/>
      <c r="H763" s="144"/>
      <c r="I763" s="36"/>
    </row>
    <row r="764" spans="1:9" s="37" customFormat="1" hidden="1" x14ac:dyDescent="0.25">
      <c r="A764" s="42">
        <v>6</v>
      </c>
      <c r="B764" s="42" t="s">
        <v>212</v>
      </c>
      <c r="C764" s="42" t="s">
        <v>202</v>
      </c>
      <c r="D764" s="52">
        <f>(39.41)*(10.764)</f>
        <v>424.20923999999997</v>
      </c>
      <c r="E764" s="42">
        <v>0</v>
      </c>
      <c r="F764" s="42">
        <f t="shared" si="110"/>
        <v>657.52432199999998</v>
      </c>
      <c r="G764" s="143"/>
      <c r="H764" s="144"/>
      <c r="I764" s="36"/>
    </row>
    <row r="765" spans="1:9" s="37" customFormat="1" hidden="1" x14ac:dyDescent="0.25">
      <c r="A765" s="42">
        <v>7</v>
      </c>
      <c r="B765" s="42" t="s">
        <v>212</v>
      </c>
      <c r="C765" s="42" t="s">
        <v>202</v>
      </c>
      <c r="D765" s="52">
        <f>(39.41)*(10.764)</f>
        <v>424.20923999999997</v>
      </c>
      <c r="E765" s="42">
        <v>0</v>
      </c>
      <c r="F765" s="42">
        <f t="shared" si="110"/>
        <v>657.52432199999998</v>
      </c>
      <c r="G765" s="143"/>
      <c r="H765" s="144"/>
      <c r="I765" s="36"/>
    </row>
    <row r="766" spans="1:9" s="37" customFormat="1" hidden="1" x14ac:dyDescent="0.25">
      <c r="A766" s="42">
        <v>8</v>
      </c>
      <c r="B766" s="42" t="s">
        <v>212</v>
      </c>
      <c r="C766" s="42" t="s">
        <v>187</v>
      </c>
      <c r="D766" s="52">
        <f>(59.75)*(10.764)</f>
        <v>643.149</v>
      </c>
      <c r="E766" s="42">
        <v>0</v>
      </c>
      <c r="F766" s="42">
        <f t="shared" si="110"/>
        <v>996.88094999999998</v>
      </c>
      <c r="G766" s="145"/>
      <c r="H766" s="146"/>
      <c r="I766" s="36"/>
    </row>
    <row r="767" spans="1:9" s="37" customFormat="1" hidden="1" x14ac:dyDescent="0.25">
      <c r="A767" s="97" t="s">
        <v>235</v>
      </c>
      <c r="B767" s="98"/>
      <c r="C767" s="98"/>
      <c r="D767" s="98"/>
      <c r="E767" s="98"/>
      <c r="F767" s="98"/>
      <c r="G767" s="98"/>
      <c r="H767" s="99"/>
      <c r="I767" s="36"/>
    </row>
    <row r="768" spans="1:9" s="37" customFormat="1" hidden="1" x14ac:dyDescent="0.25">
      <c r="A768" s="42">
        <v>1</v>
      </c>
      <c r="B768" s="42" t="s">
        <v>212</v>
      </c>
      <c r="C768" s="42" t="s">
        <v>187</v>
      </c>
      <c r="D768" s="52">
        <f>(59.75)*(10.764)</f>
        <v>643.149</v>
      </c>
      <c r="E768" s="42">
        <v>0</v>
      </c>
      <c r="F768" s="42">
        <f t="shared" ref="F768:F773" si="111">D768*(($F$519)+1)+(IF(E768&lt;101,E768,IF(E768&lt;201,E768/2,IF(E768&lt;=301,E768/3,E768/4))))</f>
        <v>996.88094999999998</v>
      </c>
      <c r="G768" s="141" t="str">
        <f>A767</f>
        <v>32nd Floor (Part Refuge Area)</v>
      </c>
      <c r="H768" s="142"/>
      <c r="I768" s="36"/>
    </row>
    <row r="769" spans="1:9" s="37" customFormat="1" hidden="1" x14ac:dyDescent="0.25">
      <c r="A769" s="42">
        <v>2</v>
      </c>
      <c r="B769" s="42" t="s">
        <v>212</v>
      </c>
      <c r="C769" s="42" t="s">
        <v>202</v>
      </c>
      <c r="D769" s="52">
        <f>(39.41)*(10.764)</f>
        <v>424.20923999999997</v>
      </c>
      <c r="E769" s="42">
        <v>0</v>
      </c>
      <c r="F769" s="42">
        <f t="shared" si="111"/>
        <v>657.52432199999998</v>
      </c>
      <c r="G769" s="143"/>
      <c r="H769" s="144"/>
      <c r="I769" s="36"/>
    </row>
    <row r="770" spans="1:9" s="37" customFormat="1" hidden="1" x14ac:dyDescent="0.25">
      <c r="A770" s="42">
        <v>3</v>
      </c>
      <c r="B770" s="42" t="s">
        <v>212</v>
      </c>
      <c r="C770" s="42" t="s">
        <v>202</v>
      </c>
      <c r="D770" s="52">
        <f>(39.41)*(10.764)</f>
        <v>424.20923999999997</v>
      </c>
      <c r="E770" s="42">
        <v>0</v>
      </c>
      <c r="F770" s="42">
        <f t="shared" si="111"/>
        <v>657.52432199999998</v>
      </c>
      <c r="G770" s="143"/>
      <c r="H770" s="144"/>
      <c r="I770" s="36"/>
    </row>
    <row r="771" spans="1:9" s="37" customFormat="1" hidden="1" x14ac:dyDescent="0.25">
      <c r="A771" s="42">
        <v>4</v>
      </c>
      <c r="B771" s="42" t="s">
        <v>212</v>
      </c>
      <c r="C771" s="42" t="s">
        <v>187</v>
      </c>
      <c r="D771" s="52">
        <f>(59.75)*(10.764)</f>
        <v>643.149</v>
      </c>
      <c r="E771" s="42">
        <v>0</v>
      </c>
      <c r="F771" s="42">
        <f t="shared" si="111"/>
        <v>996.88094999999998</v>
      </c>
      <c r="G771" s="143"/>
      <c r="H771" s="144"/>
      <c r="I771" s="36"/>
    </row>
    <row r="772" spans="1:9" s="37" customFormat="1" hidden="1" x14ac:dyDescent="0.25">
      <c r="A772" s="42">
        <v>5</v>
      </c>
      <c r="B772" s="42" t="s">
        <v>212</v>
      </c>
      <c r="C772" s="42" t="s">
        <v>187</v>
      </c>
      <c r="D772" s="52">
        <f>(59.75)*(10.764)</f>
        <v>643.149</v>
      </c>
      <c r="E772" s="42">
        <v>0</v>
      </c>
      <c r="F772" s="42">
        <f t="shared" si="111"/>
        <v>996.88094999999998</v>
      </c>
      <c r="G772" s="143"/>
      <c r="H772" s="144"/>
      <c r="I772" s="36"/>
    </row>
    <row r="773" spans="1:9" s="37" customFormat="1" hidden="1" x14ac:dyDescent="0.25">
      <c r="A773" s="42">
        <v>6</v>
      </c>
      <c r="B773" s="42" t="s">
        <v>212</v>
      </c>
      <c r="C773" s="42" t="s">
        <v>202</v>
      </c>
      <c r="D773" s="52">
        <f>(39.41)*(10.764)</f>
        <v>424.20923999999997</v>
      </c>
      <c r="E773" s="42">
        <v>0</v>
      </c>
      <c r="F773" s="42">
        <f t="shared" si="111"/>
        <v>657.52432199999998</v>
      </c>
      <c r="G773" s="143"/>
      <c r="H773" s="144"/>
      <c r="I773" s="36"/>
    </row>
    <row r="774" spans="1:9" s="37" customFormat="1" hidden="1" x14ac:dyDescent="0.25">
      <c r="A774" s="42">
        <v>7</v>
      </c>
      <c r="B774" s="42" t="s">
        <v>190</v>
      </c>
      <c r="C774" s="42" t="s">
        <v>190</v>
      </c>
      <c r="D774" s="147" t="s">
        <v>191</v>
      </c>
      <c r="E774" s="153"/>
      <c r="F774" s="148"/>
      <c r="G774" s="143"/>
      <c r="H774" s="144"/>
      <c r="I774" s="36"/>
    </row>
    <row r="775" spans="1:9" s="37" customFormat="1" hidden="1" x14ac:dyDescent="0.25">
      <c r="A775" s="42">
        <v>8</v>
      </c>
      <c r="B775" s="42" t="s">
        <v>190</v>
      </c>
      <c r="C775" s="42" t="s">
        <v>190</v>
      </c>
      <c r="D775" s="147" t="s">
        <v>191</v>
      </c>
      <c r="E775" s="153">
        <v>0</v>
      </c>
      <c r="F775" s="148" t="e">
        <f>D775*(($F$519)+1)+(IF(E775&lt;101,E775,IF(E775&lt;201,E775/2,IF(E775&lt;=301,E775/3,E775/4))))</f>
        <v>#VALUE!</v>
      </c>
      <c r="G775" s="145"/>
      <c r="H775" s="146"/>
      <c r="I775" s="36"/>
    </row>
    <row r="776" spans="1:9" s="35" customFormat="1" x14ac:dyDescent="0.25">
      <c r="A776" s="202" t="s">
        <v>69</v>
      </c>
      <c r="B776" s="202"/>
      <c r="C776" s="202"/>
      <c r="D776" s="202"/>
      <c r="E776" s="202"/>
      <c r="F776" s="202"/>
      <c r="G776" s="202"/>
      <c r="H776" s="202"/>
    </row>
    <row r="777" spans="1:9" s="35" customFormat="1" ht="66.599999999999994" customHeight="1" x14ac:dyDescent="0.25">
      <c r="A777" s="47" t="s">
        <v>154</v>
      </c>
      <c r="B777" s="150" t="s">
        <v>288</v>
      </c>
      <c r="C777" s="151"/>
      <c r="D777" s="151"/>
      <c r="E777" s="151"/>
      <c r="F777" s="151"/>
      <c r="G777" s="151"/>
      <c r="H777" s="152"/>
    </row>
    <row r="778" spans="1:9" s="35" customFormat="1" x14ac:dyDescent="0.25">
      <c r="A778" s="47" t="s">
        <v>154</v>
      </c>
      <c r="B778" s="150" t="s">
        <v>256</v>
      </c>
      <c r="C778" s="151"/>
      <c r="D778" s="151"/>
      <c r="E778" s="151"/>
      <c r="F778" s="151"/>
      <c r="G778" s="151"/>
      <c r="H778" s="152"/>
    </row>
    <row r="779" spans="1:9" s="35" customFormat="1" x14ac:dyDescent="0.25">
      <c r="A779" s="47" t="s">
        <v>154</v>
      </c>
      <c r="B779" s="150" t="str">
        <f>(IF(F518="Saleable area Loading :","We have considered Saleable area of Flats as per our Calculation.","We considered Saleable area of Flat as per Builder area Sheet."))</f>
        <v>We have considered Saleable area of Flats as per our Calculation.</v>
      </c>
      <c r="C779" s="151"/>
      <c r="D779" s="151"/>
      <c r="E779" s="151"/>
      <c r="F779" s="151"/>
      <c r="G779" s="151"/>
      <c r="H779" s="152"/>
    </row>
    <row r="780" spans="1:9" s="35" customFormat="1" x14ac:dyDescent="0.25">
      <c r="A780" s="47" t="s">
        <v>154</v>
      </c>
      <c r="B780" s="150" t="str">
        <f>(IF(F190="Saleable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780" s="151"/>
      <c r="D780" s="151"/>
      <c r="E780" s="151"/>
      <c r="F780" s="151"/>
      <c r="G780" s="151"/>
      <c r="H780" s="152"/>
    </row>
    <row r="781" spans="1:9" s="35" customFormat="1" x14ac:dyDescent="0.25">
      <c r="A781" s="47" t="s">
        <v>154</v>
      </c>
      <c r="B781" s="71" t="s">
        <v>124</v>
      </c>
      <c r="C781" s="72"/>
      <c r="D781" s="72"/>
      <c r="E781" s="72"/>
      <c r="F781" s="72"/>
      <c r="G781" s="72"/>
      <c r="H781" s="73"/>
    </row>
    <row r="782" spans="1:9" s="35" customFormat="1" x14ac:dyDescent="0.25">
      <c r="A782" s="47" t="s">
        <v>154</v>
      </c>
      <c r="B782" s="71" t="s">
        <v>220</v>
      </c>
      <c r="C782" s="72"/>
      <c r="D782" s="72"/>
      <c r="E782" s="72"/>
      <c r="F782" s="72"/>
      <c r="G782" s="72"/>
      <c r="H782" s="73"/>
    </row>
    <row r="783" spans="1:9" s="35" customFormat="1" x14ac:dyDescent="0.25">
      <c r="A783" s="47" t="s">
        <v>154</v>
      </c>
      <c r="B783" s="71" t="s">
        <v>153</v>
      </c>
      <c r="C783" s="72"/>
      <c r="D783" s="72"/>
      <c r="E783" s="72"/>
      <c r="F783" s="72"/>
      <c r="G783" s="72"/>
      <c r="H783" s="73"/>
    </row>
    <row r="784" spans="1:9" s="35" customFormat="1" x14ac:dyDescent="0.25">
      <c r="A784" s="47" t="s">
        <v>154</v>
      </c>
      <c r="B784" s="71" t="s">
        <v>125</v>
      </c>
      <c r="C784" s="72"/>
      <c r="D784" s="72"/>
      <c r="E784" s="72"/>
      <c r="F784" s="72"/>
      <c r="G784" s="72"/>
      <c r="H784" s="73"/>
    </row>
    <row r="785" spans="1:8" s="35" customFormat="1" ht="34.5" customHeight="1" x14ac:dyDescent="0.25">
      <c r="A785" s="47" t="s">
        <v>154</v>
      </c>
      <c r="B785" s="71" t="s">
        <v>155</v>
      </c>
      <c r="C785" s="72"/>
      <c r="D785" s="72"/>
      <c r="E785" s="72"/>
      <c r="F785" s="72"/>
      <c r="G785" s="72"/>
      <c r="H785" s="73"/>
    </row>
    <row r="786" spans="1:8" s="35" customFormat="1" x14ac:dyDescent="0.25">
      <c r="A786" s="47" t="s">
        <v>154</v>
      </c>
      <c r="B786" s="71" t="s">
        <v>126</v>
      </c>
      <c r="C786" s="72"/>
      <c r="D786" s="72"/>
      <c r="E786" s="72"/>
      <c r="F786" s="72"/>
      <c r="G786" s="72"/>
      <c r="H786" s="73"/>
    </row>
    <row r="787" spans="1:8" s="35" customFormat="1" ht="34.5" hidden="1" customHeight="1" x14ac:dyDescent="0.25">
      <c r="A787" s="47" t="s">
        <v>154</v>
      </c>
      <c r="B787" s="159" t="s">
        <v>248</v>
      </c>
      <c r="C787" s="160"/>
      <c r="D787" s="160"/>
      <c r="E787" s="160"/>
      <c r="F787" s="160"/>
      <c r="G787" s="160"/>
      <c r="H787" s="161"/>
    </row>
    <row r="788" spans="1:8" s="35" customFormat="1" hidden="1" x14ac:dyDescent="0.25">
      <c r="A788" s="47" t="s">
        <v>154</v>
      </c>
      <c r="B788" s="71" t="s">
        <v>126</v>
      </c>
      <c r="C788" s="72"/>
      <c r="D788" s="72"/>
      <c r="E788" s="72"/>
      <c r="F788" s="72"/>
      <c r="G788" s="72"/>
      <c r="H788" s="73"/>
    </row>
    <row r="789" spans="1:8" s="35" customFormat="1" x14ac:dyDescent="0.25">
      <c r="A789" s="47" t="s">
        <v>154</v>
      </c>
      <c r="B789" s="71" t="s">
        <v>249</v>
      </c>
      <c r="C789" s="72"/>
      <c r="D789" s="72"/>
      <c r="E789" s="72"/>
      <c r="F789" s="72"/>
      <c r="G789" s="72"/>
      <c r="H789" s="73"/>
    </row>
    <row r="790" spans="1:8" s="35" customFormat="1" x14ac:dyDescent="0.25">
      <c r="A790" s="47" t="s">
        <v>154</v>
      </c>
      <c r="B790" s="71" t="s">
        <v>289</v>
      </c>
      <c r="C790" s="72"/>
      <c r="D790" s="72"/>
      <c r="E790" s="72"/>
      <c r="F790" s="72"/>
      <c r="G790" s="72"/>
      <c r="H790" s="73"/>
    </row>
    <row r="791" spans="1:8" s="35" customFormat="1" ht="32.1" customHeight="1" x14ac:dyDescent="0.25">
      <c r="A791" s="47" t="s">
        <v>154</v>
      </c>
      <c r="B791" s="216" t="s">
        <v>298</v>
      </c>
      <c r="C791" s="217"/>
      <c r="D791" s="217"/>
      <c r="E791" s="217"/>
      <c r="F791" s="217"/>
      <c r="G791" s="217"/>
      <c r="H791" s="218"/>
    </row>
    <row r="792" spans="1:8" x14ac:dyDescent="0.25">
      <c r="A792" s="158" t="s">
        <v>62</v>
      </c>
      <c r="B792" s="158"/>
      <c r="C792" s="158"/>
      <c r="D792" s="158"/>
      <c r="E792" s="158"/>
      <c r="F792" s="158"/>
      <c r="G792" s="158"/>
      <c r="H792" s="158"/>
    </row>
    <row r="793" spans="1:8" x14ac:dyDescent="0.25">
      <c r="A793" s="108" t="s">
        <v>63</v>
      </c>
      <c r="B793" s="108"/>
      <c r="C793" s="108"/>
      <c r="D793" s="108"/>
      <c r="E793" s="108"/>
      <c r="F793" s="108"/>
      <c r="G793" s="108"/>
      <c r="H793" s="108"/>
    </row>
    <row r="794" spans="1:8" ht="15.75" customHeight="1" x14ac:dyDescent="0.25">
      <c r="A794" s="130" t="s">
        <v>64</v>
      </c>
      <c r="B794" s="130"/>
      <c r="C794" s="130"/>
      <c r="D794" s="130"/>
      <c r="E794" s="130"/>
      <c r="F794" s="130"/>
      <c r="G794" s="130"/>
      <c r="H794" s="130"/>
    </row>
    <row r="795" spans="1:8" x14ac:dyDescent="0.25">
      <c r="A795" s="108" t="s">
        <v>65</v>
      </c>
      <c r="B795" s="108"/>
      <c r="C795" s="108"/>
      <c r="D795" s="108"/>
      <c r="E795" s="108"/>
      <c r="F795" s="108"/>
      <c r="G795" s="108"/>
      <c r="H795" s="108"/>
    </row>
    <row r="796" spans="1:8" x14ac:dyDescent="0.25">
      <c r="A796" s="108" t="s">
        <v>66</v>
      </c>
      <c r="B796" s="108"/>
      <c r="C796" s="108"/>
      <c r="D796" s="108"/>
      <c r="E796" s="108"/>
      <c r="F796" s="108"/>
      <c r="G796" s="108"/>
      <c r="H796" s="108"/>
    </row>
    <row r="797" spans="1:8" x14ac:dyDescent="0.25">
      <c r="A797" s="108" t="s">
        <v>127</v>
      </c>
      <c r="B797" s="108"/>
      <c r="C797" s="108"/>
      <c r="D797" s="108"/>
      <c r="E797" s="108"/>
      <c r="F797" s="108"/>
      <c r="G797" s="108"/>
      <c r="H797" s="108"/>
    </row>
    <row r="798" spans="1:8" x14ac:dyDescent="0.25">
      <c r="A798" s="109" t="s">
        <v>128</v>
      </c>
      <c r="B798" s="109"/>
      <c r="C798" s="109"/>
      <c r="D798" s="109"/>
      <c r="E798" s="109"/>
      <c r="F798" s="109"/>
      <c r="G798" s="109"/>
      <c r="H798" s="109"/>
    </row>
    <row r="799" spans="1:8" x14ac:dyDescent="0.25">
      <c r="A799" s="155" t="s">
        <v>77</v>
      </c>
      <c r="B799" s="155"/>
      <c r="C799" s="155" t="s">
        <v>252</v>
      </c>
      <c r="D799" s="155"/>
      <c r="E799" s="155" t="s">
        <v>107</v>
      </c>
      <c r="F799" s="155"/>
      <c r="G799" s="155" t="s">
        <v>300</v>
      </c>
      <c r="H799" s="155"/>
    </row>
    <row r="800" spans="1:8" x14ac:dyDescent="0.25">
      <c r="A800" s="154" t="s">
        <v>79</v>
      </c>
      <c r="B800" s="154"/>
      <c r="C800" s="154"/>
      <c r="D800" s="154"/>
      <c r="E800" s="154"/>
      <c r="F800" s="154"/>
      <c r="G800" s="154"/>
      <c r="H800" s="154"/>
    </row>
    <row r="801" spans="1:8" x14ac:dyDescent="0.25">
      <c r="A801" s="154"/>
      <c r="B801" s="154"/>
      <c r="C801" s="154"/>
      <c r="D801" s="154"/>
      <c r="E801" s="154"/>
      <c r="F801" s="154"/>
      <c r="G801" s="154"/>
      <c r="H801" s="154"/>
    </row>
    <row r="802" spans="1:8" x14ac:dyDescent="0.25">
      <c r="A802" s="154"/>
      <c r="B802" s="154"/>
      <c r="C802" s="154"/>
      <c r="D802" s="154"/>
      <c r="E802" s="154"/>
      <c r="F802" s="154"/>
      <c r="G802" s="154"/>
      <c r="H802" s="154"/>
    </row>
    <row r="803" spans="1:8" x14ac:dyDescent="0.25">
      <c r="A803" s="154"/>
      <c r="B803" s="154"/>
      <c r="C803" s="154"/>
      <c r="D803" s="154"/>
      <c r="E803" s="154"/>
      <c r="F803" s="154"/>
      <c r="G803" s="154"/>
      <c r="H803" s="154"/>
    </row>
    <row r="804" spans="1:8" x14ac:dyDescent="0.25">
      <c r="A804" s="38" t="s">
        <v>67</v>
      </c>
      <c r="B804" s="39"/>
      <c r="C804" s="39"/>
      <c r="D804" s="38" t="str">
        <f>E8</f>
        <v>Ruparel Vivanza</v>
      </c>
      <c r="F804" s="39"/>
      <c r="G804" s="39"/>
      <c r="H804" s="39"/>
    </row>
    <row r="805" spans="1:8" x14ac:dyDescent="0.25">
      <c r="A805" s="39"/>
      <c r="B805" s="39"/>
      <c r="C805" s="39"/>
      <c r="D805" s="39"/>
      <c r="E805" s="39"/>
      <c r="F805" s="39"/>
      <c r="G805" s="39"/>
      <c r="H805" s="39"/>
    </row>
    <row r="806" spans="1:8" x14ac:dyDescent="0.25">
      <c r="A806" s="39"/>
      <c r="B806" s="39"/>
      <c r="C806" s="39"/>
      <c r="D806" s="39"/>
      <c r="E806" s="39"/>
      <c r="F806" s="39"/>
      <c r="G806" s="39"/>
      <c r="H806" s="39"/>
    </row>
    <row r="807" spans="1:8" ht="15" customHeight="1" x14ac:dyDescent="0.25"/>
    <row r="845" hidden="1" x14ac:dyDescent="0.25"/>
    <row r="846" hidden="1" x14ac:dyDescent="0.25"/>
    <row r="847" hidden="1" x14ac:dyDescent="0.25"/>
    <row r="848" hidden="1" x14ac:dyDescent="0.25"/>
    <row r="849" spans="1:1" hidden="1" x14ac:dyDescent="0.25"/>
    <row r="850" spans="1:1" hidden="1" x14ac:dyDescent="0.25"/>
    <row r="851" spans="1:1" hidden="1" x14ac:dyDescent="0.25"/>
    <row r="852" spans="1:1" hidden="1" x14ac:dyDescent="0.25"/>
    <row r="853" spans="1:1" hidden="1" x14ac:dyDescent="0.25"/>
    <row r="857" spans="1:1" x14ac:dyDescent="0.25">
      <c r="A857" s="41" t="s">
        <v>168</v>
      </c>
    </row>
    <row r="888" spans="1:1" x14ac:dyDescent="0.25">
      <c r="A888" s="41" t="s">
        <v>68</v>
      </c>
    </row>
  </sheetData>
  <mergeCells count="890">
    <mergeCell ref="B791:H791"/>
    <mergeCell ref="G186:H186"/>
    <mergeCell ref="A278:H278"/>
    <mergeCell ref="A277:H277"/>
    <mergeCell ref="A346:H346"/>
    <mergeCell ref="A347:H347"/>
    <mergeCell ref="A422:H422"/>
    <mergeCell ref="A423:H423"/>
    <mergeCell ref="A508:H508"/>
    <mergeCell ref="A499:H499"/>
    <mergeCell ref="A481:H481"/>
    <mergeCell ref="A472:H472"/>
    <mergeCell ref="A454:H454"/>
    <mergeCell ref="A372:H372"/>
    <mergeCell ref="A318:H318"/>
    <mergeCell ref="C323:H324"/>
    <mergeCell ref="A327:H327"/>
    <mergeCell ref="A291:H291"/>
    <mergeCell ref="A666:H666"/>
    <mergeCell ref="A673:H673"/>
    <mergeCell ref="G674:H679"/>
    <mergeCell ref="G667:H672"/>
    <mergeCell ref="E186:F186"/>
    <mergeCell ref="G181:H181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E142:F151"/>
    <mergeCell ref="G142:H15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L516:M516"/>
    <mergeCell ref="C515:H516"/>
    <mergeCell ref="L216:M216"/>
    <mergeCell ref="G196:H216"/>
    <mergeCell ref="A167:B167"/>
    <mergeCell ref="A168:B168"/>
    <mergeCell ref="A172:B172"/>
    <mergeCell ref="A173:B173"/>
    <mergeCell ref="C179:D179"/>
    <mergeCell ref="E179:F179"/>
    <mergeCell ref="G179:H179"/>
    <mergeCell ref="A179:A181"/>
    <mergeCell ref="C182:D182"/>
    <mergeCell ref="E182:F182"/>
    <mergeCell ref="G182:H182"/>
    <mergeCell ref="A182:A183"/>
    <mergeCell ref="A184:A186"/>
    <mergeCell ref="C184:D184"/>
    <mergeCell ref="E184:F184"/>
    <mergeCell ref="G184:H184"/>
    <mergeCell ref="C185:D185"/>
    <mergeCell ref="E185:F185"/>
    <mergeCell ref="G185:H185"/>
    <mergeCell ref="C186:D186"/>
    <mergeCell ref="L420:M420"/>
    <mergeCell ref="C419:H420"/>
    <mergeCell ref="L509:M509"/>
    <mergeCell ref="L510:M510"/>
    <mergeCell ref="L511:M511"/>
    <mergeCell ref="L512:M512"/>
    <mergeCell ref="L513:M513"/>
    <mergeCell ref="L514:M514"/>
    <mergeCell ref="L515:M515"/>
    <mergeCell ref="L500:M500"/>
    <mergeCell ref="L501:M501"/>
    <mergeCell ref="L502:M502"/>
    <mergeCell ref="L503:M503"/>
    <mergeCell ref="L504:M504"/>
    <mergeCell ref="L505:M505"/>
    <mergeCell ref="L506:M506"/>
    <mergeCell ref="L507:M507"/>
    <mergeCell ref="A490:H490"/>
    <mergeCell ref="L491:M491"/>
    <mergeCell ref="L492:M492"/>
    <mergeCell ref="L493:M493"/>
    <mergeCell ref="L494:M494"/>
    <mergeCell ref="L495:M495"/>
    <mergeCell ref="L496:M496"/>
    <mergeCell ref="L497:M497"/>
    <mergeCell ref="L498:M498"/>
    <mergeCell ref="L482:M482"/>
    <mergeCell ref="L483:M483"/>
    <mergeCell ref="L484:M484"/>
    <mergeCell ref="L485:M485"/>
    <mergeCell ref="L486:M486"/>
    <mergeCell ref="L487:M487"/>
    <mergeCell ref="C488:H489"/>
    <mergeCell ref="L488:M488"/>
    <mergeCell ref="L489:M489"/>
    <mergeCell ref="L473:M473"/>
    <mergeCell ref="L474:M474"/>
    <mergeCell ref="L475:M475"/>
    <mergeCell ref="L476:M476"/>
    <mergeCell ref="L477:M477"/>
    <mergeCell ref="L478:M478"/>
    <mergeCell ref="L479:M479"/>
    <mergeCell ref="L480:M480"/>
    <mergeCell ref="A463:H463"/>
    <mergeCell ref="L464:M464"/>
    <mergeCell ref="L465:M465"/>
    <mergeCell ref="L466:M466"/>
    <mergeCell ref="L467:M467"/>
    <mergeCell ref="L468:M468"/>
    <mergeCell ref="L469:M469"/>
    <mergeCell ref="L470:M470"/>
    <mergeCell ref="L471:M471"/>
    <mergeCell ref="C470:H471"/>
    <mergeCell ref="L455:M455"/>
    <mergeCell ref="L456:M456"/>
    <mergeCell ref="L457:M457"/>
    <mergeCell ref="L458:M458"/>
    <mergeCell ref="L459:M459"/>
    <mergeCell ref="L460:M460"/>
    <mergeCell ref="L461:M461"/>
    <mergeCell ref="L462:M462"/>
    <mergeCell ref="L316:M316"/>
    <mergeCell ref="L317:M317"/>
    <mergeCell ref="L373:M373"/>
    <mergeCell ref="L374:M374"/>
    <mergeCell ref="L375:M375"/>
    <mergeCell ref="L376:M376"/>
    <mergeCell ref="L377:M377"/>
    <mergeCell ref="L378:M378"/>
    <mergeCell ref="L319:M319"/>
    <mergeCell ref="L320:M320"/>
    <mergeCell ref="L321:M321"/>
    <mergeCell ref="L322:M322"/>
    <mergeCell ref="L323:M323"/>
    <mergeCell ref="L324:M324"/>
    <mergeCell ref="L325:M325"/>
    <mergeCell ref="L326:M326"/>
    <mergeCell ref="L328:M328"/>
    <mergeCell ref="L329:M329"/>
    <mergeCell ref="L330:M330"/>
    <mergeCell ref="L331:M331"/>
    <mergeCell ref="L308:M308"/>
    <mergeCell ref="A309:H309"/>
    <mergeCell ref="L310:M310"/>
    <mergeCell ref="L311:M311"/>
    <mergeCell ref="L312:M312"/>
    <mergeCell ref="L313:M313"/>
    <mergeCell ref="L314:M314"/>
    <mergeCell ref="L315:M315"/>
    <mergeCell ref="L448:M448"/>
    <mergeCell ref="L449:M449"/>
    <mergeCell ref="L450:M450"/>
    <mergeCell ref="L451:M451"/>
    <mergeCell ref="L452:M452"/>
    <mergeCell ref="L453:M453"/>
    <mergeCell ref="A365:H365"/>
    <mergeCell ref="L366:M366"/>
    <mergeCell ref="L367:M367"/>
    <mergeCell ref="L368:M368"/>
    <mergeCell ref="L369:M369"/>
    <mergeCell ref="L370:M370"/>
    <mergeCell ref="L371:M371"/>
    <mergeCell ref="A379:H379"/>
    <mergeCell ref="L380:M380"/>
    <mergeCell ref="L381:M381"/>
    <mergeCell ref="L382:M382"/>
    <mergeCell ref="L383:M383"/>
    <mergeCell ref="L442:M442"/>
    <mergeCell ref="L443:M443"/>
    <mergeCell ref="L444:M444"/>
    <mergeCell ref="A445:H445"/>
    <mergeCell ref="L446:M446"/>
    <mergeCell ref="L447:M447"/>
    <mergeCell ref="L338:M338"/>
    <mergeCell ref="L339:M339"/>
    <mergeCell ref="L340:M340"/>
    <mergeCell ref="C341:H342"/>
    <mergeCell ref="L437:M437"/>
    <mergeCell ref="L438:M438"/>
    <mergeCell ref="L439:M439"/>
    <mergeCell ref="A400:H400"/>
    <mergeCell ref="L401:M401"/>
    <mergeCell ref="L402:M402"/>
    <mergeCell ref="L403:M403"/>
    <mergeCell ref="L404:M404"/>
    <mergeCell ref="L405:M405"/>
    <mergeCell ref="L406:M406"/>
    <mergeCell ref="A407:H407"/>
    <mergeCell ref="L408:M408"/>
    <mergeCell ref="L409:M409"/>
    <mergeCell ref="L410:M410"/>
    <mergeCell ref="L411:M411"/>
    <mergeCell ref="L435:M435"/>
    <mergeCell ref="L359:M359"/>
    <mergeCell ref="L360:M360"/>
    <mergeCell ref="L384:M384"/>
    <mergeCell ref="L385:M385"/>
    <mergeCell ref="L441:M441"/>
    <mergeCell ref="L332:M332"/>
    <mergeCell ref="L333:M333"/>
    <mergeCell ref="L334:M334"/>
    <mergeCell ref="L335:M335"/>
    <mergeCell ref="A336:H336"/>
    <mergeCell ref="L341:M341"/>
    <mergeCell ref="L342:M342"/>
    <mergeCell ref="L343:M343"/>
    <mergeCell ref="L344:M344"/>
    <mergeCell ref="A393:H393"/>
    <mergeCell ref="L394:M394"/>
    <mergeCell ref="L395:M395"/>
    <mergeCell ref="L396:M396"/>
    <mergeCell ref="L397:M397"/>
    <mergeCell ref="L361:M361"/>
    <mergeCell ref="L362:M362"/>
    <mergeCell ref="L363:M363"/>
    <mergeCell ref="L364:M364"/>
    <mergeCell ref="A436:H436"/>
    <mergeCell ref="C398:H399"/>
    <mergeCell ref="L398:M398"/>
    <mergeCell ref="L399:M399"/>
    <mergeCell ref="L392:M392"/>
    <mergeCell ref="A358:H358"/>
    <mergeCell ref="L357:M357"/>
    <mergeCell ref="L352:M352"/>
    <mergeCell ref="L353:M353"/>
    <mergeCell ref="L354:M354"/>
    <mergeCell ref="L355:M355"/>
    <mergeCell ref="L356:M356"/>
    <mergeCell ref="A351:H351"/>
    <mergeCell ref="L440:M440"/>
    <mergeCell ref="C384:H385"/>
    <mergeCell ref="A386:H386"/>
    <mergeCell ref="L387:M387"/>
    <mergeCell ref="L388:M388"/>
    <mergeCell ref="L389:M389"/>
    <mergeCell ref="L390:M390"/>
    <mergeCell ref="L391:M391"/>
    <mergeCell ref="L412:M412"/>
    <mergeCell ref="L413:M413"/>
    <mergeCell ref="A414:H414"/>
    <mergeCell ref="L415:M415"/>
    <mergeCell ref="L416:M416"/>
    <mergeCell ref="L417:M417"/>
    <mergeCell ref="L418:M418"/>
    <mergeCell ref="L419:M419"/>
    <mergeCell ref="L432:M432"/>
    <mergeCell ref="L433:M433"/>
    <mergeCell ref="A421:H421"/>
    <mergeCell ref="A424:H424"/>
    <mergeCell ref="A425:H425"/>
    <mergeCell ref="L434:M434"/>
    <mergeCell ref="A426:H426"/>
    <mergeCell ref="A427:H427"/>
    <mergeCell ref="L428:M428"/>
    <mergeCell ref="L429:M429"/>
    <mergeCell ref="L430:M430"/>
    <mergeCell ref="L431:M431"/>
    <mergeCell ref="L288:M288"/>
    <mergeCell ref="L289:M289"/>
    <mergeCell ref="L290:M290"/>
    <mergeCell ref="A345:H345"/>
    <mergeCell ref="A348:H348"/>
    <mergeCell ref="A349:H349"/>
    <mergeCell ref="A350:H350"/>
    <mergeCell ref="A300:H300"/>
    <mergeCell ref="L301:M301"/>
    <mergeCell ref="L302:M302"/>
    <mergeCell ref="L303:M303"/>
    <mergeCell ref="L304:M304"/>
    <mergeCell ref="L305:M305"/>
    <mergeCell ref="L306:M306"/>
    <mergeCell ref="L307:M307"/>
    <mergeCell ref="L292:M292"/>
    <mergeCell ref="L293:M293"/>
    <mergeCell ref="L294:M294"/>
    <mergeCell ref="L295:M295"/>
    <mergeCell ref="L296:M296"/>
    <mergeCell ref="L297:M297"/>
    <mergeCell ref="L298:M298"/>
    <mergeCell ref="L299:M299"/>
    <mergeCell ref="L337:M337"/>
    <mergeCell ref="L283:M283"/>
    <mergeCell ref="L284:M284"/>
    <mergeCell ref="L285:M285"/>
    <mergeCell ref="L286:M286"/>
    <mergeCell ref="L287:M287"/>
    <mergeCell ref="L270:M270"/>
    <mergeCell ref="A271:B271"/>
    <mergeCell ref="L271:M271"/>
    <mergeCell ref="A272:B272"/>
    <mergeCell ref="L272:M272"/>
    <mergeCell ref="A273:B273"/>
    <mergeCell ref="L273:M273"/>
    <mergeCell ref="A274:B274"/>
    <mergeCell ref="L274:M274"/>
    <mergeCell ref="C271:H272"/>
    <mergeCell ref="A280:H280"/>
    <mergeCell ref="A279:H279"/>
    <mergeCell ref="A281:H281"/>
    <mergeCell ref="A282:H282"/>
    <mergeCell ref="L245:M245"/>
    <mergeCell ref="A246:B246"/>
    <mergeCell ref="L246:M246"/>
    <mergeCell ref="A247:B247"/>
    <mergeCell ref="L247:M247"/>
    <mergeCell ref="A248:B248"/>
    <mergeCell ref="L248:M248"/>
    <mergeCell ref="A249:B249"/>
    <mergeCell ref="L249:M249"/>
    <mergeCell ref="C246:H247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C265:H265"/>
    <mergeCell ref="L239:M239"/>
    <mergeCell ref="A240:B240"/>
    <mergeCell ref="L240:M240"/>
    <mergeCell ref="A241:B241"/>
    <mergeCell ref="L241:M241"/>
    <mergeCell ref="A242:B242"/>
    <mergeCell ref="L242:M242"/>
    <mergeCell ref="A243:B243"/>
    <mergeCell ref="L243:M243"/>
    <mergeCell ref="C240:H241"/>
    <mergeCell ref="L258:M258"/>
    <mergeCell ref="A259:B259"/>
    <mergeCell ref="L259:M259"/>
    <mergeCell ref="A260:B260"/>
    <mergeCell ref="L260:M260"/>
    <mergeCell ref="A261:B261"/>
    <mergeCell ref="L261:M261"/>
    <mergeCell ref="A262:B262"/>
    <mergeCell ref="L262:M262"/>
    <mergeCell ref="L233:M233"/>
    <mergeCell ref="A234:B234"/>
    <mergeCell ref="L234:M234"/>
    <mergeCell ref="A235:B235"/>
    <mergeCell ref="L235:M235"/>
    <mergeCell ref="A236:B236"/>
    <mergeCell ref="L236:M236"/>
    <mergeCell ref="A237:B237"/>
    <mergeCell ref="L237:M237"/>
    <mergeCell ref="L227:M227"/>
    <mergeCell ref="A228:B228"/>
    <mergeCell ref="L228:M228"/>
    <mergeCell ref="A229:B229"/>
    <mergeCell ref="L229:M229"/>
    <mergeCell ref="A230:B230"/>
    <mergeCell ref="L230:M230"/>
    <mergeCell ref="A517:H517"/>
    <mergeCell ref="A224:H224"/>
    <mergeCell ref="A225:H225"/>
    <mergeCell ref="A231:B231"/>
    <mergeCell ref="L231:M231"/>
    <mergeCell ref="A250:H250"/>
    <mergeCell ref="A251:H251"/>
    <mergeCell ref="A252:B252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518:A519"/>
    <mergeCell ref="A602:H602"/>
    <mergeCell ref="A644:H644"/>
    <mergeCell ref="B778:H778"/>
    <mergeCell ref="A222:A223"/>
    <mergeCell ref="B222:B223"/>
    <mergeCell ref="C222:C223"/>
    <mergeCell ref="D222:D223"/>
    <mergeCell ref="E222:E223"/>
    <mergeCell ref="F222:F223"/>
    <mergeCell ref="G222:G223"/>
    <mergeCell ref="A226:H226"/>
    <mergeCell ref="A227:B227"/>
    <mergeCell ref="A232:H232"/>
    <mergeCell ref="A233:B233"/>
    <mergeCell ref="A257:H257"/>
    <mergeCell ref="A258:B258"/>
    <mergeCell ref="A238:H238"/>
    <mergeCell ref="A239:B239"/>
    <mergeCell ref="D555:F555"/>
    <mergeCell ref="D556:F556"/>
    <mergeCell ref="A776:H776"/>
    <mergeCell ref="A565:H565"/>
    <mergeCell ref="A540:H540"/>
    <mergeCell ref="B786:H786"/>
    <mergeCell ref="G768:H775"/>
    <mergeCell ref="D774:F774"/>
    <mergeCell ref="D775:F775"/>
    <mergeCell ref="L211:M211"/>
    <mergeCell ref="G541:H545"/>
    <mergeCell ref="A546:H546"/>
    <mergeCell ref="A547:H547"/>
    <mergeCell ref="G554:H558"/>
    <mergeCell ref="G548:H552"/>
    <mergeCell ref="A553:H553"/>
    <mergeCell ref="A521:H521"/>
    <mergeCell ref="A534:H534"/>
    <mergeCell ref="L534:M534"/>
    <mergeCell ref="G523:H527"/>
    <mergeCell ref="L528:M528"/>
    <mergeCell ref="L526:M526"/>
    <mergeCell ref="L523:M523"/>
    <mergeCell ref="L524:M524"/>
    <mergeCell ref="L525:M525"/>
    <mergeCell ref="L527:M527"/>
    <mergeCell ref="A520:H520"/>
    <mergeCell ref="A221:H221"/>
    <mergeCell ref="B779:H779"/>
    <mergeCell ref="B785:H785"/>
    <mergeCell ref="A47:B47"/>
    <mergeCell ref="C47:H47"/>
    <mergeCell ref="B783:H783"/>
    <mergeCell ref="A129:B129"/>
    <mergeCell ref="A130:B130"/>
    <mergeCell ref="G100:H109"/>
    <mergeCell ref="A101:B101"/>
    <mergeCell ref="A102:B102"/>
    <mergeCell ref="A103:B103"/>
    <mergeCell ref="F154:H154"/>
    <mergeCell ref="A154:E154"/>
    <mergeCell ref="D190:D191"/>
    <mergeCell ref="A155:E155"/>
    <mergeCell ref="A156:E156"/>
    <mergeCell ref="A162:E162"/>
    <mergeCell ref="G529:H533"/>
    <mergeCell ref="G535:H539"/>
    <mergeCell ref="D532:F532"/>
    <mergeCell ref="D538:F538"/>
    <mergeCell ref="E178:F178"/>
    <mergeCell ref="G178:H178"/>
    <mergeCell ref="C167:D167"/>
    <mergeCell ref="E167:F167"/>
    <mergeCell ref="A178:B178"/>
    <mergeCell ref="C178:D178"/>
    <mergeCell ref="C176:D176"/>
    <mergeCell ref="G173:H173"/>
    <mergeCell ref="G176:H176"/>
    <mergeCell ref="C168:D168"/>
    <mergeCell ref="E168:F168"/>
    <mergeCell ref="G168:H168"/>
    <mergeCell ref="A169:B169"/>
    <mergeCell ref="C173:D173"/>
    <mergeCell ref="E173:F173"/>
    <mergeCell ref="G169:H169"/>
    <mergeCell ref="C174:D174"/>
    <mergeCell ref="E174:F174"/>
    <mergeCell ref="G174:H174"/>
    <mergeCell ref="C171:D171"/>
    <mergeCell ref="G171:H171"/>
    <mergeCell ref="E176:F176"/>
    <mergeCell ref="C175:D175"/>
    <mergeCell ref="E175:F175"/>
    <mergeCell ref="G175:H175"/>
    <mergeCell ref="L199:M199"/>
    <mergeCell ref="L198:M198"/>
    <mergeCell ref="A217:H217"/>
    <mergeCell ref="A218:H218"/>
    <mergeCell ref="A219:H219"/>
    <mergeCell ref="G220:H220"/>
    <mergeCell ref="L220:M220"/>
    <mergeCell ref="C220:F220"/>
    <mergeCell ref="B518:B519"/>
    <mergeCell ref="L214:M214"/>
    <mergeCell ref="L215:M215"/>
    <mergeCell ref="L200:M200"/>
    <mergeCell ref="L201:M201"/>
    <mergeCell ref="L202:M202"/>
    <mergeCell ref="L203:M203"/>
    <mergeCell ref="L204:M204"/>
    <mergeCell ref="L212:M212"/>
    <mergeCell ref="L213:M213"/>
    <mergeCell ref="L205:M205"/>
    <mergeCell ref="L206:M206"/>
    <mergeCell ref="L207:M207"/>
    <mergeCell ref="L208:M208"/>
    <mergeCell ref="L209:M209"/>
    <mergeCell ref="L210:M210"/>
    <mergeCell ref="L197:M197"/>
    <mergeCell ref="L196:M196"/>
    <mergeCell ref="A79:B79"/>
    <mergeCell ref="C172:D172"/>
    <mergeCell ref="E172:F172"/>
    <mergeCell ref="G172:H172"/>
    <mergeCell ref="F158:H158"/>
    <mergeCell ref="A153:E153"/>
    <mergeCell ref="A124:B124"/>
    <mergeCell ref="C124:H124"/>
    <mergeCell ref="A195:H195"/>
    <mergeCell ref="E190:E191"/>
    <mergeCell ref="G190:H191"/>
    <mergeCell ref="A100:B100"/>
    <mergeCell ref="E100:F109"/>
    <mergeCell ref="A107:B107"/>
    <mergeCell ref="A108:B108"/>
    <mergeCell ref="A109:B109"/>
    <mergeCell ref="A128:B128"/>
    <mergeCell ref="E128:F137"/>
    <mergeCell ref="F152:H152"/>
    <mergeCell ref="F156:H156"/>
    <mergeCell ref="G128:H137"/>
    <mergeCell ref="F159:H159"/>
    <mergeCell ref="E45:H45"/>
    <mergeCell ref="A43:D43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G48:H48"/>
    <mergeCell ref="D54:H54"/>
    <mergeCell ref="D57:H57"/>
    <mergeCell ref="D58:H58"/>
    <mergeCell ref="A52:B52"/>
    <mergeCell ref="C52:E52"/>
    <mergeCell ref="A49:B49"/>
    <mergeCell ref="A53:H53"/>
    <mergeCell ref="D55:H55"/>
    <mergeCell ref="A48:B48"/>
    <mergeCell ref="C48:E48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42:D42"/>
    <mergeCell ref="E42:H42"/>
    <mergeCell ref="E43:H43"/>
    <mergeCell ref="A54:C54"/>
    <mergeCell ref="A55:C5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800:H803"/>
    <mergeCell ref="A799:B799"/>
    <mergeCell ref="E799:F799"/>
    <mergeCell ref="C799:D799"/>
    <mergeCell ref="G799:H799"/>
    <mergeCell ref="A165:H165"/>
    <mergeCell ref="A163:E163"/>
    <mergeCell ref="F163:H163"/>
    <mergeCell ref="A164:E164"/>
    <mergeCell ref="F164:H164"/>
    <mergeCell ref="A528:H528"/>
    <mergeCell ref="A795:H795"/>
    <mergeCell ref="A170:H170"/>
    <mergeCell ref="A798:H798"/>
    <mergeCell ref="A796:H796"/>
    <mergeCell ref="A792:H792"/>
    <mergeCell ref="B781:H781"/>
    <mergeCell ref="B782:H782"/>
    <mergeCell ref="A793:H793"/>
    <mergeCell ref="E171:F171"/>
    <mergeCell ref="B787:H787"/>
    <mergeCell ref="B784:H784"/>
    <mergeCell ref="B780:H780"/>
    <mergeCell ref="A188:H188"/>
    <mergeCell ref="A559:H559"/>
    <mergeCell ref="A758:H758"/>
    <mergeCell ref="G759:H766"/>
    <mergeCell ref="D594:F594"/>
    <mergeCell ref="G560:H564"/>
    <mergeCell ref="D561:F561"/>
    <mergeCell ref="A749:H749"/>
    <mergeCell ref="G750:H757"/>
    <mergeCell ref="D685:F685"/>
    <mergeCell ref="D686:F686"/>
    <mergeCell ref="D756:F756"/>
    <mergeCell ref="D757:F757"/>
    <mergeCell ref="G741:H748"/>
    <mergeCell ref="A687:H687"/>
    <mergeCell ref="G688:H693"/>
    <mergeCell ref="A702:H702"/>
    <mergeCell ref="G714:H721"/>
    <mergeCell ref="A722:H722"/>
    <mergeCell ref="G723:H730"/>
    <mergeCell ref="G591:H594"/>
    <mergeCell ref="A585:H585"/>
    <mergeCell ref="G586:H589"/>
    <mergeCell ref="D589:F589"/>
    <mergeCell ref="A704:H704"/>
    <mergeCell ref="A578:H578"/>
    <mergeCell ref="A577:H577"/>
    <mergeCell ref="A579:H579"/>
    <mergeCell ref="A590:H590"/>
    <mergeCell ref="A652:H652"/>
    <mergeCell ref="G653:H658"/>
    <mergeCell ref="A713:H713"/>
    <mergeCell ref="A659:H659"/>
    <mergeCell ref="G660:H665"/>
    <mergeCell ref="A703:H703"/>
    <mergeCell ref="A701:H701"/>
    <mergeCell ref="A694:H694"/>
    <mergeCell ref="G695:H700"/>
    <mergeCell ref="D699:F699"/>
    <mergeCell ref="D700:F700"/>
    <mergeCell ref="A580:H580"/>
    <mergeCell ref="G581:H584"/>
    <mergeCell ref="A605:H605"/>
    <mergeCell ref="A603:H603"/>
    <mergeCell ref="G705:H712"/>
    <mergeCell ref="A614:H614"/>
    <mergeCell ref="G615:H622"/>
    <mergeCell ref="A189:H189"/>
    <mergeCell ref="B777:H777"/>
    <mergeCell ref="C183:D183"/>
    <mergeCell ref="E183:F183"/>
    <mergeCell ref="G183:H183"/>
    <mergeCell ref="A767:H767"/>
    <mergeCell ref="A731:H731"/>
    <mergeCell ref="G732:H739"/>
    <mergeCell ref="G681:H686"/>
    <mergeCell ref="A623:H623"/>
    <mergeCell ref="G624:H631"/>
    <mergeCell ref="A632:H632"/>
    <mergeCell ref="G633:H640"/>
    <mergeCell ref="A604:H604"/>
    <mergeCell ref="G606:H613"/>
    <mergeCell ref="A641:H641"/>
    <mergeCell ref="A645:H645"/>
    <mergeCell ref="G646:H651"/>
    <mergeCell ref="A642:H642"/>
    <mergeCell ref="A643:H643"/>
    <mergeCell ref="A740:H740"/>
    <mergeCell ref="G572:H576"/>
    <mergeCell ref="C518:C519"/>
    <mergeCell ref="A522:H522"/>
    <mergeCell ref="A190:A191"/>
    <mergeCell ref="A263:H263"/>
    <mergeCell ref="A264:B264"/>
    <mergeCell ref="A244:H244"/>
    <mergeCell ref="A245:B245"/>
    <mergeCell ref="A269:H269"/>
    <mergeCell ref="A270:B270"/>
    <mergeCell ref="A275:H275"/>
    <mergeCell ref="A276:H276"/>
    <mergeCell ref="B190:B191"/>
    <mergeCell ref="A194:H194"/>
    <mergeCell ref="A797:H797"/>
    <mergeCell ref="A794:H794"/>
    <mergeCell ref="A171:B171"/>
    <mergeCell ref="D518:D519"/>
    <mergeCell ref="E518:E519"/>
    <mergeCell ref="G518:H519"/>
    <mergeCell ref="A104:B104"/>
    <mergeCell ref="A105:B105"/>
    <mergeCell ref="A106:B106"/>
    <mergeCell ref="A134:B134"/>
    <mergeCell ref="F153:H153"/>
    <mergeCell ref="G167:H167"/>
    <mergeCell ref="A137:B137"/>
    <mergeCell ref="A595:H595"/>
    <mergeCell ref="G596:H599"/>
    <mergeCell ref="A600:H600"/>
    <mergeCell ref="A601:H601"/>
    <mergeCell ref="C180:D180"/>
    <mergeCell ref="E180:F180"/>
    <mergeCell ref="G180:H180"/>
    <mergeCell ref="C187:D187"/>
    <mergeCell ref="E187:F187"/>
    <mergeCell ref="G566:H570"/>
    <mergeCell ref="A571:H571"/>
    <mergeCell ref="A16:B16"/>
    <mergeCell ref="C16:H16"/>
    <mergeCell ref="E41:H41"/>
    <mergeCell ref="A41:D41"/>
    <mergeCell ref="A96:B96"/>
    <mergeCell ref="C96:H96"/>
    <mergeCell ref="A77:B77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D61:H61"/>
    <mergeCell ref="E72:F81"/>
    <mergeCell ref="G72:H81"/>
    <mergeCell ref="A80:B80"/>
    <mergeCell ref="A81:B81"/>
    <mergeCell ref="D62:H62"/>
    <mergeCell ref="A187:B187"/>
    <mergeCell ref="A98:B98"/>
    <mergeCell ref="C98:H98"/>
    <mergeCell ref="A99:B99"/>
    <mergeCell ref="E99:F99"/>
    <mergeCell ref="G99:H99"/>
    <mergeCell ref="A157:E157"/>
    <mergeCell ref="A159:E159"/>
    <mergeCell ref="A131:B131"/>
    <mergeCell ref="A132:B132"/>
    <mergeCell ref="F161:H161"/>
    <mergeCell ref="C169:D169"/>
    <mergeCell ref="E169:F169"/>
    <mergeCell ref="A176:B176"/>
    <mergeCell ref="A174:A175"/>
    <mergeCell ref="C181:D181"/>
    <mergeCell ref="E181:F181"/>
    <mergeCell ref="A177:H177"/>
    <mergeCell ref="C166:D166"/>
    <mergeCell ref="F162:H162"/>
    <mergeCell ref="F160:H160"/>
    <mergeCell ref="A121:B121"/>
    <mergeCell ref="A122:B122"/>
    <mergeCell ref="A123:B123"/>
    <mergeCell ref="A133:B133"/>
    <mergeCell ref="G127:H127"/>
    <mergeCell ref="A126:B126"/>
    <mergeCell ref="C126:H126"/>
    <mergeCell ref="A127:B127"/>
    <mergeCell ref="E127:F127"/>
    <mergeCell ref="G166:H166"/>
    <mergeCell ref="A161:E161"/>
    <mergeCell ref="A135:B135"/>
    <mergeCell ref="A136:B136"/>
    <mergeCell ref="A152:E152"/>
    <mergeCell ref="F155:H155"/>
    <mergeCell ref="E166:F166"/>
    <mergeCell ref="A166:B166"/>
    <mergeCell ref="F157:H157"/>
    <mergeCell ref="A158:E158"/>
    <mergeCell ref="A160:E160"/>
    <mergeCell ref="A193:H193"/>
    <mergeCell ref="C37:H37"/>
    <mergeCell ref="D60:H60"/>
    <mergeCell ref="A57:C60"/>
    <mergeCell ref="D59:H59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62:C62"/>
    <mergeCell ref="A50:B51"/>
    <mergeCell ref="C50:E50"/>
    <mergeCell ref="G50:H50"/>
    <mergeCell ref="C49:E49"/>
    <mergeCell ref="E44:H44"/>
    <mergeCell ref="G52:H52"/>
    <mergeCell ref="C51:H51"/>
    <mergeCell ref="B789:H789"/>
    <mergeCell ref="B790:H790"/>
    <mergeCell ref="B788:H788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G187:H187"/>
    <mergeCell ref="A680:H680"/>
    <mergeCell ref="C190:C191"/>
    <mergeCell ref="A192:H192"/>
  </mergeCells>
  <dataValidations disablePrompts="1" count="5">
    <dataValidation type="list" allowBlank="1" showInputMessage="1" showErrorMessage="1" sqref="D222:D223">
      <formula1>"Carpet area,RERA Carpet area"</formula1>
    </dataValidation>
    <dataValidation type="list" allowBlank="1" showInputMessage="1" showErrorMessage="1" sqref="H222">
      <formula1>"Saleable area Loading :,Builder Saleable Area"</formula1>
    </dataValidation>
    <dataValidation type="list" allowBlank="1" showInputMessage="1" showErrorMessage="1" sqref="H223">
      <formula1>".45,.50,.55,.60"</formula1>
    </dataValidation>
    <dataValidation type="list" allowBlank="1" showInputMessage="1" showErrorMessage="1" sqref="E222:E223">
      <formula1>"Fungible area,Balcony Area,Chajja Area,Cornice Area,AP Area,WS Area"</formula1>
    </dataValidation>
    <dataValidation type="list" allowBlank="1" showInputMessage="1" showErrorMessage="1" sqref="B222:B223">
      <formula1>"Flat No. (Sale Plan),Sale / Rehab,Sale / Mhada"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803" max="16383" man="1"/>
    <brk id="855" max="16383" man="1"/>
    <brk id="887" max="16383" man="1"/>
  </rowBreaks>
  <colBreaks count="1" manualBreakCount="1">
    <brk id="3" max="615" man="1"/>
  </col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9" t="s">
        <v>108</v>
      </c>
      <c r="C3" s="219"/>
      <c r="D3" s="219"/>
      <c r="E3" s="219"/>
      <c r="F3" s="219"/>
      <c r="G3" s="219"/>
      <c r="H3" s="219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2025-10-06T06:34:09Z</cp:lastPrinted>
  <dcterms:created xsi:type="dcterms:W3CDTF">2019-07-16T09:29:46Z</dcterms:created>
  <dcterms:modified xsi:type="dcterms:W3CDTF">2025-10-06T06:44:16Z</dcterms:modified>
</cp:coreProperties>
</file>