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ruti\Oct 25\Old\"/>
    </mc:Choice>
  </mc:AlternateContent>
  <bookViews>
    <workbookView xWindow="0" yWindow="0" windowWidth="20490" windowHeight="7755"/>
  </bookViews>
  <sheets>
    <sheet name="Report (2)" sheetId="1" r:id="rId1"/>
    <sheet name="Note" sheetId="6" r:id="rId2"/>
    <sheet name="Flat detail" sheetId="3" r:id="rId3"/>
  </sheets>
  <definedNames>
    <definedName name="_xlnm.Print_Area" localSheetId="0">'Report (2)'!$A$1:$J$354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02" i="1" l="1"/>
  <c r="L111" i="1"/>
  <c r="L110" i="1"/>
  <c r="L109" i="1"/>
  <c r="L108" i="1"/>
  <c r="F3" i="1"/>
  <c r="I101" i="1"/>
  <c r="C106" i="1" l="1"/>
  <c r="D106" i="1" s="1"/>
  <c r="L104" i="1"/>
  <c r="L106" i="1"/>
  <c r="L107" i="1" s="1"/>
  <c r="L112" i="1" s="1"/>
  <c r="L113" i="1" s="1"/>
  <c r="D112" i="1"/>
  <c r="D110" i="1"/>
  <c r="D108" i="1"/>
  <c r="D113" i="1"/>
  <c r="D111" i="1"/>
  <c r="D109" i="1"/>
  <c r="D107" i="1"/>
  <c r="L105" i="1"/>
  <c r="C104" i="1" s="1"/>
  <c r="L103" i="1"/>
  <c r="L133" i="1"/>
  <c r="C105" i="1" l="1"/>
  <c r="F104" i="1" s="1"/>
  <c r="L114" i="1"/>
  <c r="D104" i="1"/>
  <c r="D247" i="1"/>
  <c r="G247" i="1" s="1"/>
  <c r="D251" i="1"/>
  <c r="G251" i="1" s="1"/>
  <c r="D250" i="1"/>
  <c r="G250" i="1" s="1"/>
  <c r="D249" i="1"/>
  <c r="G249" i="1" s="1"/>
  <c r="D248" i="1"/>
  <c r="G248" i="1" s="1"/>
  <c r="D246" i="1"/>
  <c r="G246" i="1" s="1"/>
  <c r="D245" i="1"/>
  <c r="G245" i="1" s="1"/>
  <c r="I244" i="1"/>
  <c r="D244" i="1"/>
  <c r="G244" i="1" s="1"/>
  <c r="D242" i="1"/>
  <c r="G242" i="1" s="1"/>
  <c r="D241" i="1"/>
  <c r="G241" i="1" s="1"/>
  <c r="D240" i="1"/>
  <c r="G240" i="1" s="1"/>
  <c r="D239" i="1"/>
  <c r="G239" i="1" s="1"/>
  <c r="D238" i="1"/>
  <c r="G238" i="1" s="1"/>
  <c r="D236" i="1"/>
  <c r="G236" i="1" s="1"/>
  <c r="D237" i="1"/>
  <c r="G237" i="1" s="1"/>
  <c r="D235" i="1"/>
  <c r="G235" i="1" s="1"/>
  <c r="D233" i="1"/>
  <c r="G233" i="1" s="1"/>
  <c r="D232" i="1"/>
  <c r="G232" i="1" s="1"/>
  <c r="D231" i="1"/>
  <c r="G231" i="1" s="1"/>
  <c r="D230" i="1"/>
  <c r="G230" i="1" s="1"/>
  <c r="D224" i="1"/>
  <c r="G224" i="1" s="1"/>
  <c r="D223" i="1"/>
  <c r="G223" i="1" s="1"/>
  <c r="D227" i="1"/>
  <c r="G227" i="1" s="1"/>
  <c r="D226" i="1"/>
  <c r="G226" i="1" s="1"/>
  <c r="D225" i="1"/>
  <c r="G225" i="1" s="1"/>
  <c r="D222" i="1"/>
  <c r="G222" i="1" s="1"/>
  <c r="D221" i="1"/>
  <c r="G221" i="1" s="1"/>
  <c r="D220" i="1"/>
  <c r="G220" i="1" s="1"/>
  <c r="D219" i="1"/>
  <c r="G219" i="1" s="1"/>
  <c r="D218" i="1"/>
  <c r="G218" i="1" s="1"/>
  <c r="D217" i="1"/>
  <c r="G217" i="1" s="1"/>
  <c r="D215" i="1"/>
  <c r="G215" i="1" s="1"/>
  <c r="D214" i="1"/>
  <c r="G214" i="1" s="1"/>
  <c r="D213" i="1"/>
  <c r="G213" i="1" s="1"/>
  <c r="D212" i="1"/>
  <c r="G212" i="1" s="1"/>
  <c r="D211" i="1"/>
  <c r="G211" i="1" s="1"/>
  <c r="D210" i="1"/>
  <c r="D209" i="1"/>
  <c r="G209" i="1" s="1"/>
  <c r="M209" i="1"/>
  <c r="D196" i="1"/>
  <c r="G196" i="1" s="1"/>
  <c r="D197" i="1"/>
  <c r="G197" i="1" s="1"/>
  <c r="D206" i="1"/>
  <c r="G206" i="1" s="1"/>
  <c r="D205" i="1"/>
  <c r="G205" i="1" s="1"/>
  <c r="D204" i="1"/>
  <c r="G204" i="1" s="1"/>
  <c r="D203" i="1"/>
  <c r="G203" i="1" s="1"/>
  <c r="D202" i="1"/>
  <c r="G202" i="1" s="1"/>
  <c r="D201" i="1"/>
  <c r="G201" i="1" s="1"/>
  <c r="D200" i="1"/>
  <c r="G200" i="1" s="1"/>
  <c r="D199" i="1"/>
  <c r="G199" i="1" s="1"/>
  <c r="D198" i="1"/>
  <c r="G198" i="1" s="1"/>
  <c r="I196" i="1"/>
  <c r="D194" i="1"/>
  <c r="G194" i="1" s="1"/>
  <c r="D193" i="1"/>
  <c r="G193" i="1" s="1"/>
  <c r="D192" i="1"/>
  <c r="G192" i="1" s="1"/>
  <c r="D191" i="1"/>
  <c r="G191" i="1" s="1"/>
  <c r="D190" i="1"/>
  <c r="G190" i="1" s="1"/>
  <c r="D189" i="1"/>
  <c r="G189" i="1" s="1"/>
  <c r="D188" i="1"/>
  <c r="G188" i="1" s="1"/>
  <c r="D187" i="1"/>
  <c r="G187" i="1" s="1"/>
  <c r="D186" i="1"/>
  <c r="G186" i="1" s="1"/>
  <c r="D185" i="1"/>
  <c r="G185" i="1" s="1"/>
  <c r="D184" i="1"/>
  <c r="G184" i="1" s="1"/>
  <c r="I184" i="1"/>
  <c r="D181" i="1"/>
  <c r="G181" i="1" s="1"/>
  <c r="D180" i="1"/>
  <c r="G180" i="1" s="1"/>
  <c r="D173" i="1"/>
  <c r="G173" i="1" s="1"/>
  <c r="D172" i="1"/>
  <c r="G172" i="1" s="1"/>
  <c r="D182" i="1"/>
  <c r="G182" i="1" s="1"/>
  <c r="D175" i="1"/>
  <c r="G175" i="1" s="1"/>
  <c r="D176" i="1"/>
  <c r="G176" i="1" s="1"/>
  <c r="D177" i="1"/>
  <c r="G177" i="1" s="1"/>
  <c r="D174" i="1"/>
  <c r="G174" i="1" s="1"/>
  <c r="D179" i="1"/>
  <c r="G179" i="1" s="1"/>
  <c r="D178" i="1"/>
  <c r="G178" i="1" s="1"/>
  <c r="L172" i="1"/>
  <c r="I172" i="1"/>
  <c r="D155" i="1"/>
  <c r="G155" i="1" s="1"/>
  <c r="L155" i="1" s="1"/>
  <c r="D156" i="1"/>
  <c r="G156" i="1" s="1"/>
  <c r="L156" i="1" s="1"/>
  <c r="D154" i="1"/>
  <c r="G154" i="1" s="1"/>
  <c r="L154" i="1" s="1"/>
  <c r="D153" i="1"/>
  <c r="G153" i="1" s="1"/>
  <c r="L153" i="1" s="1"/>
  <c r="D152" i="1"/>
  <c r="G152" i="1" s="1"/>
  <c r="L152" i="1" s="1"/>
  <c r="D151" i="1"/>
  <c r="G151" i="1" s="1"/>
  <c r="L151" i="1" s="1"/>
  <c r="D150" i="1"/>
  <c r="G150" i="1" s="1"/>
  <c r="I140" i="1"/>
  <c r="I150" i="1"/>
  <c r="D170" i="1"/>
  <c r="G170" i="1" s="1"/>
  <c r="D169" i="1"/>
  <c r="G169" i="1" s="1"/>
  <c r="D168" i="1"/>
  <c r="G168" i="1" s="1"/>
  <c r="D167" i="1"/>
  <c r="G167" i="1" s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D148" i="1"/>
  <c r="G148" i="1" s="1"/>
  <c r="D147" i="1"/>
  <c r="G147" i="1" s="1"/>
  <c r="D146" i="1"/>
  <c r="G146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H46" i="1"/>
  <c r="K100" i="1" l="1"/>
  <c r="C114" i="1"/>
  <c r="H104" i="1"/>
  <c r="H114" i="1" s="1"/>
  <c r="D105" i="1"/>
  <c r="L150" i="1"/>
  <c r="M150" i="1"/>
  <c r="C126" i="1"/>
  <c r="G210" i="1"/>
  <c r="L209" i="1" s="1"/>
  <c r="C132" i="1"/>
  <c r="C130" i="1"/>
  <c r="G125" i="1"/>
  <c r="C131" i="1"/>
  <c r="G133" i="1"/>
  <c r="C133" i="1"/>
  <c r="D132" i="1"/>
  <c r="G159" i="1"/>
  <c r="G140" i="1"/>
  <c r="D133" i="1"/>
  <c r="C125" i="1"/>
  <c r="D126" i="1"/>
  <c r="G126" i="1"/>
  <c r="D131" i="1"/>
  <c r="G130" i="1"/>
  <c r="G131" i="1"/>
  <c r="D125" i="1"/>
  <c r="D130" i="1"/>
  <c r="L82" i="1"/>
  <c r="L81" i="1"/>
  <c r="L80" i="1"/>
  <c r="L79" i="1"/>
  <c r="I58" i="1"/>
  <c r="I72" i="1"/>
  <c r="G127" i="1" l="1"/>
  <c r="C127" i="1"/>
  <c r="C134" i="1"/>
  <c r="D127" i="1"/>
  <c r="D84" i="1"/>
  <c r="L77" i="1"/>
  <c r="L78" i="1" s="1"/>
  <c r="L83" i="1" s="1"/>
  <c r="L84" i="1" s="1"/>
  <c r="L75" i="1"/>
  <c r="L74" i="1"/>
  <c r="D83" i="1"/>
  <c r="D81" i="1"/>
  <c r="D79" i="1"/>
  <c r="D77" i="1"/>
  <c r="L76" i="1"/>
  <c r="C75" i="1" s="1"/>
  <c r="D75" i="1" s="1"/>
  <c r="D82" i="1"/>
  <c r="D80" i="1"/>
  <c r="D78" i="1"/>
  <c r="L96" i="1"/>
  <c r="L95" i="1"/>
  <c r="L94" i="1"/>
  <c r="L93" i="1"/>
  <c r="L68" i="1"/>
  <c r="L67" i="1"/>
  <c r="L66" i="1"/>
  <c r="L65" i="1"/>
  <c r="I86" i="1"/>
  <c r="C76" i="1" l="1"/>
  <c r="H75" i="1" s="1"/>
  <c r="C91" i="1"/>
  <c r="D91" i="1" s="1"/>
  <c r="L89" i="1"/>
  <c r="D98" i="1"/>
  <c r="D96" i="1"/>
  <c r="D94" i="1"/>
  <c r="D92" i="1"/>
  <c r="L90" i="1"/>
  <c r="C89" i="1" s="1"/>
  <c r="D89" i="1" s="1"/>
  <c r="L88" i="1"/>
  <c r="L91" i="1"/>
  <c r="L92" i="1" s="1"/>
  <c r="L97" i="1" s="1"/>
  <c r="L98" i="1" s="1"/>
  <c r="D97" i="1"/>
  <c r="D95" i="1"/>
  <c r="D93" i="1"/>
  <c r="L61" i="1"/>
  <c r="D70" i="1"/>
  <c r="D68" i="1"/>
  <c r="D66" i="1"/>
  <c r="D64" i="1"/>
  <c r="L62" i="1"/>
  <c r="D61" i="1" s="1"/>
  <c r="L60" i="1"/>
  <c r="D69" i="1"/>
  <c r="D67" i="1"/>
  <c r="D65" i="1"/>
  <c r="L63" i="1"/>
  <c r="L64" i="1" s="1"/>
  <c r="L69" i="1" s="1"/>
  <c r="L70" i="1" s="1"/>
  <c r="D63" i="1"/>
  <c r="C90" i="1" l="1"/>
  <c r="D90" i="1" s="1"/>
  <c r="L99" i="1"/>
  <c r="F75" i="1"/>
  <c r="K71" i="1" s="1"/>
  <c r="C73" i="1" s="1"/>
  <c r="D76" i="1"/>
  <c r="F61" i="1"/>
  <c r="K57" i="1" s="1"/>
  <c r="C59" i="1" s="1"/>
  <c r="D62" i="1"/>
  <c r="H61" i="1"/>
  <c r="F89" i="1" l="1"/>
  <c r="K85" i="1" s="1"/>
  <c r="C87" i="1" s="1"/>
  <c r="H89" i="1"/>
  <c r="H99" i="1" s="1"/>
  <c r="F40" i="1"/>
  <c r="C99" i="1" l="1"/>
  <c r="I217" i="1"/>
  <c r="I235" i="1"/>
  <c r="G132" i="1" l="1"/>
  <c r="G134" i="1" l="1"/>
  <c r="D134" i="1"/>
  <c r="L130" i="1" s="1"/>
  <c r="D266" i="1"/>
  <c r="G122" i="1"/>
  <c r="C46" i="1"/>
  <c r="F41" i="1"/>
  <c r="D51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<sst xmlns="http://schemas.openxmlformats.org/spreadsheetml/2006/main" count="635" uniqueCount="272">
  <si>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</si>
  <si>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</si>
  <si>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</si>
  <si>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</si>
  <si>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</si>
  <si>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</si>
  <si>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</si>
  <si>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</si>
  <si>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</si>
  <si>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</si>
  <si>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</si>
  <si>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</si>
  <si>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</si>
  <si>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</si>
  <si>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</si>
  <si>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</si>
  <si>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</si>
  <si>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</si>
  <si>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</si>
  <si>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</si>
  <si>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</si>
  <si>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</si>
  <si>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</si>
  <si>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</si>
  <si>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</si>
  <si>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</si>
  <si>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</si>
  <si>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</si>
  <si>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</si>
  <si>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</si>
  <si>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</si>
  <si>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</si>
  <si>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</si>
  <si>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</si>
  <si>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</si>
  <si>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</si>
  <si>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</si>
  <si>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</si>
  <si>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</si>
  <si>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</si>
  <si>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</si>
  <si>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</si>
  <si>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</si>
  <si>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</si>
  <si>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</si>
  <si>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</si>
  <si>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</si>
  <si>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</si>
  <si>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</si>
  <si>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</si>
  <si>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</si>
  <si>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</si>
  <si>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</si>
  <si>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</si>
  <si>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</si>
  <si>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</si>
  <si>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</si>
  <si>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</si>
  <si>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</si>
  <si>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</si>
  <si>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</si>
  <si>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</si>
  <si>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</si>
  <si>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</si>
  <si>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</si>
  <si>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Projected life of the structure: 60 Years After Completion</t>
  </si>
  <si>
    <t xml:space="preserve">Construction details:                                                                  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</si>
  <si>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</si>
  <si>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</si>
  <si>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</si>
  <si>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</si>
  <si>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</si>
  <si>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</si>
  <si>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</si>
  <si>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</si>
  <si>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</si>
  <si>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</si>
  <si>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</si>
  <si>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</si>
  <si>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</si>
  <si>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</si>
  <si>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</si>
  <si>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</si>
  <si>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</si>
  <si>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</si>
  <si>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</si>
  <si>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</si>
  <si>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</si>
  <si>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</si>
  <si>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</si>
  <si>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</si>
  <si>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</si>
  <si>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</si>
  <si>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</si>
  <si>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</si>
  <si>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</si>
  <si>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</si>
  <si>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</si>
  <si>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</si>
  <si>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</si>
  <si>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</si>
  <si>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</si>
  <si>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</si>
  <si>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</si>
  <si>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</si>
  <si>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</si>
  <si>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</si>
  <si>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</si>
  <si>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</si>
  <si>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</si>
  <si>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</si>
  <si>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</si>
  <si>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</si>
  <si>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</si>
  <si>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</si>
  <si>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</si>
  <si>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</si>
  <si>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</si>
  <si>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</si>
  <si>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</si>
  <si>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</si>
  <si>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</si>
  <si>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</si>
  <si>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</si>
  <si>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</si>
  <si>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</si>
  <si>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</si>
  <si>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</si>
  <si>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</si>
  <si>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</si>
  <si>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Recommended rate of the flat Per Sq. Ft. ( on Saleable area)</t>
  </si>
  <si>
    <t>Recommended rate of the Shop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</si>
  <si>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</si>
  <si>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</si>
  <si>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</si>
  <si>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</si>
  <si>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Report Prepared By :</t>
  </si>
  <si>
    <t>No. of Units</t>
  </si>
  <si>
    <t>Authorized Signatory
Name &amp; Seal of the agency</t>
  </si>
  <si>
    <t>Axis Sanpada</t>
  </si>
  <si>
    <t>9518706873 / 9648691123 / 9112154050</t>
  </si>
  <si>
    <t>P51700021856</t>
  </si>
  <si>
    <t>Hissa No</t>
  </si>
  <si>
    <t>1 &amp; 2</t>
  </si>
  <si>
    <t>Survey No</t>
  </si>
  <si>
    <t>Thane</t>
  </si>
  <si>
    <t>Ambarnath</t>
  </si>
  <si>
    <t xml:space="preserve">Material laying at Site: Bricks, Cement &amp; Steel etc. </t>
  </si>
  <si>
    <t xml:space="preserve">A Wing </t>
  </si>
  <si>
    <t xml:space="preserve">B Wing </t>
  </si>
  <si>
    <t>Shop</t>
  </si>
  <si>
    <t xml:space="preserve">D Wing </t>
  </si>
  <si>
    <t xml:space="preserve">C Wing </t>
  </si>
  <si>
    <t>1BHK</t>
  </si>
  <si>
    <t>2BHK</t>
  </si>
  <si>
    <t xml:space="preserve">Wheather the construction is as per approved Building plan : Under Construction </t>
  </si>
  <si>
    <t>Residential + Commercial</t>
  </si>
  <si>
    <t xml:space="preserve">1st to 4th Floor </t>
  </si>
  <si>
    <t xml:space="preserve">Ground Floor for Residential &amp; Parking </t>
  </si>
  <si>
    <t>Heena Paradise</t>
  </si>
  <si>
    <t>About 6Km from Badlapur Railway Station</t>
  </si>
  <si>
    <t>Mr.Santoshkumar Premsukh Gattani</t>
  </si>
  <si>
    <t>Wing A, B, C &amp; D</t>
  </si>
  <si>
    <t>Quality of construction : Good</t>
  </si>
  <si>
    <t>Ground Floor</t>
  </si>
  <si>
    <t>Badlapur Gaon Road</t>
  </si>
  <si>
    <t>Open Land</t>
  </si>
  <si>
    <t>Bhawani Shankar Residency</t>
  </si>
  <si>
    <t>M/s.Bhawani Shankar Residency</t>
  </si>
  <si>
    <t>Pratiksha</t>
  </si>
  <si>
    <t>19/03/2021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</si>
  <si>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</si>
  <si>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</si>
  <si>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</si>
  <si>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</si>
  <si>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</si>
  <si>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</si>
  <si>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</si>
  <si>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</si>
  <si>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</si>
  <si>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</si>
  <si>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</si>
  <si>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</si>
  <si>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</si>
  <si>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</si>
  <si>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</si>
  <si>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</si>
  <si>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</si>
  <si>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</si>
  <si>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</si>
  <si>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</si>
  <si>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</si>
  <si>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</si>
  <si>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</si>
  <si>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</si>
  <si>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Propsed no of Floors</t>
  </si>
  <si>
    <t>KBNP/NRV/B.D/5355-58</t>
  </si>
  <si>
    <t xml:space="preserve">Ground Floor for Commercial &amp; Parking </t>
  </si>
  <si>
    <t>1st Floor for Residential</t>
  </si>
  <si>
    <t xml:space="preserve">2nd to 4th Floor </t>
  </si>
  <si>
    <t>201 to 401</t>
  </si>
  <si>
    <t>202 to 402</t>
  </si>
  <si>
    <t>203 to 403</t>
  </si>
  <si>
    <t>204 to 404</t>
  </si>
  <si>
    <t>205 to 405</t>
  </si>
  <si>
    <t>206 to 406</t>
  </si>
  <si>
    <t>207 to 407</t>
  </si>
  <si>
    <t>208 to 408</t>
  </si>
  <si>
    <t>209 to 409</t>
  </si>
  <si>
    <t>210 to 410</t>
  </si>
  <si>
    <t>211 to 411</t>
  </si>
  <si>
    <t xml:space="preserve">5th to 7th Floor </t>
  </si>
  <si>
    <t>501 to 701</t>
  </si>
  <si>
    <t>505 to 705</t>
  </si>
  <si>
    <t>503 to 703</t>
  </si>
  <si>
    <t>507 to 707</t>
  </si>
  <si>
    <t>506 to 706</t>
  </si>
  <si>
    <t>508 to 708</t>
  </si>
  <si>
    <t>509 to 709</t>
  </si>
  <si>
    <t>510 to 710</t>
  </si>
  <si>
    <t>511 to 711</t>
  </si>
  <si>
    <t>502 to 702</t>
  </si>
  <si>
    <t>504 to 704</t>
  </si>
  <si>
    <t>101 to 401</t>
  </si>
  <si>
    <t>102 to 402</t>
  </si>
  <si>
    <t>103 to 403</t>
  </si>
  <si>
    <t>104 to 404</t>
  </si>
  <si>
    <t>105 to 405</t>
  </si>
  <si>
    <t>106 to 406</t>
  </si>
  <si>
    <t>108 to 408</t>
  </si>
  <si>
    <t>107 to 407</t>
  </si>
  <si>
    <t>109 to 409</t>
  </si>
  <si>
    <t>110 to 410</t>
  </si>
  <si>
    <t>111 to 411</t>
  </si>
  <si>
    <t xml:space="preserve">1st to 3rd Floor </t>
  </si>
  <si>
    <t>101 to 301</t>
  </si>
  <si>
    <t>102 to 302</t>
  </si>
  <si>
    <t>103 to 303</t>
  </si>
  <si>
    <t>104 to 304</t>
  </si>
  <si>
    <t>105 to 305</t>
  </si>
  <si>
    <t>106 to 306</t>
  </si>
  <si>
    <t>107 to 307</t>
  </si>
  <si>
    <t>108 to 308</t>
  </si>
  <si>
    <t xml:space="preserve">4th Floor </t>
  </si>
  <si>
    <t>Flats = 171 &amp; shop = 21</t>
  </si>
  <si>
    <t xml:space="preserve">Badlapur West
</t>
  </si>
  <si>
    <t>Plz check Loading before releasing report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</si>
  <si>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</si>
  <si>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r>
      <rPr>
        <sz val="11"/>
        <rFont val="Times New Roman"/>
        <family val="1"/>
      </rPr>
      <t>1.Vitrified tiles flooring 2. Granite Kitchen Platform  3. Decorative Enternace  etc.</t>
    </r>
    <r>
      <rPr>
        <b/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</si>
  <si>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t>Badlapur</t>
  </si>
  <si>
    <t>1,00,000/-</t>
  </si>
  <si>
    <t>Saleable area</t>
  </si>
  <si>
    <t>6000/-</t>
  </si>
  <si>
    <t xml:space="preserve">A &amp; B Wing = G + 1st to 7th Floor
C &amp; D Wing = G + 4th Floor
</t>
  </si>
  <si>
    <t>A Wing = G + 7th Floor</t>
  </si>
  <si>
    <t xml:space="preserve">A Wing = G + 1st Floor 
B Wing = G + 1st to 7th Floor
C &amp; D Wing = G + 4th Floor
</t>
  </si>
  <si>
    <t xml:space="preserve">JVKK.KBNP/NRV/B.P/5355/2021-2022/58
Valid Up to: A Wing = Ground Floor 
B Wing = G + 1st to 7th Floor
C &amp; D Wing = G + 4th Floor
</t>
  </si>
  <si>
    <t>B Wing = G + 7th Floor</t>
  </si>
  <si>
    <t>4 Buildings</t>
  </si>
  <si>
    <t>KBNP/NRV/10242/2021-2022
Approved upto : Wing D = GrStilt + 1st to 4th Floor</t>
  </si>
  <si>
    <t>C Wing = G + 4th Floor</t>
  </si>
  <si>
    <t>D Wing = G + 4th Floor</t>
  </si>
  <si>
    <t>Location Link</t>
  </si>
  <si>
    <t>https://goo.gl/maps/auwgGDA7pQCcy2SW7?coh=178572&amp;entry=tt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</si>
  <si>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               E mail : vsjcapf@gmail.com. Web site : www.vsjadon.com </t>
  </si>
  <si>
    <t>As per RERA = 30/12/2026</t>
  </si>
  <si>
    <t xml:space="preserve">Site Person - Contact Details ( Name &amp; Contact No.)
</t>
  </si>
  <si>
    <t>19.1549351,73.2675969</t>
  </si>
  <si>
    <t>Sudhir Bhosale</t>
  </si>
  <si>
    <t>Shruti Tathare</t>
  </si>
  <si>
    <t>Construction work is the same as last visit (dtd.12/05/2025), but work is in process at the time of the visit. (Slow Speed). Few flats are occupied by Tenants.</t>
  </si>
  <si>
    <t>* A Wing = Work not yet started.
   B Wing =  Construction work has incresed as compare to last visited date 11/08/2025 but at the time of visit no active work found on site. Few flats are occupied by Tenants.
   C wing = All work completed. Please provide OC.
   D Wing = All work completed. OC Received.
* We considered Saleable area as per our Calculation.
* We considered Carpet area as per Approved Plan.
* We considered Gross carpet area = Net carpet + Enclose balcony + E.P Area + A.P Area.
* We have considered rate by verifying it from market inquire.
* Recommended rate should be considered as all inclusive rate if other charges are not mentioned. (Excluding GST &amp; other government Taxes)
* Car parking is subjected to authentic documentation.
* We have updated revised approved floor plan &amp; C.C (on 11/01/2022).
* We have taken revised approved Layout plan from RERA site.
* We refer OC from Rera for Wing D ( on 07/02/2023).
* Since Wing A have received CC on 30/06/2021, but as of construction work is not started.
* On Site, we meet Mr. Udit Bhavani - Builder (9130739515), 
   Amreesh Rajbhar - 7387560084 &amp; Milind - (9518706873).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</si>
</sst>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12" fillId="0" borderId="0" applyNumberFormat="0" applyFill="0" applyBorder="0" applyAlignment="0" applyProtection="0"/>
  </cellStyleXfs>
  <cellXfs count="201">
    <xf numFmtId="0" fontId="0" fillId="0" borderId="0" xfId="0"/>
    <xf numFmtId="0" fontId="0" fillId="2" borderId="4" xfId="0" applyFill="1" applyBorder="1"/>
    <xf numFmtId="0" fontId="0" fillId="0" borderId="9" xfId="0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0" fillId="0" borderId="4" xfId="0" applyBorder="1"/>
    <xf numFmtId="14" fontId="5" fillId="0" borderId="0" xfId="4" applyNumberFormat="1"/>
    <xf numFmtId="0" fontId="5" fillId="0" borderId="0" xfId="4"/>
    <xf numFmtId="0" fontId="7" fillId="0" borderId="17" xfId="1" applyFont="1" applyBorder="1" applyProtection="1">
      <protection hidden="1"/>
    </xf>
    <xf numFmtId="0" fontId="7" fillId="0" borderId="18" xfId="1" applyFont="1" applyBorder="1" applyProtection="1">
      <protection hidden="1"/>
    </xf>
    <xf numFmtId="0" fontId="7" fillId="0" borderId="19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0" xfId="1" applyFont="1" applyProtection="1">
      <protection hidden="1"/>
    </xf>
    <xf numFmtId="0" fontId="7" fillId="0" borderId="21" xfId="1" applyFont="1" applyBorder="1" applyProtection="1">
      <protection hidden="1"/>
    </xf>
    <xf numFmtId="0" fontId="7" fillId="0" borderId="0" xfId="3" applyFont="1" applyProtection="1">
      <protection hidden="1"/>
    </xf>
    <xf numFmtId="0" fontId="7" fillId="0" borderId="21" xfId="1" applyFont="1" applyBorder="1"/>
    <xf numFmtId="0" fontId="7" fillId="0" borderId="21" xfId="3" applyFont="1" applyBorder="1" applyProtection="1">
      <protection hidden="1"/>
    </xf>
    <xf numFmtId="1" fontId="9" fillId="0" borderId="21" xfId="3" applyNumberFormat="1" applyFont="1" applyBorder="1"/>
    <xf numFmtId="1" fontId="9" fillId="0" borderId="21" xfId="3" applyNumberFormat="1" applyFont="1" applyBorder="1" applyAlignment="1">
      <alignment horizontal="right"/>
    </xf>
    <xf numFmtId="0" fontId="7" fillId="0" borderId="30" xfId="3" applyFont="1" applyBorder="1" applyProtection="1">
      <protection hidden="1"/>
    </xf>
    <xf numFmtId="1" fontId="9" fillId="0" borderId="31" xfId="3" applyNumberFormat="1" applyFont="1" applyBorder="1"/>
    <xf numFmtId="0" fontId="10" fillId="0" borderId="0" xfId="1" applyFont="1"/>
    <xf numFmtId="0" fontId="4" fillId="0" borderId="0" xfId="2" applyFont="1"/>
    <xf numFmtId="0" fontId="10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0" applyFont="1"/>
    <xf numFmtId="1" fontId="4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4" fillId="0" borderId="4" xfId="1" applyFont="1" applyBorder="1" applyAlignment="1">
      <alignment horizontal="left" vertical="top"/>
    </xf>
    <xf numFmtId="1" fontId="3" fillId="0" borderId="4" xfId="1" applyNumberFormat="1" applyFont="1" applyBorder="1" applyAlignment="1">
      <alignment horizontal="center" vertical="top" wrapText="1"/>
    </xf>
    <xf numFmtId="1" fontId="4" fillId="0" borderId="0" xfId="1" applyNumberFormat="1" applyFont="1" applyAlignment="1">
      <alignment horizontal="center" vertical="center" wrapText="1"/>
    </xf>
    <xf numFmtId="0" fontId="7" fillId="0" borderId="4" xfId="1" applyFont="1" applyBorder="1" applyAlignment="1">
      <alignment vertical="top"/>
    </xf>
    <xf numFmtId="0" fontId="7" fillId="0" borderId="4" xfId="1" applyFont="1" applyBorder="1" applyAlignment="1" applyProtection="1">
      <alignment horizontal="center" wrapText="1"/>
      <protection locked="0"/>
    </xf>
    <xf numFmtId="1" fontId="7" fillId="0" borderId="4" xfId="1" applyNumberFormat="1" applyFont="1" applyBorder="1" applyAlignment="1" applyProtection="1">
      <alignment horizontal="center" wrapText="1"/>
      <protection locked="0"/>
    </xf>
    <xf numFmtId="0" fontId="7" fillId="0" borderId="26" xfId="1" applyFont="1" applyBorder="1" applyAlignment="1" applyProtection="1">
      <alignment horizontal="center" wrapText="1"/>
      <protection locked="0"/>
    </xf>
    <xf numFmtId="0" fontId="11" fillId="0" borderId="4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1" applyFont="1" applyAlignment="1">
      <alignment vertical="top"/>
    </xf>
    <xf numFmtId="0" fontId="3" fillId="0" borderId="0" xfId="1" applyFont="1" applyAlignment="1">
      <alignment vertical="top" wrapText="1"/>
    </xf>
    <xf numFmtId="0" fontId="11" fillId="0" borderId="0" xfId="1" applyFont="1"/>
    <xf numFmtId="0" fontId="3" fillId="0" borderId="4" xfId="1" applyFont="1" applyBorder="1" applyAlignment="1">
      <alignment horizontal="left" vertical="top"/>
    </xf>
    <xf numFmtId="1" fontId="10" fillId="0" borderId="0" xfId="0" applyNumberFormat="1" applyFont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9" fontId="7" fillId="0" borderId="1" xfId="1" applyNumberFormat="1" applyFont="1" applyBorder="1" applyAlignment="1" applyProtection="1">
      <alignment horizontal="center" vertical="center" wrapText="1"/>
      <protection hidden="1"/>
    </xf>
    <xf numFmtId="9" fontId="7" fillId="0" borderId="3" xfId="1" applyNumberFormat="1" applyFont="1" applyBorder="1" applyAlignment="1" applyProtection="1">
      <alignment horizontal="center" vertical="center" wrapText="1"/>
      <protection hidden="1"/>
    </xf>
    <xf numFmtId="0" fontId="7" fillId="0" borderId="25" xfId="1" applyFont="1" applyBorder="1" applyAlignment="1" applyProtection="1">
      <alignment horizontal="center" vertical="top" wrapText="1"/>
      <protection locked="0"/>
    </xf>
    <xf numFmtId="0" fontId="7" fillId="0" borderId="26" xfId="1" applyFont="1" applyBorder="1" applyAlignment="1" applyProtection="1">
      <alignment horizontal="center" vertical="top" wrapText="1"/>
      <protection locked="0"/>
    </xf>
    <xf numFmtId="9" fontId="7" fillId="0" borderId="27" xfId="1" applyNumberFormat="1" applyFont="1" applyBorder="1" applyAlignment="1" applyProtection="1">
      <alignment horizontal="center" vertical="center" wrapText="1"/>
      <protection hidden="1"/>
    </xf>
    <xf numFmtId="9" fontId="7" fillId="0" borderId="28" xfId="1" applyNumberFormat="1" applyFont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23" xfId="1" applyFont="1" applyBorder="1" applyAlignment="1" applyProtection="1">
      <alignment horizontal="center" vertical="top" wrapText="1"/>
      <protection locked="0"/>
    </xf>
    <xf numFmtId="0" fontId="7" fillId="0" borderId="19" xfId="1" applyFont="1" applyBorder="1" applyAlignment="1" applyProtection="1">
      <alignment horizontal="center" vertical="top" wrapText="1"/>
      <protection locked="0"/>
    </xf>
    <xf numFmtId="9" fontId="7" fillId="0" borderId="4" xfId="1" applyNumberFormat="1" applyFont="1" applyBorder="1" applyAlignment="1" applyProtection="1">
      <alignment horizontal="center" vertical="center" wrapText="1"/>
      <protection hidden="1"/>
    </xf>
    <xf numFmtId="9" fontId="7" fillId="0" borderId="26" xfId="1" applyNumberFormat="1" applyFont="1" applyBorder="1" applyAlignment="1" applyProtection="1">
      <alignment horizontal="center" vertical="center" wrapText="1"/>
      <protection hidden="1"/>
    </xf>
    <xf numFmtId="9" fontId="7" fillId="0" borderId="5" xfId="1" applyNumberFormat="1" applyFont="1" applyBorder="1" applyAlignment="1" applyProtection="1">
      <alignment horizontal="center" vertical="center" wrapText="1"/>
      <protection hidden="1"/>
    </xf>
    <xf numFmtId="9" fontId="7" fillId="0" borderId="6" xfId="1" applyNumberFormat="1" applyFont="1" applyBorder="1" applyAlignment="1" applyProtection="1">
      <alignment horizontal="center" vertical="center" wrapText="1"/>
      <protection hidden="1"/>
    </xf>
    <xf numFmtId="9" fontId="7" fillId="0" borderId="24" xfId="1" applyNumberFormat="1" applyFont="1" applyBorder="1" applyAlignment="1" applyProtection="1">
      <alignment horizontal="center" vertical="center" wrapText="1"/>
      <protection hidden="1"/>
    </xf>
    <xf numFmtId="9" fontId="7" fillId="0" borderId="11" xfId="1" applyNumberFormat="1" applyFont="1" applyBorder="1" applyAlignment="1" applyProtection="1">
      <alignment horizontal="center" vertical="center" wrapText="1"/>
      <protection hidden="1"/>
    </xf>
    <xf numFmtId="9" fontId="7" fillId="0" borderId="0" xfId="1" applyNumberFormat="1" applyFont="1" applyAlignment="1" applyProtection="1">
      <alignment horizontal="center" vertical="center" wrapText="1"/>
      <protection hidden="1"/>
    </xf>
    <xf numFmtId="9" fontId="7" fillId="0" borderId="21" xfId="1" applyNumberFormat="1" applyFont="1" applyBorder="1" applyAlignment="1" applyProtection="1">
      <alignment horizontal="center" vertical="center" wrapText="1"/>
      <protection hidden="1"/>
    </xf>
    <xf numFmtId="9" fontId="7" fillId="0" borderId="29" xfId="1" applyNumberFormat="1" applyFont="1" applyBorder="1" applyAlignment="1" applyProtection="1">
      <alignment horizontal="center" vertical="center" wrapText="1"/>
      <protection hidden="1"/>
    </xf>
    <xf numFmtId="9" fontId="7" fillId="0" borderId="30" xfId="1" applyNumberFormat="1" applyFont="1" applyBorder="1" applyAlignment="1" applyProtection="1">
      <alignment horizontal="center" vertical="center" wrapText="1"/>
      <protection hidden="1"/>
    </xf>
    <xf numFmtId="9" fontId="7" fillId="0" borderId="31" xfId="1" applyNumberFormat="1" applyFont="1" applyBorder="1" applyAlignment="1" applyProtection="1">
      <alignment horizontal="center" vertical="center" wrapText="1"/>
      <protection hidden="1"/>
    </xf>
    <xf numFmtId="1" fontId="8" fillId="0" borderId="4" xfId="1" applyNumberFormat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/>
    </xf>
    <xf numFmtId="1" fontId="4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1" fontId="8" fillId="0" borderId="4" xfId="0" applyNumberFormat="1" applyFont="1" applyBorder="1" applyAlignment="1">
      <alignment horizontal="center" vertical="top" wrapText="1"/>
    </xf>
    <xf numFmtId="0" fontId="7" fillId="0" borderId="4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20" xfId="1" applyFont="1" applyBorder="1" applyAlignment="1" applyProtection="1">
      <alignment horizontal="center" vertical="top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12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/>
    </xf>
    <xf numFmtId="0" fontId="10" fillId="0" borderId="1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12" fillId="0" borderId="1" xfId="5" applyFill="1" applyBorder="1" applyAlignment="1">
      <alignment vertical="top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0" fontId="3" fillId="0" borderId="1" xfId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3" fillId="0" borderId="3" xfId="1" applyFont="1" applyBorder="1" applyAlignment="1">
      <alignment vertical="top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left" vertical="top"/>
    </xf>
    <xf numFmtId="14" fontId="4" fillId="0" borderId="2" xfId="1" applyNumberFormat="1" applyFont="1" applyBorder="1" applyAlignment="1">
      <alignment horizontal="left" vertical="top"/>
    </xf>
    <xf numFmtId="14" fontId="4" fillId="0" borderId="3" xfId="1" applyNumberFormat="1" applyFont="1" applyBorder="1" applyAlignment="1">
      <alignment horizontal="left" vertical="top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0" fillId="0" borderId="3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4" fillId="0" borderId="7" xfId="1" applyFont="1" applyBorder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0" fontId="4" fillId="0" borderId="9" xfId="1" applyFont="1" applyBorder="1" applyAlignment="1">
      <alignment horizontal="left" vertical="top"/>
    </xf>
    <xf numFmtId="0" fontId="4" fillId="0" borderId="10" xfId="1" applyFont="1" applyBorder="1" applyAlignment="1">
      <alignment horizontal="left" vertical="top"/>
    </xf>
    <xf numFmtId="2" fontId="4" fillId="0" borderId="1" xfId="1" applyNumberFormat="1" applyFont="1" applyBorder="1" applyAlignment="1">
      <alignment horizontal="left" vertical="top" wrapText="1"/>
    </xf>
    <xf numFmtId="2" fontId="4" fillId="0" borderId="2" xfId="1" applyNumberFormat="1" applyFont="1" applyBorder="1" applyAlignment="1">
      <alignment horizontal="left" vertical="top" wrapText="1"/>
    </xf>
    <xf numFmtId="2" fontId="4" fillId="0" borderId="3" xfId="1" applyNumberFormat="1" applyFont="1" applyBorder="1" applyAlignment="1">
      <alignment horizontal="left" vertical="top" wrapText="1"/>
    </xf>
    <xf numFmtId="14" fontId="4" fillId="0" borderId="1" xfId="1" applyNumberFormat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left" vertical="top"/>
    </xf>
    <xf numFmtId="164" fontId="4" fillId="0" borderId="3" xfId="1" applyNumberFormat="1" applyFont="1" applyBorder="1" applyAlignment="1">
      <alignment horizontal="left" vertical="top"/>
    </xf>
    <xf numFmtId="2" fontId="4" fillId="0" borderId="1" xfId="1" applyNumberFormat="1" applyFont="1" applyBorder="1" applyAlignment="1">
      <alignment horizontal="left" vertical="top"/>
    </xf>
    <xf numFmtId="2" fontId="4" fillId="0" borderId="2" xfId="1" applyNumberFormat="1" applyFont="1" applyBorder="1" applyAlignment="1">
      <alignment horizontal="left" vertical="top"/>
    </xf>
    <xf numFmtId="2" fontId="4" fillId="0" borderId="3" xfId="1" applyNumberFormat="1" applyFont="1" applyBorder="1" applyAlignment="1">
      <alignment horizontal="left" vertical="top"/>
    </xf>
    <xf numFmtId="14" fontId="7" fillId="0" borderId="1" xfId="1" applyNumberFormat="1" applyFont="1" applyBorder="1" applyAlignment="1">
      <alignment horizontal="left" vertical="top"/>
    </xf>
    <xf numFmtId="14" fontId="7" fillId="0" borderId="2" xfId="1" applyNumberFormat="1" applyFont="1" applyBorder="1" applyAlignment="1">
      <alignment horizontal="left" vertical="top"/>
    </xf>
    <xf numFmtId="14" fontId="7" fillId="0" borderId="3" xfId="1" applyNumberFormat="1" applyFont="1" applyBorder="1" applyAlignment="1">
      <alignment horizontal="left" vertical="top"/>
    </xf>
    <xf numFmtId="14" fontId="3" fillId="0" borderId="1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14" fontId="4" fillId="0" borderId="4" xfId="1" applyNumberFormat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10" fillId="0" borderId="3" xfId="1" applyFont="1" applyBorder="1" applyAlignment="1">
      <alignment horizontal="left"/>
    </xf>
    <xf numFmtId="0" fontId="7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1" fontId="3" fillId="0" borderId="4" xfId="1" applyNumberFormat="1" applyFont="1" applyBorder="1" applyAlignment="1">
      <alignment horizontal="center" vertical="top" wrapText="1"/>
    </xf>
    <xf numFmtId="1" fontId="4" fillId="0" borderId="0" xfId="1" applyNumberFormat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/>
    </xf>
    <xf numFmtId="0" fontId="7" fillId="0" borderId="3" xfId="1" applyFont="1" applyBorder="1" applyAlignment="1" applyProtection="1">
      <alignment horizontal="center" vertical="top"/>
      <protection locked="0"/>
    </xf>
    <xf numFmtId="1" fontId="3" fillId="0" borderId="4" xfId="0" applyNumberFormat="1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10" fillId="0" borderId="0" xfId="1" applyFont="1" applyAlignment="1">
      <alignment horizontal="center"/>
    </xf>
    <xf numFmtId="0" fontId="8" fillId="0" borderId="33" xfId="1" applyFont="1" applyBorder="1" applyAlignment="1" applyProtection="1">
      <alignment horizontal="center"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9" fontId="8" fillId="0" borderId="35" xfId="1" applyNumberFormat="1" applyFont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 wrapText="1"/>
      <protection locked="0"/>
    </xf>
    <xf numFmtId="0" fontId="8" fillId="0" borderId="36" xfId="1" applyFont="1" applyBorder="1" applyAlignment="1" applyProtection="1">
      <alignment horizontal="center" vertical="center" wrapText="1"/>
      <protection locked="0"/>
    </xf>
    <xf numFmtId="9" fontId="8" fillId="0" borderId="35" xfId="1" applyNumberFormat="1" applyFont="1" applyBorder="1" applyAlignment="1" applyProtection="1">
      <alignment horizontal="center" vertical="center" wrapText="1"/>
      <protection hidden="1"/>
    </xf>
    <xf numFmtId="9" fontId="8" fillId="0" borderId="36" xfId="1" applyNumberFormat="1" applyFont="1" applyBorder="1" applyAlignment="1" applyProtection="1">
      <alignment horizontal="center" vertical="center" wrapText="1"/>
      <protection hidden="1"/>
    </xf>
    <xf numFmtId="9" fontId="8" fillId="0" borderId="32" xfId="1" applyNumberFormat="1" applyFont="1" applyBorder="1" applyAlignment="1" applyProtection="1">
      <alignment horizontal="center" vertical="center" wrapText="1"/>
      <protection hidden="1"/>
    </xf>
    <xf numFmtId="0" fontId="10" fillId="2" borderId="0" xfId="1" applyFont="1" applyFill="1" applyAlignment="1">
      <alignment horizontal="center" vertical="center"/>
    </xf>
    <xf numFmtId="0" fontId="7" fillId="0" borderId="9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0" fillId="2" borderId="4" xfId="0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</cellXfs>
  <cellStyles count="6">
    <cellStyle name="Excel Built-in Normal" xfId="2"/>
    <cellStyle name="Excel Built-in Normal 2" xfId="4"/>
    <cellStyle name="Hyperlink" xfId="5" builtinId="8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172572</xdr:colOff>
      <xdr:row>332</xdr:row>
      <xdr:rowOff>136960</xdr:rowOff>
    </xdr:from>
    <xdr:to>
      <xdr:col>8</xdr:col>
      <xdr:colOff>684786</xdr:colOff>
      <xdr:row>351</xdr:row>
      <xdr:rowOff>147715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2572" y="69131578"/>
          <a:ext cx="6249626" cy="36302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228600</xdr:colOff>
      <xdr:row>312</xdr:row>
      <xdr:rowOff>0</xdr:rowOff>
    </xdr:from>
    <xdr:to>
      <xdr:col>9</xdr:col>
      <xdr:colOff>1657</xdr:colOff>
      <xdr:row>331</xdr:row>
      <xdr:rowOff>12661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51168300"/>
          <a:ext cx="625846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12</xdr:col>
      <xdr:colOff>406974</xdr:colOff>
      <xdr:row>265</xdr:row>
      <xdr:rowOff>8657</xdr:rowOff>
    </xdr:from>
    <xdr:ext cx="389659" cy="46801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7585360" y="55712589"/>
          <a:ext cx="389659" cy="46801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2400" b="1">
              <a:solidFill>
                <a:srgbClr val="C00000"/>
              </a:solidFill>
            </a:rPr>
            <a:t>B</a:t>
          </a:r>
        </a:p>
      </xdr:txBody>
    </xdr:sp>
    <xdr:clientData/>
  </xdr:oneCellAnchor>
  <xdr:twoCellAnchor>
    <xdr:from>
      <xdr:col>12</xdr:col>
      <xdr:colOff>176151</xdr:colOff>
      <xdr:row>266</xdr:row>
      <xdr:rowOff>76551</xdr:rowOff>
    </xdr:from>
    <xdr:to>
      <xdr:col>22</xdr:col>
      <xdr:colOff>257499</xdr:colOff>
      <xdr:row>306</xdr:row>
      <xdr:rowOff>92122</xdr:rowOff>
    </xdr:to>
    <xdr:grpSp>
      <xdr:nvGrpSpPr>
        <xdr:cNvPr id="2" name="Group 1"/>
        <xdr:cNvGrpSpPr/>
      </xdr:nvGrpSpPr>
      <xdr:grpSpPr>
        <a:xfrm>
          <a:off x="7358001" y="53378451"/>
          <a:ext cx="6177348" cy="7635571"/>
          <a:chOff x="76760" y="53288170"/>
          <a:chExt cx="6210479" cy="7635571"/>
        </a:xfrm>
      </xdr:grpSpPr>
      <xdr:pic>
        <xdr:nvPicPr>
          <xdr:cNvPr id="73" name="Picture 72" descr="https://vsjcllp.vsjadon.com/upload/insp-24323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39545" y="58763741"/>
            <a:ext cx="285754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Picture 73" descr="https://vsjcllp.vsjadon.com/upload/insp-243236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13163" y="56069473"/>
            <a:ext cx="1938794" cy="26056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5" name="Picture 74" descr="https://vsjcllp.vsjadon.com/upload/insp-24323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48710" y="56077877"/>
            <a:ext cx="1953664" cy="26056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75" descr="https://vsjcllp.vsjadon.com/upload/insp-243236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9208" y="56070033"/>
            <a:ext cx="1955691" cy="26056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7" name="Picture 76" descr="https://vsjcllp.vsjadon.com/upload/insp-243236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78985" y="53288546"/>
            <a:ext cx="2002888" cy="26952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8" name="Picture 77" descr="https://vsjcllp.vsjadon.com/upload/insp-243236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67760" y="53292656"/>
            <a:ext cx="2019479" cy="26952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78" descr="https://vsjcllp.vsjadon.com/upload/insp-243236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33450" y="58757484"/>
            <a:ext cx="160659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Picture 79" descr="https://vsjcllp.vsjadon.com/upload/insp-243236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6760" y="53288170"/>
            <a:ext cx="2022975" cy="26952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325239</xdr:colOff>
      <xdr:row>266</xdr:row>
      <xdr:rowOff>101399</xdr:rowOff>
    </xdr:from>
    <xdr:to>
      <xdr:col>14</xdr:col>
      <xdr:colOff>1939</xdr:colOff>
      <xdr:row>268</xdr:row>
      <xdr:rowOff>94540</xdr:rowOff>
    </xdr:to>
    <xdr:sp macro="" textlink="">
      <xdr:nvSpPr>
        <xdr:cNvPr id="81" name="TextBox 26">
          <a:extLst>
            <a:ext uri="{FF2B5EF4-FFF2-40B4-BE49-F238E27FC236}">
              <a16:creationId xmlns:a16="http://schemas.microsoft.com/office/drawing/2014/main" xmlns="" id="{D90428C8-7303-62EC-3CDB-224E1A3C69CB}"/>
            </a:ext>
          </a:extLst>
        </xdr:cNvPr>
        <xdr:cNvSpPr txBox="1"/>
      </xdr:nvSpPr>
      <xdr:spPr>
        <a:xfrm>
          <a:off x="7514543" y="53333725"/>
          <a:ext cx="902526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B</a:t>
          </a:r>
          <a:endParaRPr lang="en-IN" b="1"/>
        </a:p>
      </xdr:txBody>
    </xdr:sp>
    <xdr:clientData/>
  </xdr:twoCellAnchor>
  <xdr:twoCellAnchor>
    <xdr:from>
      <xdr:col>17</xdr:col>
      <xdr:colOff>337248</xdr:colOff>
      <xdr:row>266</xdr:row>
      <xdr:rowOff>110924</xdr:rowOff>
    </xdr:from>
    <xdr:to>
      <xdr:col>19</xdr:col>
      <xdr:colOff>7322</xdr:colOff>
      <xdr:row>268</xdr:row>
      <xdr:rowOff>104065</xdr:rowOff>
    </xdr:to>
    <xdr:sp macro="" textlink="">
      <xdr:nvSpPr>
        <xdr:cNvPr id="82" name="TextBox 26">
          <a:extLst>
            <a:ext uri="{FF2B5EF4-FFF2-40B4-BE49-F238E27FC236}">
              <a16:creationId xmlns:a16="http://schemas.microsoft.com/office/drawing/2014/main" xmlns="" id="{D90428C8-7303-62EC-3CDB-224E1A3C69CB}"/>
            </a:ext>
          </a:extLst>
        </xdr:cNvPr>
        <xdr:cNvSpPr txBox="1"/>
      </xdr:nvSpPr>
      <xdr:spPr>
        <a:xfrm>
          <a:off x="10591118" y="53343250"/>
          <a:ext cx="895900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C</a:t>
          </a:r>
          <a:endParaRPr lang="en-IN" b="1"/>
        </a:p>
      </xdr:txBody>
    </xdr:sp>
    <xdr:clientData/>
  </xdr:twoCellAnchor>
  <xdr:twoCellAnchor>
    <xdr:from>
      <xdr:col>19</xdr:col>
      <xdr:colOff>259392</xdr:colOff>
      <xdr:row>266</xdr:row>
      <xdr:rowOff>82349</xdr:rowOff>
    </xdr:from>
    <xdr:to>
      <xdr:col>20</xdr:col>
      <xdr:colOff>549832</xdr:colOff>
      <xdr:row>268</xdr:row>
      <xdr:rowOff>75490</xdr:rowOff>
    </xdr:to>
    <xdr:sp macro="" textlink="">
      <xdr:nvSpPr>
        <xdr:cNvPr id="83" name="TextBox 26">
          <a:extLst>
            <a:ext uri="{FF2B5EF4-FFF2-40B4-BE49-F238E27FC236}">
              <a16:creationId xmlns:a16="http://schemas.microsoft.com/office/drawing/2014/main" xmlns="" id="{D90428C8-7303-62EC-3CDB-224E1A3C69CB}"/>
            </a:ext>
          </a:extLst>
        </xdr:cNvPr>
        <xdr:cNvSpPr txBox="1"/>
      </xdr:nvSpPr>
      <xdr:spPr>
        <a:xfrm>
          <a:off x="11739088" y="53314675"/>
          <a:ext cx="903353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D</a:t>
          </a:r>
          <a:endParaRPr lang="en-IN" b="1"/>
        </a:p>
      </xdr:txBody>
    </xdr:sp>
    <xdr:clientData/>
  </xdr:twoCellAnchor>
  <xdr:twoCellAnchor editAs="oneCell">
    <xdr:from>
      <xdr:col>6</xdr:col>
      <xdr:colOff>95251</xdr:colOff>
      <xdr:row>295</xdr:row>
      <xdr:rowOff>162016</xdr:rowOff>
    </xdr:from>
    <xdr:to>
      <xdr:col>9</xdr:col>
      <xdr:colOff>182276</xdr:colOff>
      <xdr:row>304</xdr:row>
      <xdr:rowOff>114299</xdr:rowOff>
    </xdr:to>
    <xdr:pic>
      <xdr:nvPicPr>
        <xdr:cNvPr id="17" name="Picture 16" descr="https://vsjcllp.vsjadon.com/upload/insp-250057-1525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6" y="59007466"/>
          <a:ext cx="2211100" cy="166678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85724</xdr:colOff>
      <xdr:row>266</xdr:row>
      <xdr:rowOff>26988</xdr:rowOff>
    </xdr:from>
    <xdr:to>
      <xdr:col>5</xdr:col>
      <xdr:colOff>666176</xdr:colOff>
      <xdr:row>281</xdr:row>
      <xdr:rowOff>69850</xdr:rowOff>
    </xdr:to>
    <xdr:pic>
      <xdr:nvPicPr>
        <xdr:cNvPr id="18" name="Picture 17" descr="https://vsjcllp.vsjadon.com/upload/insp-250057-843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" y="53347938"/>
          <a:ext cx="3847527" cy="290036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9526</xdr:colOff>
      <xdr:row>295</xdr:row>
      <xdr:rowOff>158841</xdr:rowOff>
    </xdr:from>
    <xdr:to>
      <xdr:col>3</xdr:col>
      <xdr:colOff>282026</xdr:colOff>
      <xdr:row>304</xdr:row>
      <xdr:rowOff>111124</xdr:rowOff>
    </xdr:to>
    <xdr:pic>
      <xdr:nvPicPr>
        <xdr:cNvPr id="19" name="Picture 18" descr="https://vsjcllp.vsjadon.com/upload/insp-250057-845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1126" y="59004291"/>
          <a:ext cx="1253575" cy="166678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281</xdr:row>
      <xdr:rowOff>157162</xdr:rowOff>
    </xdr:from>
    <xdr:to>
      <xdr:col>2</xdr:col>
      <xdr:colOff>711490</xdr:colOff>
      <xdr:row>295</xdr:row>
      <xdr:rowOff>95249</xdr:rowOff>
    </xdr:to>
    <xdr:pic>
      <xdr:nvPicPr>
        <xdr:cNvPr id="20" name="Picture 19" descr="https://vsjcllp.vsjadon.com/upload/insp-250057-849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56335612"/>
          <a:ext cx="1959265" cy="26050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281</xdr:row>
      <xdr:rowOff>166687</xdr:rowOff>
    </xdr:from>
    <xdr:to>
      <xdr:col>9</xdr:col>
      <xdr:colOff>92365</xdr:colOff>
      <xdr:row>295</xdr:row>
      <xdr:rowOff>104774</xdr:rowOff>
    </xdr:to>
    <xdr:pic>
      <xdr:nvPicPr>
        <xdr:cNvPr id="21" name="Picture 20" descr="https://vsjcllp.vsjadon.com/upload/insp-250057-851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9100" y="56345137"/>
          <a:ext cx="1959265" cy="26050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281</xdr:row>
      <xdr:rowOff>157162</xdr:rowOff>
    </xdr:from>
    <xdr:to>
      <xdr:col>6</xdr:col>
      <xdr:colOff>159040</xdr:colOff>
      <xdr:row>295</xdr:row>
      <xdr:rowOff>95249</xdr:rowOff>
    </xdr:to>
    <xdr:pic>
      <xdr:nvPicPr>
        <xdr:cNvPr id="22" name="Picture 21" descr="https://vsjcllp.vsjadon.com/upload/insp-250057-862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1700" y="56335612"/>
          <a:ext cx="1959265" cy="26050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266</xdr:row>
      <xdr:rowOff>23813</xdr:rowOff>
    </xdr:from>
    <xdr:to>
      <xdr:col>9</xdr:col>
      <xdr:colOff>114414</xdr:colOff>
      <xdr:row>281</xdr:row>
      <xdr:rowOff>66675</xdr:rowOff>
    </xdr:to>
    <xdr:pic>
      <xdr:nvPicPr>
        <xdr:cNvPr id="23" name="Picture 22" descr="https://vsjcllp.vsjadon.com/upload/insp-250057-860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9075" y="53344763"/>
          <a:ext cx="2181339" cy="290036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390524</xdr:colOff>
      <xdr:row>295</xdr:row>
      <xdr:rowOff>163603</xdr:rowOff>
    </xdr:from>
    <xdr:to>
      <xdr:col>6</xdr:col>
      <xdr:colOff>19625</xdr:colOff>
      <xdr:row>304</xdr:row>
      <xdr:rowOff>115886</xdr:rowOff>
    </xdr:to>
    <xdr:pic>
      <xdr:nvPicPr>
        <xdr:cNvPr id="24" name="Picture 23" descr="https://vsjcllp.vsjadon.com/upload/insp-250057-880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3199" y="59009053"/>
          <a:ext cx="1248351" cy="166678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49148</xdr:colOff>
      <xdr:row>295</xdr:row>
      <xdr:rowOff>161344</xdr:rowOff>
    </xdr:from>
    <xdr:to>
      <xdr:col>1</xdr:col>
      <xdr:colOff>679576</xdr:colOff>
      <xdr:row>304</xdr:row>
      <xdr:rowOff>108281</xdr:rowOff>
    </xdr:to>
    <xdr:pic>
      <xdr:nvPicPr>
        <xdr:cNvPr id="25" name="Picture 24" descr="https://vsjcllp.vsjadon.com/upload/insp-250057-844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48" y="59006794"/>
          <a:ext cx="1249553" cy="166143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266</xdr:row>
      <xdr:rowOff>26988</xdr:rowOff>
    </xdr:from>
    <xdr:to>
      <xdr:col>1</xdr:col>
      <xdr:colOff>362499</xdr:colOff>
      <xdr:row>268</xdr:row>
      <xdr:rowOff>20129</xdr:rowOff>
    </xdr:to>
    <xdr:sp macro="" textlink="">
      <xdr:nvSpPr>
        <xdr:cNvPr id="30" name="TextBox 26">
          <a:extLst>
            <a:ext uri="{FF2B5EF4-FFF2-40B4-BE49-F238E27FC236}">
              <a16:creationId xmlns:a16="http://schemas.microsoft.com/office/drawing/2014/main" xmlns="" id="{D90428C8-7303-62EC-3CDB-224E1A3C69CB}"/>
            </a:ext>
          </a:extLst>
        </xdr:cNvPr>
        <xdr:cNvSpPr txBox="1"/>
      </xdr:nvSpPr>
      <xdr:spPr>
        <a:xfrm>
          <a:off x="85724" y="53347938"/>
          <a:ext cx="895900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B</a:t>
          </a:r>
          <a:endParaRPr lang="en-IN" b="1"/>
        </a:p>
      </xdr:txBody>
    </xdr:sp>
    <xdr:clientData/>
  </xdr:twoCellAnchor>
  <xdr:twoCellAnchor>
    <xdr:from>
      <xdr:col>8</xdr:col>
      <xdr:colOff>19049</xdr:colOff>
      <xdr:row>265</xdr:row>
      <xdr:rowOff>188913</xdr:rowOff>
    </xdr:from>
    <xdr:to>
      <xdr:col>9</xdr:col>
      <xdr:colOff>171999</xdr:colOff>
      <xdr:row>267</xdr:row>
      <xdr:rowOff>182054</xdr:rowOff>
    </xdr:to>
    <xdr:sp macro="" textlink="">
      <xdr:nvSpPr>
        <xdr:cNvPr id="31" name="TextBox 26">
          <a:extLst>
            <a:ext uri="{FF2B5EF4-FFF2-40B4-BE49-F238E27FC236}">
              <a16:creationId xmlns:a16="http://schemas.microsoft.com/office/drawing/2014/main" xmlns="" id="{D90428C8-7303-62EC-3CDB-224E1A3C69CB}"/>
            </a:ext>
          </a:extLst>
        </xdr:cNvPr>
        <xdr:cNvSpPr txBox="1"/>
      </xdr:nvSpPr>
      <xdr:spPr>
        <a:xfrm>
          <a:off x="5372099" y="53319363"/>
          <a:ext cx="895900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B</a:t>
          </a:r>
          <a:endParaRPr lang="en-IN" b="1"/>
        </a:p>
      </xdr:txBody>
    </xdr:sp>
    <xdr:clientData/>
  </xdr:twoCellAnchor>
  <xdr:twoCellAnchor>
    <xdr:from>
      <xdr:col>1</xdr:col>
      <xdr:colOff>533400</xdr:colOff>
      <xdr:row>281</xdr:row>
      <xdr:rowOff>185737</xdr:rowOff>
    </xdr:from>
    <xdr:to>
      <xdr:col>2</xdr:col>
      <xdr:colOff>670199</xdr:colOff>
      <xdr:row>283</xdr:row>
      <xdr:rowOff>178878</xdr:rowOff>
    </xdr:to>
    <xdr:sp macro="" textlink="">
      <xdr:nvSpPr>
        <xdr:cNvPr id="32" name="TextBox 26">
          <a:extLst>
            <a:ext uri="{FF2B5EF4-FFF2-40B4-BE49-F238E27FC236}">
              <a16:creationId xmlns:a16="http://schemas.microsoft.com/office/drawing/2014/main" xmlns="" id="{D90428C8-7303-62EC-3CDB-224E1A3C69CB}"/>
            </a:ext>
          </a:extLst>
        </xdr:cNvPr>
        <xdr:cNvSpPr txBox="1"/>
      </xdr:nvSpPr>
      <xdr:spPr>
        <a:xfrm>
          <a:off x="1152525" y="56364187"/>
          <a:ext cx="889274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C</a:t>
          </a:r>
          <a:endParaRPr lang="en-IN" b="1"/>
        </a:p>
      </xdr:txBody>
    </xdr:sp>
    <xdr:clientData/>
  </xdr:twoCellAnchor>
  <xdr:twoCellAnchor>
    <xdr:from>
      <xdr:col>3</xdr:col>
      <xdr:colOff>0</xdr:colOff>
      <xdr:row>281</xdr:row>
      <xdr:rowOff>138112</xdr:rowOff>
    </xdr:from>
    <xdr:to>
      <xdr:col>4</xdr:col>
      <xdr:colOff>384449</xdr:colOff>
      <xdr:row>283</xdr:row>
      <xdr:rowOff>131253</xdr:rowOff>
    </xdr:to>
    <xdr:sp macro="" textlink="">
      <xdr:nvSpPr>
        <xdr:cNvPr id="33" name="TextBox 26">
          <a:extLst>
            <a:ext uri="{FF2B5EF4-FFF2-40B4-BE49-F238E27FC236}">
              <a16:creationId xmlns:a16="http://schemas.microsoft.com/office/drawing/2014/main" xmlns="" id="{D90428C8-7303-62EC-3CDB-224E1A3C69CB}"/>
            </a:ext>
          </a:extLst>
        </xdr:cNvPr>
        <xdr:cNvSpPr txBox="1"/>
      </xdr:nvSpPr>
      <xdr:spPr>
        <a:xfrm>
          <a:off x="2352675" y="56316562"/>
          <a:ext cx="889274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D</a:t>
          </a:r>
          <a:endParaRPr lang="en-IN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6</xdr:col>
      <xdr:colOff>257850</xdr:colOff>
      <xdr:row>20</xdr:row>
      <xdr:rowOff>125280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82880"/>
          <a:ext cx="269625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114300</xdr:colOff>
      <xdr:row>22</xdr:row>
      <xdr:rowOff>9525</xdr:rowOff>
    </xdr:from>
    <xdr:to>
      <xdr:col>12</xdr:col>
      <xdr:colOff>105833</xdr:colOff>
      <xdr:row>46</xdr:row>
      <xdr:rowOff>9525</xdr:rowOff>
    </xdr:to>
    <xdr:pic>
      <xdr:nvPicPr>
        <xdr:cNvPr id="3" name="Picture 2" descr="G:\Pratu Office\Pratu Office Work\AXIS Apf\March 2021\AXIS28967 - OLD - Bhavani Shankar Residency\insp-53015-874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8275" y="4200525"/>
          <a:ext cx="6087533" cy="457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20</xdr:col>
      <xdr:colOff>607974</xdr:colOff>
      <xdr:row>74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58000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20</xdr:col>
      <xdr:colOff>607974</xdr:colOff>
      <xdr:row>115</xdr:row>
      <xdr:rowOff>75286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668500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uwgGDA7pQCcy2SW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3"/>
  <sheetViews>
    <sheetView tabSelected="1" showWhiteSpace="0" view="pageBreakPreview" zoomScaleNormal="100" zoomScaleSheetLayoutView="100" workbookViewId="0">
      <selection activeCell="Q12" sqref="Q12"/>
    </sheetView>
  </sheetViews>
  <sheetFormatPr defaultRowHeight="15" x14ac:dyDescent="0.25"/>
  <cols>
    <col min="1" max="1" width="9.28515625" style="21" customWidth="1"/>
    <col min="2" max="2" width="11.28515625" style="21" customWidth="1"/>
    <col min="3" max="3" width="14.7109375" style="21" customWidth="1"/>
    <col min="4" max="4" width="7.5703125" style="21" customWidth="1"/>
    <col min="5" max="5" width="6.140625" style="21" customWidth="1"/>
    <col min="6" max="6" width="10.5703125" style="21" customWidth="1"/>
    <col min="7" max="7" width="10.140625" style="21" customWidth="1"/>
    <col min="8" max="8" width="10.5703125" style="21" customWidth="1"/>
    <col min="9" max="9" width="11.140625" style="21" customWidth="1"/>
    <col min="10" max="11" width="3.5703125" style="21" customWidth="1"/>
    <col min="12" max="256" width="9.140625" style="21"/>
    <col min="257" max="257" width="8.7109375" style="21" customWidth="1"/>
    <col min="258" max="258" width="9.85546875" style="21" customWidth="1"/>
    <col min="259" max="259" width="14.42578125" style="21" customWidth="1"/>
    <col min="260" max="260" width="7.28515625" style="21" customWidth="1"/>
    <col min="261" max="261" width="5.5703125" style="21" customWidth="1"/>
    <col min="262" max="262" width="9" style="21" customWidth="1"/>
    <col min="263" max="264" width="9.85546875" style="21" customWidth="1"/>
    <col min="265" max="265" width="11.140625" style="21" customWidth="1"/>
    <col min="266" max="266" width="2.85546875" style="21" customWidth="1"/>
    <col min="267" max="267" width="3.5703125" style="21" customWidth="1"/>
    <col min="268" max="512" width="9.140625" style="21"/>
    <col min="513" max="513" width="8.7109375" style="21" customWidth="1"/>
    <col min="514" max="514" width="9.85546875" style="21" customWidth="1"/>
    <col min="515" max="515" width="14.42578125" style="21" customWidth="1"/>
    <col min="516" max="516" width="7.28515625" style="21" customWidth="1"/>
    <col min="517" max="517" width="5.5703125" style="21" customWidth="1"/>
    <col min="518" max="518" width="9" style="21" customWidth="1"/>
    <col min="519" max="520" width="9.85546875" style="21" customWidth="1"/>
    <col min="521" max="521" width="11.140625" style="21" customWidth="1"/>
    <col min="522" max="522" width="2.85546875" style="21" customWidth="1"/>
    <col min="523" max="523" width="3.5703125" style="21" customWidth="1"/>
    <col min="524" max="768" width="9.140625" style="21"/>
    <col min="769" max="769" width="8.7109375" style="21" customWidth="1"/>
    <col min="770" max="770" width="9.85546875" style="21" customWidth="1"/>
    <col min="771" max="771" width="14.42578125" style="21" customWidth="1"/>
    <col min="772" max="772" width="7.28515625" style="21" customWidth="1"/>
    <col min="773" max="773" width="5.5703125" style="21" customWidth="1"/>
    <col min="774" max="774" width="9" style="21" customWidth="1"/>
    <col min="775" max="776" width="9.85546875" style="21" customWidth="1"/>
    <col min="777" max="777" width="11.140625" style="21" customWidth="1"/>
    <col min="778" max="778" width="2.85546875" style="21" customWidth="1"/>
    <col min="779" max="779" width="3.5703125" style="21" customWidth="1"/>
    <col min="780" max="1024" width="9.140625" style="21"/>
    <col min="1025" max="1025" width="8.7109375" style="21" customWidth="1"/>
    <col min="1026" max="1026" width="9.85546875" style="21" customWidth="1"/>
    <col min="1027" max="1027" width="14.42578125" style="21" customWidth="1"/>
    <col min="1028" max="1028" width="7.28515625" style="21" customWidth="1"/>
    <col min="1029" max="1029" width="5.5703125" style="21" customWidth="1"/>
    <col min="1030" max="1030" width="9" style="21" customWidth="1"/>
    <col min="1031" max="1032" width="9.85546875" style="21" customWidth="1"/>
    <col min="1033" max="1033" width="11.140625" style="21" customWidth="1"/>
    <col min="1034" max="1034" width="2.85546875" style="21" customWidth="1"/>
    <col min="1035" max="1035" width="3.5703125" style="21" customWidth="1"/>
    <col min="1036" max="1280" width="9.140625" style="21"/>
    <col min="1281" max="1281" width="8.7109375" style="21" customWidth="1"/>
    <col min="1282" max="1282" width="9.85546875" style="21" customWidth="1"/>
    <col min="1283" max="1283" width="14.42578125" style="21" customWidth="1"/>
    <col min="1284" max="1284" width="7.28515625" style="21" customWidth="1"/>
    <col min="1285" max="1285" width="5.5703125" style="21" customWidth="1"/>
    <col min="1286" max="1286" width="9" style="21" customWidth="1"/>
    <col min="1287" max="1288" width="9.85546875" style="21" customWidth="1"/>
    <col min="1289" max="1289" width="11.140625" style="21" customWidth="1"/>
    <col min="1290" max="1290" width="2.85546875" style="21" customWidth="1"/>
    <col min="1291" max="1291" width="3.5703125" style="21" customWidth="1"/>
    <col min="1292" max="1536" width="9.140625" style="21"/>
    <col min="1537" max="1537" width="8.7109375" style="21" customWidth="1"/>
    <col min="1538" max="1538" width="9.85546875" style="21" customWidth="1"/>
    <col min="1539" max="1539" width="14.42578125" style="21" customWidth="1"/>
    <col min="1540" max="1540" width="7.28515625" style="21" customWidth="1"/>
    <col min="1541" max="1541" width="5.5703125" style="21" customWidth="1"/>
    <col min="1542" max="1542" width="9" style="21" customWidth="1"/>
    <col min="1543" max="1544" width="9.85546875" style="21" customWidth="1"/>
    <col min="1545" max="1545" width="11.140625" style="21" customWidth="1"/>
    <col min="1546" max="1546" width="2.85546875" style="21" customWidth="1"/>
    <col min="1547" max="1547" width="3.5703125" style="21" customWidth="1"/>
    <col min="1548" max="1792" width="9.140625" style="21"/>
    <col min="1793" max="1793" width="8.7109375" style="21" customWidth="1"/>
    <col min="1794" max="1794" width="9.85546875" style="21" customWidth="1"/>
    <col min="1795" max="1795" width="14.42578125" style="21" customWidth="1"/>
    <col min="1796" max="1796" width="7.28515625" style="21" customWidth="1"/>
    <col min="1797" max="1797" width="5.5703125" style="21" customWidth="1"/>
    <col min="1798" max="1798" width="9" style="21" customWidth="1"/>
    <col min="1799" max="1800" width="9.85546875" style="21" customWidth="1"/>
    <col min="1801" max="1801" width="11.140625" style="21" customWidth="1"/>
    <col min="1802" max="1802" width="2.85546875" style="21" customWidth="1"/>
    <col min="1803" max="1803" width="3.5703125" style="21" customWidth="1"/>
    <col min="1804" max="2048" width="9.140625" style="21"/>
    <col min="2049" max="2049" width="8.7109375" style="21" customWidth="1"/>
    <col min="2050" max="2050" width="9.85546875" style="21" customWidth="1"/>
    <col min="2051" max="2051" width="14.42578125" style="21" customWidth="1"/>
    <col min="2052" max="2052" width="7.28515625" style="21" customWidth="1"/>
    <col min="2053" max="2053" width="5.5703125" style="21" customWidth="1"/>
    <col min="2054" max="2054" width="9" style="21" customWidth="1"/>
    <col min="2055" max="2056" width="9.85546875" style="21" customWidth="1"/>
    <col min="2057" max="2057" width="11.140625" style="21" customWidth="1"/>
    <col min="2058" max="2058" width="2.85546875" style="21" customWidth="1"/>
    <col min="2059" max="2059" width="3.5703125" style="21" customWidth="1"/>
    <col min="2060" max="2304" width="9.140625" style="21"/>
    <col min="2305" max="2305" width="8.7109375" style="21" customWidth="1"/>
    <col min="2306" max="2306" width="9.85546875" style="21" customWidth="1"/>
    <col min="2307" max="2307" width="14.42578125" style="21" customWidth="1"/>
    <col min="2308" max="2308" width="7.28515625" style="21" customWidth="1"/>
    <col min="2309" max="2309" width="5.5703125" style="21" customWidth="1"/>
    <col min="2310" max="2310" width="9" style="21" customWidth="1"/>
    <col min="2311" max="2312" width="9.85546875" style="21" customWidth="1"/>
    <col min="2313" max="2313" width="11.140625" style="21" customWidth="1"/>
    <col min="2314" max="2314" width="2.85546875" style="21" customWidth="1"/>
    <col min="2315" max="2315" width="3.5703125" style="21" customWidth="1"/>
    <col min="2316" max="2560" width="9.140625" style="21"/>
    <col min="2561" max="2561" width="8.7109375" style="21" customWidth="1"/>
    <col min="2562" max="2562" width="9.85546875" style="21" customWidth="1"/>
    <col min="2563" max="2563" width="14.42578125" style="21" customWidth="1"/>
    <col min="2564" max="2564" width="7.28515625" style="21" customWidth="1"/>
    <col min="2565" max="2565" width="5.5703125" style="21" customWidth="1"/>
    <col min="2566" max="2566" width="9" style="21" customWidth="1"/>
    <col min="2567" max="2568" width="9.85546875" style="21" customWidth="1"/>
    <col min="2569" max="2569" width="11.140625" style="21" customWidth="1"/>
    <col min="2570" max="2570" width="2.85546875" style="21" customWidth="1"/>
    <col min="2571" max="2571" width="3.5703125" style="21" customWidth="1"/>
    <col min="2572" max="2816" width="9.140625" style="21"/>
    <col min="2817" max="2817" width="8.7109375" style="21" customWidth="1"/>
    <col min="2818" max="2818" width="9.85546875" style="21" customWidth="1"/>
    <col min="2819" max="2819" width="14.42578125" style="21" customWidth="1"/>
    <col min="2820" max="2820" width="7.28515625" style="21" customWidth="1"/>
    <col min="2821" max="2821" width="5.5703125" style="21" customWidth="1"/>
    <col min="2822" max="2822" width="9" style="21" customWidth="1"/>
    <col min="2823" max="2824" width="9.85546875" style="21" customWidth="1"/>
    <col min="2825" max="2825" width="11.140625" style="21" customWidth="1"/>
    <col min="2826" max="2826" width="2.85546875" style="21" customWidth="1"/>
    <col min="2827" max="2827" width="3.5703125" style="21" customWidth="1"/>
    <col min="2828" max="3072" width="9.140625" style="21"/>
    <col min="3073" max="3073" width="8.7109375" style="21" customWidth="1"/>
    <col min="3074" max="3074" width="9.85546875" style="21" customWidth="1"/>
    <col min="3075" max="3075" width="14.42578125" style="21" customWidth="1"/>
    <col min="3076" max="3076" width="7.28515625" style="21" customWidth="1"/>
    <col min="3077" max="3077" width="5.5703125" style="21" customWidth="1"/>
    <col min="3078" max="3078" width="9" style="21" customWidth="1"/>
    <col min="3079" max="3080" width="9.85546875" style="21" customWidth="1"/>
    <col min="3081" max="3081" width="11.140625" style="21" customWidth="1"/>
    <col min="3082" max="3082" width="2.85546875" style="21" customWidth="1"/>
    <col min="3083" max="3083" width="3.5703125" style="21" customWidth="1"/>
    <col min="3084" max="3328" width="9.140625" style="21"/>
    <col min="3329" max="3329" width="8.7109375" style="21" customWidth="1"/>
    <col min="3330" max="3330" width="9.85546875" style="21" customWidth="1"/>
    <col min="3331" max="3331" width="14.42578125" style="21" customWidth="1"/>
    <col min="3332" max="3332" width="7.28515625" style="21" customWidth="1"/>
    <col min="3333" max="3333" width="5.5703125" style="21" customWidth="1"/>
    <col min="3334" max="3334" width="9" style="21" customWidth="1"/>
    <col min="3335" max="3336" width="9.85546875" style="21" customWidth="1"/>
    <col min="3337" max="3337" width="11.140625" style="21" customWidth="1"/>
    <col min="3338" max="3338" width="2.85546875" style="21" customWidth="1"/>
    <col min="3339" max="3339" width="3.5703125" style="21" customWidth="1"/>
    <col min="3340" max="3584" width="9.140625" style="21"/>
    <col min="3585" max="3585" width="8.7109375" style="21" customWidth="1"/>
    <col min="3586" max="3586" width="9.85546875" style="21" customWidth="1"/>
    <col min="3587" max="3587" width="14.42578125" style="21" customWidth="1"/>
    <col min="3588" max="3588" width="7.28515625" style="21" customWidth="1"/>
    <col min="3589" max="3589" width="5.5703125" style="21" customWidth="1"/>
    <col min="3590" max="3590" width="9" style="21" customWidth="1"/>
    <col min="3591" max="3592" width="9.85546875" style="21" customWidth="1"/>
    <col min="3593" max="3593" width="11.140625" style="21" customWidth="1"/>
    <col min="3594" max="3594" width="2.85546875" style="21" customWidth="1"/>
    <col min="3595" max="3595" width="3.5703125" style="21" customWidth="1"/>
    <col min="3596" max="3840" width="9.140625" style="21"/>
    <col min="3841" max="3841" width="8.7109375" style="21" customWidth="1"/>
    <col min="3842" max="3842" width="9.85546875" style="21" customWidth="1"/>
    <col min="3843" max="3843" width="14.42578125" style="21" customWidth="1"/>
    <col min="3844" max="3844" width="7.28515625" style="21" customWidth="1"/>
    <col min="3845" max="3845" width="5.5703125" style="21" customWidth="1"/>
    <col min="3846" max="3846" width="9" style="21" customWidth="1"/>
    <col min="3847" max="3848" width="9.85546875" style="21" customWidth="1"/>
    <col min="3849" max="3849" width="11.140625" style="21" customWidth="1"/>
    <col min="3850" max="3850" width="2.85546875" style="21" customWidth="1"/>
    <col min="3851" max="3851" width="3.5703125" style="21" customWidth="1"/>
    <col min="3852" max="4096" width="9.140625" style="21"/>
    <col min="4097" max="4097" width="8.7109375" style="21" customWidth="1"/>
    <col min="4098" max="4098" width="9.85546875" style="21" customWidth="1"/>
    <col min="4099" max="4099" width="14.42578125" style="21" customWidth="1"/>
    <col min="4100" max="4100" width="7.28515625" style="21" customWidth="1"/>
    <col min="4101" max="4101" width="5.5703125" style="21" customWidth="1"/>
    <col min="4102" max="4102" width="9" style="21" customWidth="1"/>
    <col min="4103" max="4104" width="9.85546875" style="21" customWidth="1"/>
    <col min="4105" max="4105" width="11.140625" style="21" customWidth="1"/>
    <col min="4106" max="4106" width="2.85546875" style="21" customWidth="1"/>
    <col min="4107" max="4107" width="3.5703125" style="21" customWidth="1"/>
    <col min="4108" max="4352" width="9.140625" style="21"/>
    <col min="4353" max="4353" width="8.7109375" style="21" customWidth="1"/>
    <col min="4354" max="4354" width="9.85546875" style="21" customWidth="1"/>
    <col min="4355" max="4355" width="14.42578125" style="21" customWidth="1"/>
    <col min="4356" max="4356" width="7.28515625" style="21" customWidth="1"/>
    <col min="4357" max="4357" width="5.5703125" style="21" customWidth="1"/>
    <col min="4358" max="4358" width="9" style="21" customWidth="1"/>
    <col min="4359" max="4360" width="9.85546875" style="21" customWidth="1"/>
    <col min="4361" max="4361" width="11.140625" style="21" customWidth="1"/>
    <col min="4362" max="4362" width="2.85546875" style="21" customWidth="1"/>
    <col min="4363" max="4363" width="3.5703125" style="21" customWidth="1"/>
    <col min="4364" max="4608" width="9.140625" style="21"/>
    <col min="4609" max="4609" width="8.7109375" style="21" customWidth="1"/>
    <col min="4610" max="4610" width="9.85546875" style="21" customWidth="1"/>
    <col min="4611" max="4611" width="14.42578125" style="21" customWidth="1"/>
    <col min="4612" max="4612" width="7.28515625" style="21" customWidth="1"/>
    <col min="4613" max="4613" width="5.5703125" style="21" customWidth="1"/>
    <col min="4614" max="4614" width="9" style="21" customWidth="1"/>
    <col min="4615" max="4616" width="9.85546875" style="21" customWidth="1"/>
    <col min="4617" max="4617" width="11.140625" style="21" customWidth="1"/>
    <col min="4618" max="4618" width="2.85546875" style="21" customWidth="1"/>
    <col min="4619" max="4619" width="3.5703125" style="21" customWidth="1"/>
    <col min="4620" max="4864" width="9.140625" style="21"/>
    <col min="4865" max="4865" width="8.7109375" style="21" customWidth="1"/>
    <col min="4866" max="4866" width="9.85546875" style="21" customWidth="1"/>
    <col min="4867" max="4867" width="14.42578125" style="21" customWidth="1"/>
    <col min="4868" max="4868" width="7.28515625" style="21" customWidth="1"/>
    <col min="4869" max="4869" width="5.5703125" style="21" customWidth="1"/>
    <col min="4870" max="4870" width="9" style="21" customWidth="1"/>
    <col min="4871" max="4872" width="9.85546875" style="21" customWidth="1"/>
    <col min="4873" max="4873" width="11.140625" style="21" customWidth="1"/>
    <col min="4874" max="4874" width="2.85546875" style="21" customWidth="1"/>
    <col min="4875" max="4875" width="3.5703125" style="21" customWidth="1"/>
    <col min="4876" max="5120" width="9.140625" style="21"/>
    <col min="5121" max="5121" width="8.7109375" style="21" customWidth="1"/>
    <col min="5122" max="5122" width="9.85546875" style="21" customWidth="1"/>
    <col min="5123" max="5123" width="14.42578125" style="21" customWidth="1"/>
    <col min="5124" max="5124" width="7.28515625" style="21" customWidth="1"/>
    <col min="5125" max="5125" width="5.5703125" style="21" customWidth="1"/>
    <col min="5126" max="5126" width="9" style="21" customWidth="1"/>
    <col min="5127" max="5128" width="9.85546875" style="21" customWidth="1"/>
    <col min="5129" max="5129" width="11.140625" style="21" customWidth="1"/>
    <col min="5130" max="5130" width="2.85546875" style="21" customWidth="1"/>
    <col min="5131" max="5131" width="3.5703125" style="21" customWidth="1"/>
    <col min="5132" max="5376" width="9.140625" style="21"/>
    <col min="5377" max="5377" width="8.7109375" style="21" customWidth="1"/>
    <col min="5378" max="5378" width="9.85546875" style="21" customWidth="1"/>
    <col min="5379" max="5379" width="14.42578125" style="21" customWidth="1"/>
    <col min="5380" max="5380" width="7.28515625" style="21" customWidth="1"/>
    <col min="5381" max="5381" width="5.5703125" style="21" customWidth="1"/>
    <col min="5382" max="5382" width="9" style="21" customWidth="1"/>
    <col min="5383" max="5384" width="9.85546875" style="21" customWidth="1"/>
    <col min="5385" max="5385" width="11.140625" style="21" customWidth="1"/>
    <col min="5386" max="5386" width="2.85546875" style="21" customWidth="1"/>
    <col min="5387" max="5387" width="3.5703125" style="21" customWidth="1"/>
    <col min="5388" max="5632" width="9.140625" style="21"/>
    <col min="5633" max="5633" width="8.7109375" style="21" customWidth="1"/>
    <col min="5634" max="5634" width="9.85546875" style="21" customWidth="1"/>
    <col min="5635" max="5635" width="14.42578125" style="21" customWidth="1"/>
    <col min="5636" max="5636" width="7.28515625" style="21" customWidth="1"/>
    <col min="5637" max="5637" width="5.5703125" style="21" customWidth="1"/>
    <col min="5638" max="5638" width="9" style="21" customWidth="1"/>
    <col min="5639" max="5640" width="9.85546875" style="21" customWidth="1"/>
    <col min="5641" max="5641" width="11.140625" style="21" customWidth="1"/>
    <col min="5642" max="5642" width="2.85546875" style="21" customWidth="1"/>
    <col min="5643" max="5643" width="3.5703125" style="21" customWidth="1"/>
    <col min="5644" max="5888" width="9.140625" style="21"/>
    <col min="5889" max="5889" width="8.7109375" style="21" customWidth="1"/>
    <col min="5890" max="5890" width="9.85546875" style="21" customWidth="1"/>
    <col min="5891" max="5891" width="14.42578125" style="21" customWidth="1"/>
    <col min="5892" max="5892" width="7.28515625" style="21" customWidth="1"/>
    <col min="5893" max="5893" width="5.5703125" style="21" customWidth="1"/>
    <col min="5894" max="5894" width="9" style="21" customWidth="1"/>
    <col min="5895" max="5896" width="9.85546875" style="21" customWidth="1"/>
    <col min="5897" max="5897" width="11.140625" style="21" customWidth="1"/>
    <col min="5898" max="5898" width="2.85546875" style="21" customWidth="1"/>
    <col min="5899" max="5899" width="3.5703125" style="21" customWidth="1"/>
    <col min="5900" max="6144" width="9.140625" style="21"/>
    <col min="6145" max="6145" width="8.7109375" style="21" customWidth="1"/>
    <col min="6146" max="6146" width="9.85546875" style="21" customWidth="1"/>
    <col min="6147" max="6147" width="14.42578125" style="21" customWidth="1"/>
    <col min="6148" max="6148" width="7.28515625" style="21" customWidth="1"/>
    <col min="6149" max="6149" width="5.5703125" style="21" customWidth="1"/>
    <col min="6150" max="6150" width="9" style="21" customWidth="1"/>
    <col min="6151" max="6152" width="9.85546875" style="21" customWidth="1"/>
    <col min="6153" max="6153" width="11.140625" style="21" customWidth="1"/>
    <col min="6154" max="6154" width="2.85546875" style="21" customWidth="1"/>
    <col min="6155" max="6155" width="3.5703125" style="21" customWidth="1"/>
    <col min="6156" max="6400" width="9.140625" style="21"/>
    <col min="6401" max="6401" width="8.7109375" style="21" customWidth="1"/>
    <col min="6402" max="6402" width="9.85546875" style="21" customWidth="1"/>
    <col min="6403" max="6403" width="14.42578125" style="21" customWidth="1"/>
    <col min="6404" max="6404" width="7.28515625" style="21" customWidth="1"/>
    <col min="6405" max="6405" width="5.5703125" style="21" customWidth="1"/>
    <col min="6406" max="6406" width="9" style="21" customWidth="1"/>
    <col min="6407" max="6408" width="9.85546875" style="21" customWidth="1"/>
    <col min="6409" max="6409" width="11.140625" style="21" customWidth="1"/>
    <col min="6410" max="6410" width="2.85546875" style="21" customWidth="1"/>
    <col min="6411" max="6411" width="3.5703125" style="21" customWidth="1"/>
    <col min="6412" max="6656" width="9.140625" style="21"/>
    <col min="6657" max="6657" width="8.7109375" style="21" customWidth="1"/>
    <col min="6658" max="6658" width="9.85546875" style="21" customWidth="1"/>
    <col min="6659" max="6659" width="14.42578125" style="21" customWidth="1"/>
    <col min="6660" max="6660" width="7.28515625" style="21" customWidth="1"/>
    <col min="6661" max="6661" width="5.5703125" style="21" customWidth="1"/>
    <col min="6662" max="6662" width="9" style="21" customWidth="1"/>
    <col min="6663" max="6664" width="9.85546875" style="21" customWidth="1"/>
    <col min="6665" max="6665" width="11.140625" style="21" customWidth="1"/>
    <col min="6666" max="6666" width="2.85546875" style="21" customWidth="1"/>
    <col min="6667" max="6667" width="3.5703125" style="21" customWidth="1"/>
    <col min="6668" max="6912" width="9.140625" style="21"/>
    <col min="6913" max="6913" width="8.7109375" style="21" customWidth="1"/>
    <col min="6914" max="6914" width="9.85546875" style="21" customWidth="1"/>
    <col min="6915" max="6915" width="14.42578125" style="21" customWidth="1"/>
    <col min="6916" max="6916" width="7.28515625" style="21" customWidth="1"/>
    <col min="6917" max="6917" width="5.5703125" style="21" customWidth="1"/>
    <col min="6918" max="6918" width="9" style="21" customWidth="1"/>
    <col min="6919" max="6920" width="9.85546875" style="21" customWidth="1"/>
    <col min="6921" max="6921" width="11.140625" style="21" customWidth="1"/>
    <col min="6922" max="6922" width="2.85546875" style="21" customWidth="1"/>
    <col min="6923" max="6923" width="3.5703125" style="21" customWidth="1"/>
    <col min="6924" max="7168" width="9.140625" style="21"/>
    <col min="7169" max="7169" width="8.7109375" style="21" customWidth="1"/>
    <col min="7170" max="7170" width="9.85546875" style="21" customWidth="1"/>
    <col min="7171" max="7171" width="14.42578125" style="21" customWidth="1"/>
    <col min="7172" max="7172" width="7.28515625" style="21" customWidth="1"/>
    <col min="7173" max="7173" width="5.5703125" style="21" customWidth="1"/>
    <col min="7174" max="7174" width="9" style="21" customWidth="1"/>
    <col min="7175" max="7176" width="9.85546875" style="21" customWidth="1"/>
    <col min="7177" max="7177" width="11.140625" style="21" customWidth="1"/>
    <col min="7178" max="7178" width="2.85546875" style="21" customWidth="1"/>
    <col min="7179" max="7179" width="3.5703125" style="21" customWidth="1"/>
    <col min="7180" max="7424" width="9.140625" style="21"/>
    <col min="7425" max="7425" width="8.7109375" style="21" customWidth="1"/>
    <col min="7426" max="7426" width="9.85546875" style="21" customWidth="1"/>
    <col min="7427" max="7427" width="14.42578125" style="21" customWidth="1"/>
    <col min="7428" max="7428" width="7.28515625" style="21" customWidth="1"/>
    <col min="7429" max="7429" width="5.5703125" style="21" customWidth="1"/>
    <col min="7430" max="7430" width="9" style="21" customWidth="1"/>
    <col min="7431" max="7432" width="9.85546875" style="21" customWidth="1"/>
    <col min="7433" max="7433" width="11.140625" style="21" customWidth="1"/>
    <col min="7434" max="7434" width="2.85546875" style="21" customWidth="1"/>
    <col min="7435" max="7435" width="3.5703125" style="21" customWidth="1"/>
    <col min="7436" max="7680" width="9.140625" style="21"/>
    <col min="7681" max="7681" width="8.7109375" style="21" customWidth="1"/>
    <col min="7682" max="7682" width="9.85546875" style="21" customWidth="1"/>
    <col min="7683" max="7683" width="14.42578125" style="21" customWidth="1"/>
    <col min="7684" max="7684" width="7.28515625" style="21" customWidth="1"/>
    <col min="7685" max="7685" width="5.5703125" style="21" customWidth="1"/>
    <col min="7686" max="7686" width="9" style="21" customWidth="1"/>
    <col min="7687" max="7688" width="9.85546875" style="21" customWidth="1"/>
    <col min="7689" max="7689" width="11.140625" style="21" customWidth="1"/>
    <col min="7690" max="7690" width="2.85546875" style="21" customWidth="1"/>
    <col min="7691" max="7691" width="3.5703125" style="21" customWidth="1"/>
    <col min="7692" max="7936" width="9.140625" style="21"/>
    <col min="7937" max="7937" width="8.7109375" style="21" customWidth="1"/>
    <col min="7938" max="7938" width="9.85546875" style="21" customWidth="1"/>
    <col min="7939" max="7939" width="14.42578125" style="21" customWidth="1"/>
    <col min="7940" max="7940" width="7.28515625" style="21" customWidth="1"/>
    <col min="7941" max="7941" width="5.5703125" style="21" customWidth="1"/>
    <col min="7942" max="7942" width="9" style="21" customWidth="1"/>
    <col min="7943" max="7944" width="9.85546875" style="21" customWidth="1"/>
    <col min="7945" max="7945" width="11.140625" style="21" customWidth="1"/>
    <col min="7946" max="7946" width="2.85546875" style="21" customWidth="1"/>
    <col min="7947" max="7947" width="3.5703125" style="21" customWidth="1"/>
    <col min="7948" max="8192" width="9.140625" style="21"/>
    <col min="8193" max="8193" width="8.7109375" style="21" customWidth="1"/>
    <col min="8194" max="8194" width="9.85546875" style="21" customWidth="1"/>
    <col min="8195" max="8195" width="14.42578125" style="21" customWidth="1"/>
    <col min="8196" max="8196" width="7.28515625" style="21" customWidth="1"/>
    <col min="8197" max="8197" width="5.5703125" style="21" customWidth="1"/>
    <col min="8198" max="8198" width="9" style="21" customWidth="1"/>
    <col min="8199" max="8200" width="9.85546875" style="21" customWidth="1"/>
    <col min="8201" max="8201" width="11.140625" style="21" customWidth="1"/>
    <col min="8202" max="8202" width="2.85546875" style="21" customWidth="1"/>
    <col min="8203" max="8203" width="3.5703125" style="21" customWidth="1"/>
    <col min="8204" max="8448" width="9.140625" style="21"/>
    <col min="8449" max="8449" width="8.7109375" style="21" customWidth="1"/>
    <col min="8450" max="8450" width="9.85546875" style="21" customWidth="1"/>
    <col min="8451" max="8451" width="14.42578125" style="21" customWidth="1"/>
    <col min="8452" max="8452" width="7.28515625" style="21" customWidth="1"/>
    <col min="8453" max="8453" width="5.5703125" style="21" customWidth="1"/>
    <col min="8454" max="8454" width="9" style="21" customWidth="1"/>
    <col min="8455" max="8456" width="9.85546875" style="21" customWidth="1"/>
    <col min="8457" max="8457" width="11.140625" style="21" customWidth="1"/>
    <col min="8458" max="8458" width="2.85546875" style="21" customWidth="1"/>
    <col min="8459" max="8459" width="3.5703125" style="21" customWidth="1"/>
    <col min="8460" max="8704" width="9.140625" style="21"/>
    <col min="8705" max="8705" width="8.7109375" style="21" customWidth="1"/>
    <col min="8706" max="8706" width="9.85546875" style="21" customWidth="1"/>
    <col min="8707" max="8707" width="14.42578125" style="21" customWidth="1"/>
    <col min="8708" max="8708" width="7.28515625" style="21" customWidth="1"/>
    <col min="8709" max="8709" width="5.5703125" style="21" customWidth="1"/>
    <col min="8710" max="8710" width="9" style="21" customWidth="1"/>
    <col min="8711" max="8712" width="9.85546875" style="21" customWidth="1"/>
    <col min="8713" max="8713" width="11.140625" style="21" customWidth="1"/>
    <col min="8714" max="8714" width="2.85546875" style="21" customWidth="1"/>
    <col min="8715" max="8715" width="3.5703125" style="21" customWidth="1"/>
    <col min="8716" max="8960" width="9.140625" style="21"/>
    <col min="8961" max="8961" width="8.7109375" style="21" customWidth="1"/>
    <col min="8962" max="8962" width="9.85546875" style="21" customWidth="1"/>
    <col min="8963" max="8963" width="14.42578125" style="21" customWidth="1"/>
    <col min="8964" max="8964" width="7.28515625" style="21" customWidth="1"/>
    <col min="8965" max="8965" width="5.5703125" style="21" customWidth="1"/>
    <col min="8966" max="8966" width="9" style="21" customWidth="1"/>
    <col min="8967" max="8968" width="9.85546875" style="21" customWidth="1"/>
    <col min="8969" max="8969" width="11.140625" style="21" customWidth="1"/>
    <col min="8970" max="8970" width="2.85546875" style="21" customWidth="1"/>
    <col min="8971" max="8971" width="3.5703125" style="21" customWidth="1"/>
    <col min="8972" max="9216" width="9.140625" style="21"/>
    <col min="9217" max="9217" width="8.7109375" style="21" customWidth="1"/>
    <col min="9218" max="9218" width="9.85546875" style="21" customWidth="1"/>
    <col min="9219" max="9219" width="14.42578125" style="21" customWidth="1"/>
    <col min="9220" max="9220" width="7.28515625" style="21" customWidth="1"/>
    <col min="9221" max="9221" width="5.5703125" style="21" customWidth="1"/>
    <col min="9222" max="9222" width="9" style="21" customWidth="1"/>
    <col min="9223" max="9224" width="9.85546875" style="21" customWidth="1"/>
    <col min="9225" max="9225" width="11.140625" style="21" customWidth="1"/>
    <col min="9226" max="9226" width="2.85546875" style="21" customWidth="1"/>
    <col min="9227" max="9227" width="3.5703125" style="21" customWidth="1"/>
    <col min="9228" max="9472" width="9.140625" style="21"/>
    <col min="9473" max="9473" width="8.7109375" style="21" customWidth="1"/>
    <col min="9474" max="9474" width="9.85546875" style="21" customWidth="1"/>
    <col min="9475" max="9475" width="14.42578125" style="21" customWidth="1"/>
    <col min="9476" max="9476" width="7.28515625" style="21" customWidth="1"/>
    <col min="9477" max="9477" width="5.5703125" style="21" customWidth="1"/>
    <col min="9478" max="9478" width="9" style="21" customWidth="1"/>
    <col min="9479" max="9480" width="9.85546875" style="21" customWidth="1"/>
    <col min="9481" max="9481" width="11.140625" style="21" customWidth="1"/>
    <col min="9482" max="9482" width="2.85546875" style="21" customWidth="1"/>
    <col min="9483" max="9483" width="3.5703125" style="21" customWidth="1"/>
    <col min="9484" max="9728" width="9.140625" style="21"/>
    <col min="9729" max="9729" width="8.7109375" style="21" customWidth="1"/>
    <col min="9730" max="9730" width="9.85546875" style="21" customWidth="1"/>
    <col min="9731" max="9731" width="14.42578125" style="21" customWidth="1"/>
    <col min="9732" max="9732" width="7.28515625" style="21" customWidth="1"/>
    <col min="9733" max="9733" width="5.5703125" style="21" customWidth="1"/>
    <col min="9734" max="9734" width="9" style="21" customWidth="1"/>
    <col min="9735" max="9736" width="9.85546875" style="21" customWidth="1"/>
    <col min="9737" max="9737" width="11.140625" style="21" customWidth="1"/>
    <col min="9738" max="9738" width="2.85546875" style="21" customWidth="1"/>
    <col min="9739" max="9739" width="3.5703125" style="21" customWidth="1"/>
    <col min="9740" max="9984" width="9.140625" style="21"/>
    <col min="9985" max="9985" width="8.7109375" style="21" customWidth="1"/>
    <col min="9986" max="9986" width="9.85546875" style="21" customWidth="1"/>
    <col min="9987" max="9987" width="14.42578125" style="21" customWidth="1"/>
    <col min="9988" max="9988" width="7.28515625" style="21" customWidth="1"/>
    <col min="9989" max="9989" width="5.5703125" style="21" customWidth="1"/>
    <col min="9990" max="9990" width="9" style="21" customWidth="1"/>
    <col min="9991" max="9992" width="9.85546875" style="21" customWidth="1"/>
    <col min="9993" max="9993" width="11.140625" style="21" customWidth="1"/>
    <col min="9994" max="9994" width="2.85546875" style="21" customWidth="1"/>
    <col min="9995" max="9995" width="3.5703125" style="21" customWidth="1"/>
    <col min="9996" max="10240" width="9.140625" style="21"/>
    <col min="10241" max="10241" width="8.7109375" style="21" customWidth="1"/>
    <col min="10242" max="10242" width="9.85546875" style="21" customWidth="1"/>
    <col min="10243" max="10243" width="14.42578125" style="21" customWidth="1"/>
    <col min="10244" max="10244" width="7.28515625" style="21" customWidth="1"/>
    <col min="10245" max="10245" width="5.5703125" style="21" customWidth="1"/>
    <col min="10246" max="10246" width="9" style="21" customWidth="1"/>
    <col min="10247" max="10248" width="9.85546875" style="21" customWidth="1"/>
    <col min="10249" max="10249" width="11.140625" style="21" customWidth="1"/>
    <col min="10250" max="10250" width="2.85546875" style="21" customWidth="1"/>
    <col min="10251" max="10251" width="3.5703125" style="21" customWidth="1"/>
    <col min="10252" max="10496" width="9.140625" style="21"/>
    <col min="10497" max="10497" width="8.7109375" style="21" customWidth="1"/>
    <col min="10498" max="10498" width="9.85546875" style="21" customWidth="1"/>
    <col min="10499" max="10499" width="14.42578125" style="21" customWidth="1"/>
    <col min="10500" max="10500" width="7.28515625" style="21" customWidth="1"/>
    <col min="10501" max="10501" width="5.5703125" style="21" customWidth="1"/>
    <col min="10502" max="10502" width="9" style="21" customWidth="1"/>
    <col min="10503" max="10504" width="9.85546875" style="21" customWidth="1"/>
    <col min="10505" max="10505" width="11.140625" style="21" customWidth="1"/>
    <col min="10506" max="10506" width="2.85546875" style="21" customWidth="1"/>
    <col min="10507" max="10507" width="3.5703125" style="21" customWidth="1"/>
    <col min="10508" max="10752" width="9.140625" style="21"/>
    <col min="10753" max="10753" width="8.7109375" style="21" customWidth="1"/>
    <col min="10754" max="10754" width="9.85546875" style="21" customWidth="1"/>
    <col min="10755" max="10755" width="14.42578125" style="21" customWidth="1"/>
    <col min="10756" max="10756" width="7.28515625" style="21" customWidth="1"/>
    <col min="10757" max="10757" width="5.5703125" style="21" customWidth="1"/>
    <col min="10758" max="10758" width="9" style="21" customWidth="1"/>
    <col min="10759" max="10760" width="9.85546875" style="21" customWidth="1"/>
    <col min="10761" max="10761" width="11.140625" style="21" customWidth="1"/>
    <col min="10762" max="10762" width="2.85546875" style="21" customWidth="1"/>
    <col min="10763" max="10763" width="3.5703125" style="21" customWidth="1"/>
    <col min="10764" max="11008" width="9.140625" style="21"/>
    <col min="11009" max="11009" width="8.7109375" style="21" customWidth="1"/>
    <col min="11010" max="11010" width="9.85546875" style="21" customWidth="1"/>
    <col min="11011" max="11011" width="14.42578125" style="21" customWidth="1"/>
    <col min="11012" max="11012" width="7.28515625" style="21" customWidth="1"/>
    <col min="11013" max="11013" width="5.5703125" style="21" customWidth="1"/>
    <col min="11014" max="11014" width="9" style="21" customWidth="1"/>
    <col min="11015" max="11016" width="9.85546875" style="21" customWidth="1"/>
    <col min="11017" max="11017" width="11.140625" style="21" customWidth="1"/>
    <col min="11018" max="11018" width="2.85546875" style="21" customWidth="1"/>
    <col min="11019" max="11019" width="3.5703125" style="21" customWidth="1"/>
    <col min="11020" max="11264" width="9.140625" style="21"/>
    <col min="11265" max="11265" width="8.7109375" style="21" customWidth="1"/>
    <col min="11266" max="11266" width="9.85546875" style="21" customWidth="1"/>
    <col min="11267" max="11267" width="14.42578125" style="21" customWidth="1"/>
    <col min="11268" max="11268" width="7.28515625" style="21" customWidth="1"/>
    <col min="11269" max="11269" width="5.5703125" style="21" customWidth="1"/>
    <col min="11270" max="11270" width="9" style="21" customWidth="1"/>
    <col min="11271" max="11272" width="9.85546875" style="21" customWidth="1"/>
    <col min="11273" max="11273" width="11.140625" style="21" customWidth="1"/>
    <col min="11274" max="11274" width="2.85546875" style="21" customWidth="1"/>
    <col min="11275" max="11275" width="3.5703125" style="21" customWidth="1"/>
    <col min="11276" max="11520" width="9.140625" style="21"/>
    <col min="11521" max="11521" width="8.7109375" style="21" customWidth="1"/>
    <col min="11522" max="11522" width="9.85546875" style="21" customWidth="1"/>
    <col min="11523" max="11523" width="14.42578125" style="21" customWidth="1"/>
    <col min="11524" max="11524" width="7.28515625" style="21" customWidth="1"/>
    <col min="11525" max="11525" width="5.5703125" style="21" customWidth="1"/>
    <col min="11526" max="11526" width="9" style="21" customWidth="1"/>
    <col min="11527" max="11528" width="9.85546875" style="21" customWidth="1"/>
    <col min="11529" max="11529" width="11.140625" style="21" customWidth="1"/>
    <col min="11530" max="11530" width="2.85546875" style="21" customWidth="1"/>
    <col min="11531" max="11531" width="3.5703125" style="21" customWidth="1"/>
    <col min="11532" max="11776" width="9.140625" style="21"/>
    <col min="11777" max="11777" width="8.7109375" style="21" customWidth="1"/>
    <col min="11778" max="11778" width="9.85546875" style="21" customWidth="1"/>
    <col min="11779" max="11779" width="14.42578125" style="21" customWidth="1"/>
    <col min="11780" max="11780" width="7.28515625" style="21" customWidth="1"/>
    <col min="11781" max="11781" width="5.5703125" style="21" customWidth="1"/>
    <col min="11782" max="11782" width="9" style="21" customWidth="1"/>
    <col min="11783" max="11784" width="9.85546875" style="21" customWidth="1"/>
    <col min="11785" max="11785" width="11.140625" style="21" customWidth="1"/>
    <col min="11786" max="11786" width="2.85546875" style="21" customWidth="1"/>
    <col min="11787" max="11787" width="3.5703125" style="21" customWidth="1"/>
    <col min="11788" max="12032" width="9.140625" style="21"/>
    <col min="12033" max="12033" width="8.7109375" style="21" customWidth="1"/>
    <col min="12034" max="12034" width="9.85546875" style="21" customWidth="1"/>
    <col min="12035" max="12035" width="14.42578125" style="21" customWidth="1"/>
    <col min="12036" max="12036" width="7.28515625" style="21" customWidth="1"/>
    <col min="12037" max="12037" width="5.5703125" style="21" customWidth="1"/>
    <col min="12038" max="12038" width="9" style="21" customWidth="1"/>
    <col min="12039" max="12040" width="9.85546875" style="21" customWidth="1"/>
    <col min="12041" max="12041" width="11.140625" style="21" customWidth="1"/>
    <col min="12042" max="12042" width="2.85546875" style="21" customWidth="1"/>
    <col min="12043" max="12043" width="3.5703125" style="21" customWidth="1"/>
    <col min="12044" max="12288" width="9.140625" style="21"/>
    <col min="12289" max="12289" width="8.7109375" style="21" customWidth="1"/>
    <col min="12290" max="12290" width="9.85546875" style="21" customWidth="1"/>
    <col min="12291" max="12291" width="14.42578125" style="21" customWidth="1"/>
    <col min="12292" max="12292" width="7.28515625" style="21" customWidth="1"/>
    <col min="12293" max="12293" width="5.5703125" style="21" customWidth="1"/>
    <col min="12294" max="12294" width="9" style="21" customWidth="1"/>
    <col min="12295" max="12296" width="9.85546875" style="21" customWidth="1"/>
    <col min="12297" max="12297" width="11.140625" style="21" customWidth="1"/>
    <col min="12298" max="12298" width="2.85546875" style="21" customWidth="1"/>
    <col min="12299" max="12299" width="3.5703125" style="21" customWidth="1"/>
    <col min="12300" max="12544" width="9.140625" style="21"/>
    <col min="12545" max="12545" width="8.7109375" style="21" customWidth="1"/>
    <col min="12546" max="12546" width="9.85546875" style="21" customWidth="1"/>
    <col min="12547" max="12547" width="14.42578125" style="21" customWidth="1"/>
    <col min="12548" max="12548" width="7.28515625" style="21" customWidth="1"/>
    <col min="12549" max="12549" width="5.5703125" style="21" customWidth="1"/>
    <col min="12550" max="12550" width="9" style="21" customWidth="1"/>
    <col min="12551" max="12552" width="9.85546875" style="21" customWidth="1"/>
    <col min="12553" max="12553" width="11.140625" style="21" customWidth="1"/>
    <col min="12554" max="12554" width="2.85546875" style="21" customWidth="1"/>
    <col min="12555" max="12555" width="3.5703125" style="21" customWidth="1"/>
    <col min="12556" max="12800" width="9.140625" style="21"/>
    <col min="12801" max="12801" width="8.7109375" style="21" customWidth="1"/>
    <col min="12802" max="12802" width="9.85546875" style="21" customWidth="1"/>
    <col min="12803" max="12803" width="14.42578125" style="21" customWidth="1"/>
    <col min="12804" max="12804" width="7.28515625" style="21" customWidth="1"/>
    <col min="12805" max="12805" width="5.5703125" style="21" customWidth="1"/>
    <col min="12806" max="12806" width="9" style="21" customWidth="1"/>
    <col min="12807" max="12808" width="9.85546875" style="21" customWidth="1"/>
    <col min="12809" max="12809" width="11.140625" style="21" customWidth="1"/>
    <col min="12810" max="12810" width="2.85546875" style="21" customWidth="1"/>
    <col min="12811" max="12811" width="3.5703125" style="21" customWidth="1"/>
    <col min="12812" max="13056" width="9.140625" style="21"/>
    <col min="13057" max="13057" width="8.7109375" style="21" customWidth="1"/>
    <col min="13058" max="13058" width="9.85546875" style="21" customWidth="1"/>
    <col min="13059" max="13059" width="14.42578125" style="21" customWidth="1"/>
    <col min="13060" max="13060" width="7.28515625" style="21" customWidth="1"/>
    <col min="13061" max="13061" width="5.5703125" style="21" customWidth="1"/>
    <col min="13062" max="13062" width="9" style="21" customWidth="1"/>
    <col min="13063" max="13064" width="9.85546875" style="21" customWidth="1"/>
    <col min="13065" max="13065" width="11.140625" style="21" customWidth="1"/>
    <col min="13066" max="13066" width="2.85546875" style="21" customWidth="1"/>
    <col min="13067" max="13067" width="3.5703125" style="21" customWidth="1"/>
    <col min="13068" max="13312" width="9.140625" style="21"/>
    <col min="13313" max="13313" width="8.7109375" style="21" customWidth="1"/>
    <col min="13314" max="13314" width="9.85546875" style="21" customWidth="1"/>
    <col min="13315" max="13315" width="14.42578125" style="21" customWidth="1"/>
    <col min="13316" max="13316" width="7.28515625" style="21" customWidth="1"/>
    <col min="13317" max="13317" width="5.5703125" style="21" customWidth="1"/>
    <col min="13318" max="13318" width="9" style="21" customWidth="1"/>
    <col min="13319" max="13320" width="9.85546875" style="21" customWidth="1"/>
    <col min="13321" max="13321" width="11.140625" style="21" customWidth="1"/>
    <col min="13322" max="13322" width="2.85546875" style="21" customWidth="1"/>
    <col min="13323" max="13323" width="3.5703125" style="21" customWidth="1"/>
    <col min="13324" max="13568" width="9.140625" style="21"/>
    <col min="13569" max="13569" width="8.7109375" style="21" customWidth="1"/>
    <col min="13570" max="13570" width="9.85546875" style="21" customWidth="1"/>
    <col min="13571" max="13571" width="14.42578125" style="21" customWidth="1"/>
    <col min="13572" max="13572" width="7.28515625" style="21" customWidth="1"/>
    <col min="13573" max="13573" width="5.5703125" style="21" customWidth="1"/>
    <col min="13574" max="13574" width="9" style="21" customWidth="1"/>
    <col min="13575" max="13576" width="9.85546875" style="21" customWidth="1"/>
    <col min="13577" max="13577" width="11.140625" style="21" customWidth="1"/>
    <col min="13578" max="13578" width="2.85546875" style="21" customWidth="1"/>
    <col min="13579" max="13579" width="3.5703125" style="21" customWidth="1"/>
    <col min="13580" max="13824" width="9.140625" style="21"/>
    <col min="13825" max="13825" width="8.7109375" style="21" customWidth="1"/>
    <col min="13826" max="13826" width="9.85546875" style="21" customWidth="1"/>
    <col min="13827" max="13827" width="14.42578125" style="21" customWidth="1"/>
    <col min="13828" max="13828" width="7.28515625" style="21" customWidth="1"/>
    <col min="13829" max="13829" width="5.5703125" style="21" customWidth="1"/>
    <col min="13830" max="13830" width="9" style="21" customWidth="1"/>
    <col min="13831" max="13832" width="9.85546875" style="21" customWidth="1"/>
    <col min="13833" max="13833" width="11.140625" style="21" customWidth="1"/>
    <col min="13834" max="13834" width="2.85546875" style="21" customWidth="1"/>
    <col min="13835" max="13835" width="3.5703125" style="21" customWidth="1"/>
    <col min="13836" max="14080" width="9.140625" style="21"/>
    <col min="14081" max="14081" width="8.7109375" style="21" customWidth="1"/>
    <col min="14082" max="14082" width="9.85546875" style="21" customWidth="1"/>
    <col min="14083" max="14083" width="14.42578125" style="21" customWidth="1"/>
    <col min="14084" max="14084" width="7.28515625" style="21" customWidth="1"/>
    <col min="14085" max="14085" width="5.5703125" style="21" customWidth="1"/>
    <col min="14086" max="14086" width="9" style="21" customWidth="1"/>
    <col min="14087" max="14088" width="9.85546875" style="21" customWidth="1"/>
    <col min="14089" max="14089" width="11.140625" style="21" customWidth="1"/>
    <col min="14090" max="14090" width="2.85546875" style="21" customWidth="1"/>
    <col min="14091" max="14091" width="3.5703125" style="21" customWidth="1"/>
    <col min="14092" max="14336" width="9.140625" style="21"/>
    <col min="14337" max="14337" width="8.7109375" style="21" customWidth="1"/>
    <col min="14338" max="14338" width="9.85546875" style="21" customWidth="1"/>
    <col min="14339" max="14339" width="14.42578125" style="21" customWidth="1"/>
    <col min="14340" max="14340" width="7.28515625" style="21" customWidth="1"/>
    <col min="14341" max="14341" width="5.5703125" style="21" customWidth="1"/>
    <col min="14342" max="14342" width="9" style="21" customWidth="1"/>
    <col min="14343" max="14344" width="9.85546875" style="21" customWidth="1"/>
    <col min="14345" max="14345" width="11.140625" style="21" customWidth="1"/>
    <col min="14346" max="14346" width="2.85546875" style="21" customWidth="1"/>
    <col min="14347" max="14347" width="3.5703125" style="21" customWidth="1"/>
    <col min="14348" max="14592" width="9.140625" style="21"/>
    <col min="14593" max="14593" width="8.7109375" style="21" customWidth="1"/>
    <col min="14594" max="14594" width="9.85546875" style="21" customWidth="1"/>
    <col min="14595" max="14595" width="14.42578125" style="21" customWidth="1"/>
    <col min="14596" max="14596" width="7.28515625" style="21" customWidth="1"/>
    <col min="14597" max="14597" width="5.5703125" style="21" customWidth="1"/>
    <col min="14598" max="14598" width="9" style="21" customWidth="1"/>
    <col min="14599" max="14600" width="9.85546875" style="21" customWidth="1"/>
    <col min="14601" max="14601" width="11.140625" style="21" customWidth="1"/>
    <col min="14602" max="14602" width="2.85546875" style="21" customWidth="1"/>
    <col min="14603" max="14603" width="3.5703125" style="21" customWidth="1"/>
    <col min="14604" max="14848" width="9.140625" style="21"/>
    <col min="14849" max="14849" width="8.7109375" style="21" customWidth="1"/>
    <col min="14850" max="14850" width="9.85546875" style="21" customWidth="1"/>
    <col min="14851" max="14851" width="14.42578125" style="21" customWidth="1"/>
    <col min="14852" max="14852" width="7.28515625" style="21" customWidth="1"/>
    <col min="14853" max="14853" width="5.5703125" style="21" customWidth="1"/>
    <col min="14854" max="14854" width="9" style="21" customWidth="1"/>
    <col min="14855" max="14856" width="9.85546875" style="21" customWidth="1"/>
    <col min="14857" max="14857" width="11.140625" style="21" customWidth="1"/>
    <col min="14858" max="14858" width="2.85546875" style="21" customWidth="1"/>
    <col min="14859" max="14859" width="3.5703125" style="21" customWidth="1"/>
    <col min="14860" max="15104" width="9.140625" style="21"/>
    <col min="15105" max="15105" width="8.7109375" style="21" customWidth="1"/>
    <col min="15106" max="15106" width="9.85546875" style="21" customWidth="1"/>
    <col min="15107" max="15107" width="14.42578125" style="21" customWidth="1"/>
    <col min="15108" max="15108" width="7.28515625" style="21" customWidth="1"/>
    <col min="15109" max="15109" width="5.5703125" style="21" customWidth="1"/>
    <col min="15110" max="15110" width="9" style="21" customWidth="1"/>
    <col min="15111" max="15112" width="9.85546875" style="21" customWidth="1"/>
    <col min="15113" max="15113" width="11.140625" style="21" customWidth="1"/>
    <col min="15114" max="15114" width="2.85546875" style="21" customWidth="1"/>
    <col min="15115" max="15115" width="3.5703125" style="21" customWidth="1"/>
    <col min="15116" max="15360" width="9.140625" style="21"/>
    <col min="15361" max="15361" width="8.7109375" style="21" customWidth="1"/>
    <col min="15362" max="15362" width="9.85546875" style="21" customWidth="1"/>
    <col min="15363" max="15363" width="14.42578125" style="21" customWidth="1"/>
    <col min="15364" max="15364" width="7.28515625" style="21" customWidth="1"/>
    <col min="15365" max="15365" width="5.5703125" style="21" customWidth="1"/>
    <col min="15366" max="15366" width="9" style="21" customWidth="1"/>
    <col min="15367" max="15368" width="9.85546875" style="21" customWidth="1"/>
    <col min="15369" max="15369" width="11.140625" style="21" customWidth="1"/>
    <col min="15370" max="15370" width="2.85546875" style="21" customWidth="1"/>
    <col min="15371" max="15371" width="3.5703125" style="21" customWidth="1"/>
    <col min="15372" max="15616" width="9.140625" style="21"/>
    <col min="15617" max="15617" width="8.7109375" style="21" customWidth="1"/>
    <col min="15618" max="15618" width="9.85546875" style="21" customWidth="1"/>
    <col min="15619" max="15619" width="14.42578125" style="21" customWidth="1"/>
    <col min="15620" max="15620" width="7.28515625" style="21" customWidth="1"/>
    <col min="15621" max="15621" width="5.5703125" style="21" customWidth="1"/>
    <col min="15622" max="15622" width="9" style="21" customWidth="1"/>
    <col min="15623" max="15624" width="9.85546875" style="21" customWidth="1"/>
    <col min="15625" max="15625" width="11.140625" style="21" customWidth="1"/>
    <col min="15626" max="15626" width="2.85546875" style="21" customWidth="1"/>
    <col min="15627" max="15627" width="3.5703125" style="21" customWidth="1"/>
    <col min="15628" max="15872" width="9.140625" style="21"/>
    <col min="15873" max="15873" width="8.7109375" style="21" customWidth="1"/>
    <col min="15874" max="15874" width="9.85546875" style="21" customWidth="1"/>
    <col min="15875" max="15875" width="14.42578125" style="21" customWidth="1"/>
    <col min="15876" max="15876" width="7.28515625" style="21" customWidth="1"/>
    <col min="15877" max="15877" width="5.5703125" style="21" customWidth="1"/>
    <col min="15878" max="15878" width="9" style="21" customWidth="1"/>
    <col min="15879" max="15880" width="9.85546875" style="21" customWidth="1"/>
    <col min="15881" max="15881" width="11.140625" style="21" customWidth="1"/>
    <col min="15882" max="15882" width="2.85546875" style="21" customWidth="1"/>
    <col min="15883" max="15883" width="3.5703125" style="21" customWidth="1"/>
    <col min="15884" max="16128" width="9.140625" style="21"/>
    <col min="16129" max="16129" width="8.7109375" style="21" customWidth="1"/>
    <col min="16130" max="16130" width="9.85546875" style="21" customWidth="1"/>
    <col min="16131" max="16131" width="14.42578125" style="21" customWidth="1"/>
    <col min="16132" max="16132" width="7.28515625" style="21" customWidth="1"/>
    <col min="16133" max="16133" width="5.5703125" style="21" customWidth="1"/>
    <col min="16134" max="16134" width="9" style="21" customWidth="1"/>
    <col min="16135" max="16136" width="9.85546875" style="21" customWidth="1"/>
    <col min="16137" max="16137" width="11.140625" style="21" customWidth="1"/>
    <col min="16138" max="16138" width="2.85546875" style="21" customWidth="1"/>
    <col min="16139" max="16139" width="3.5703125" style="21" customWidth="1"/>
    <col min="16140" max="16384" width="9.140625" style="21"/>
  </cols>
  <sheetData>
    <row r="1" spans="1:10" ht="46.5" customHeight="1" x14ac:dyDescent="0.25">
      <c r="A1" s="130" t="s">
        <v>264</v>
      </c>
      <c r="B1" s="131"/>
      <c r="C1" s="131"/>
      <c r="D1" s="131"/>
      <c r="E1" s="131"/>
      <c r="F1" s="131"/>
      <c r="G1" s="131"/>
      <c r="H1" s="131"/>
      <c r="I1" s="131"/>
      <c r="J1" s="132"/>
    </row>
    <row r="2" spans="1:10" ht="16.5" customHeight="1" x14ac:dyDescent="0.25">
      <c r="A2" s="133" t="s">
        <v>0</v>
      </c>
      <c r="B2" s="134"/>
      <c r="C2" s="134"/>
      <c r="D2" s="134"/>
      <c r="E2" s="134"/>
      <c r="F2" s="134"/>
      <c r="G2" s="134"/>
      <c r="H2" s="134"/>
      <c r="I2" s="134"/>
      <c r="J2" s="135"/>
    </row>
    <row r="3" spans="1:10" x14ac:dyDescent="0.25">
      <c r="A3" s="103" t="s">
        <v>1</v>
      </c>
      <c r="B3" s="104"/>
      <c r="C3" s="104"/>
      <c r="D3" s="104"/>
      <c r="E3" s="105"/>
      <c r="F3" s="136" t="str">
        <f ca="1">TEXT(TODAY(),"DD/MM/YYYY")</f>
        <v>06/10/2025</v>
      </c>
      <c r="G3" s="137"/>
      <c r="H3" s="137"/>
      <c r="I3" s="137"/>
      <c r="J3" s="138"/>
    </row>
    <row r="4" spans="1:10" ht="15" customHeight="1" x14ac:dyDescent="0.25">
      <c r="A4" s="103" t="s">
        <v>2</v>
      </c>
      <c r="B4" s="104"/>
      <c r="C4" s="104"/>
      <c r="D4" s="104"/>
      <c r="E4" s="105"/>
      <c r="F4" s="139" t="s">
        <v>139</v>
      </c>
      <c r="G4" s="140"/>
      <c r="H4" s="140"/>
      <c r="I4" s="140"/>
      <c r="J4" s="141"/>
    </row>
    <row r="5" spans="1:10" x14ac:dyDescent="0.25">
      <c r="A5" s="103" t="s">
        <v>3</v>
      </c>
      <c r="B5" s="104"/>
      <c r="C5" s="104"/>
      <c r="D5" s="104"/>
      <c r="E5" s="105"/>
      <c r="F5" s="136">
        <v>45934</v>
      </c>
      <c r="G5" s="137"/>
      <c r="H5" s="137"/>
      <c r="I5" s="137"/>
      <c r="J5" s="138"/>
    </row>
    <row r="6" spans="1:10" ht="16.5" customHeight="1" x14ac:dyDescent="0.25">
      <c r="A6" s="103" t="s">
        <v>4</v>
      </c>
      <c r="B6" s="104"/>
      <c r="C6" s="104"/>
      <c r="D6" s="104"/>
      <c r="E6" s="105"/>
      <c r="F6" s="108" t="s">
        <v>161</v>
      </c>
      <c r="G6" s="109"/>
      <c r="H6" s="109"/>
      <c r="I6" s="109"/>
      <c r="J6" s="110"/>
    </row>
    <row r="7" spans="1:10" ht="15" customHeight="1" x14ac:dyDescent="0.25">
      <c r="A7" s="103" t="s">
        <v>5</v>
      </c>
      <c r="B7" s="104"/>
      <c r="C7" s="104"/>
      <c r="D7" s="104"/>
      <c r="E7" s="105"/>
      <c r="F7" s="108" t="s">
        <v>168</v>
      </c>
      <c r="G7" s="109"/>
      <c r="H7" s="109"/>
      <c r="I7" s="109"/>
      <c r="J7" s="110"/>
    </row>
    <row r="8" spans="1:10" x14ac:dyDescent="0.25">
      <c r="A8" s="103" t="s">
        <v>6</v>
      </c>
      <c r="B8" s="104"/>
      <c r="C8" s="104"/>
      <c r="D8" s="104"/>
      <c r="E8" s="105"/>
      <c r="F8" s="89" t="s">
        <v>167</v>
      </c>
      <c r="G8" s="90"/>
      <c r="H8" s="90"/>
      <c r="I8" s="90"/>
      <c r="J8" s="91"/>
    </row>
    <row r="9" spans="1:10" x14ac:dyDescent="0.25">
      <c r="A9" s="103" t="s">
        <v>7</v>
      </c>
      <c r="B9" s="104"/>
      <c r="C9" s="104"/>
      <c r="D9" s="104"/>
      <c r="E9" s="105"/>
      <c r="F9" s="103" t="s">
        <v>140</v>
      </c>
      <c r="G9" s="104"/>
      <c r="H9" s="104"/>
      <c r="I9" s="104"/>
      <c r="J9" s="105"/>
    </row>
    <row r="10" spans="1:10" x14ac:dyDescent="0.25">
      <c r="A10" s="108" t="s">
        <v>266</v>
      </c>
      <c r="B10" s="104"/>
      <c r="C10" s="104"/>
      <c r="D10" s="104"/>
      <c r="E10" s="105"/>
      <c r="F10" s="103" t="s">
        <v>36</v>
      </c>
      <c r="G10" s="104"/>
      <c r="H10" s="104"/>
      <c r="I10" s="104"/>
      <c r="J10" s="105"/>
    </row>
    <row r="11" spans="1:10" x14ac:dyDescent="0.25">
      <c r="A11" s="103" t="s">
        <v>8</v>
      </c>
      <c r="B11" s="104"/>
      <c r="C11" s="104"/>
      <c r="D11" s="104"/>
      <c r="E11" s="105"/>
      <c r="F11" s="142" t="s">
        <v>162</v>
      </c>
      <c r="G11" s="143"/>
      <c r="H11" s="143"/>
      <c r="I11" s="143"/>
      <c r="J11" s="144"/>
    </row>
    <row r="12" spans="1:10" ht="16.5" customHeight="1" x14ac:dyDescent="0.25">
      <c r="A12" s="103" t="s">
        <v>9</v>
      </c>
      <c r="B12" s="104"/>
      <c r="C12" s="104"/>
      <c r="D12" s="104"/>
      <c r="E12" s="105"/>
      <c r="F12" s="111" t="s">
        <v>10</v>
      </c>
      <c r="G12" s="112"/>
      <c r="H12" s="112"/>
      <c r="I12" s="112"/>
      <c r="J12" s="113"/>
    </row>
    <row r="13" spans="1:10" x14ac:dyDescent="0.25">
      <c r="A13" s="103" t="s">
        <v>11</v>
      </c>
      <c r="B13" s="104"/>
      <c r="C13" s="104"/>
      <c r="D13" s="104"/>
      <c r="E13" s="105"/>
      <c r="F13" s="103" t="s">
        <v>141</v>
      </c>
      <c r="G13" s="104"/>
      <c r="H13" s="104"/>
      <c r="I13" s="104"/>
      <c r="J13" s="105"/>
    </row>
    <row r="14" spans="1:10" ht="30" customHeight="1" x14ac:dyDescent="0.25">
      <c r="A14" s="145" t="s">
        <v>12</v>
      </c>
      <c r="B14" s="145"/>
      <c r="C14" s="108" t="str">
        <f>CONCATENATE((IF(OR(F8="",F8="NA"),"",F8)),", ",(IF(OR(A15="",A15="NA"),"",A15)),".",(IF(OR(C15="",C15="NA"),"",C15)),", ",(IF(OR(F15="",F15="NA"),"",F15)),".",(IF(OR(H15="",H15="NA"),"",H15)),", ",(IF(OR(C16="",C16="NA"),"",C16)),", ",(IF(OR(H16="",H16="NA"),"",H16)),", ",(IF(OR(C17="",C17="NA"),"",C17)),", ",(IF(OR(C18="",C18="NA"),"",C18)),", ",(IF(OR(H17="",H17="NA"),"",H17))," - ",(IF(OR(H18="",H18="NA"),"",H18)),".")</f>
        <v>Bhawani Shankar Residency, Survey No.18, Hissa No.1 &amp; 2, Badlapur Gaon Road, Badlapur, Badlapur West
, Ambarnath, Thane - 421503.</v>
      </c>
      <c r="D14" s="109"/>
      <c r="E14" s="109"/>
      <c r="F14" s="109"/>
      <c r="G14" s="109"/>
      <c r="H14" s="109"/>
      <c r="I14" s="109"/>
      <c r="J14" s="110"/>
    </row>
    <row r="15" spans="1:10" ht="15.75" customHeight="1" x14ac:dyDescent="0.25">
      <c r="A15" s="108" t="s">
        <v>144</v>
      </c>
      <c r="B15" s="110"/>
      <c r="C15" s="111">
        <v>18</v>
      </c>
      <c r="D15" s="112"/>
      <c r="E15" s="112"/>
      <c r="F15" s="114" t="s">
        <v>142</v>
      </c>
      <c r="G15" s="115"/>
      <c r="H15" s="111" t="s">
        <v>143</v>
      </c>
      <c r="I15" s="112"/>
      <c r="J15" s="113"/>
    </row>
    <row r="16" spans="1:10" ht="15.75" customHeight="1" x14ac:dyDescent="0.25">
      <c r="A16" s="108" t="s">
        <v>13</v>
      </c>
      <c r="B16" s="110"/>
      <c r="C16" s="86" t="s">
        <v>165</v>
      </c>
      <c r="D16" s="86"/>
      <c r="E16" s="86"/>
      <c r="F16" s="114" t="s">
        <v>122</v>
      </c>
      <c r="G16" s="115"/>
      <c r="H16" s="111" t="s">
        <v>249</v>
      </c>
      <c r="I16" s="112"/>
      <c r="J16" s="113"/>
    </row>
    <row r="17" spans="1:10" x14ac:dyDescent="0.25">
      <c r="A17" s="73" t="s">
        <v>15</v>
      </c>
      <c r="B17" s="73"/>
      <c r="C17" s="111" t="s">
        <v>245</v>
      </c>
      <c r="D17" s="112"/>
      <c r="E17" s="113"/>
      <c r="F17" s="114" t="s">
        <v>14</v>
      </c>
      <c r="G17" s="115"/>
      <c r="H17" s="116" t="s">
        <v>145</v>
      </c>
      <c r="I17" s="116"/>
      <c r="J17" s="116"/>
    </row>
    <row r="18" spans="1:10" x14ac:dyDescent="0.25">
      <c r="A18" s="73" t="s">
        <v>123</v>
      </c>
      <c r="B18" s="73"/>
      <c r="C18" s="111" t="s">
        <v>146</v>
      </c>
      <c r="D18" s="112"/>
      <c r="E18" s="113"/>
      <c r="F18" s="114" t="s">
        <v>16</v>
      </c>
      <c r="G18" s="115"/>
      <c r="H18" s="111">
        <v>421503</v>
      </c>
      <c r="I18" s="112"/>
      <c r="J18" s="113"/>
    </row>
    <row r="19" spans="1:10" ht="32.25" customHeight="1" x14ac:dyDescent="0.25">
      <c r="A19" s="73" t="s">
        <v>17</v>
      </c>
      <c r="B19" s="73"/>
      <c r="C19" s="73" t="s">
        <v>159</v>
      </c>
      <c r="D19" s="73"/>
      <c r="E19" s="73"/>
      <c r="F19" s="145" t="s">
        <v>18</v>
      </c>
      <c r="G19" s="145"/>
      <c r="H19" s="112" t="s">
        <v>160</v>
      </c>
      <c r="I19" s="112"/>
      <c r="J19" s="113"/>
    </row>
    <row r="20" spans="1:10" ht="15" customHeight="1" x14ac:dyDescent="0.25">
      <c r="A20" s="114" t="s">
        <v>134</v>
      </c>
      <c r="B20" s="146"/>
      <c r="C20" s="146"/>
      <c r="D20" s="146"/>
      <c r="E20" s="115"/>
      <c r="F20" s="148" t="s">
        <v>19</v>
      </c>
      <c r="G20" s="149"/>
      <c r="H20" s="149"/>
      <c r="I20" s="149"/>
      <c r="J20" s="150"/>
    </row>
    <row r="21" spans="1:10" ht="18.75" customHeight="1" x14ac:dyDescent="0.25">
      <c r="A21" s="106"/>
      <c r="B21" s="107"/>
      <c r="C21" s="107"/>
      <c r="D21" s="107"/>
      <c r="E21" s="147"/>
      <c r="F21" s="151"/>
      <c r="G21" s="152"/>
      <c r="H21" s="152"/>
      <c r="I21" s="152"/>
      <c r="J21" s="153"/>
    </row>
    <row r="22" spans="1:10" ht="15" customHeight="1" x14ac:dyDescent="0.25">
      <c r="A22" s="114" t="s">
        <v>20</v>
      </c>
      <c r="B22" s="146"/>
      <c r="C22" s="146"/>
      <c r="D22" s="146"/>
      <c r="E22" s="115"/>
      <c r="F22" s="114" t="s">
        <v>21</v>
      </c>
      <c r="G22" s="146"/>
      <c r="H22" s="146"/>
      <c r="I22" s="146"/>
      <c r="J22" s="115"/>
    </row>
    <row r="23" spans="1:10" ht="15" customHeight="1" x14ac:dyDescent="0.25">
      <c r="A23" s="103" t="s">
        <v>22</v>
      </c>
      <c r="B23" s="104"/>
      <c r="C23" s="104"/>
      <c r="D23" s="104"/>
      <c r="E23" s="105"/>
      <c r="F23" s="139" t="s">
        <v>23</v>
      </c>
      <c r="G23" s="140"/>
      <c r="H23" s="140"/>
      <c r="I23" s="140"/>
      <c r="J23" s="141"/>
    </row>
    <row r="24" spans="1:10" x14ac:dyDescent="0.25">
      <c r="A24" s="103" t="s">
        <v>24</v>
      </c>
      <c r="B24" s="104"/>
      <c r="C24" s="104"/>
      <c r="D24" s="104"/>
      <c r="E24" s="105"/>
      <c r="F24" s="139" t="s">
        <v>25</v>
      </c>
      <c r="G24" s="140"/>
      <c r="H24" s="140"/>
      <c r="I24" s="140"/>
      <c r="J24" s="141"/>
    </row>
    <row r="25" spans="1:10" ht="15" customHeight="1" x14ac:dyDescent="0.25">
      <c r="A25" s="103" t="s">
        <v>26</v>
      </c>
      <c r="B25" s="104"/>
      <c r="C25" s="104"/>
      <c r="D25" s="104"/>
      <c r="E25" s="105"/>
      <c r="F25" s="139" t="s">
        <v>27</v>
      </c>
      <c r="G25" s="140"/>
      <c r="H25" s="140"/>
      <c r="I25" s="140"/>
      <c r="J25" s="141"/>
    </row>
    <row r="26" spans="1:10" x14ac:dyDescent="0.25">
      <c r="A26" s="103" t="s">
        <v>28</v>
      </c>
      <c r="B26" s="104"/>
      <c r="C26" s="104"/>
      <c r="D26" s="104"/>
      <c r="E26" s="105"/>
      <c r="F26" s="139" t="s">
        <v>29</v>
      </c>
      <c r="G26" s="140"/>
      <c r="H26" s="140"/>
      <c r="I26" s="140"/>
      <c r="J26" s="141"/>
    </row>
    <row r="27" spans="1:10" x14ac:dyDescent="0.25">
      <c r="A27" s="117" t="s">
        <v>30</v>
      </c>
      <c r="B27" s="118"/>
      <c r="C27" s="117" t="s">
        <v>31</v>
      </c>
      <c r="D27" s="118"/>
      <c r="E27" s="117" t="s">
        <v>32</v>
      </c>
      <c r="F27" s="118"/>
      <c r="G27" s="117" t="s">
        <v>34</v>
      </c>
      <c r="H27" s="118"/>
      <c r="I27" s="117" t="s">
        <v>33</v>
      </c>
      <c r="J27" s="118"/>
    </row>
    <row r="28" spans="1:10" x14ac:dyDescent="0.25">
      <c r="A28" s="119" t="s">
        <v>35</v>
      </c>
      <c r="B28" s="120"/>
      <c r="C28" s="119" t="s">
        <v>36</v>
      </c>
      <c r="D28" s="120"/>
      <c r="E28" s="119" t="s">
        <v>36</v>
      </c>
      <c r="F28" s="120"/>
      <c r="G28" s="119" t="s">
        <v>36</v>
      </c>
      <c r="H28" s="120"/>
      <c r="I28" s="119" t="s">
        <v>36</v>
      </c>
      <c r="J28" s="120"/>
    </row>
    <row r="29" spans="1:10" x14ac:dyDescent="0.25">
      <c r="A29" s="119" t="s">
        <v>37</v>
      </c>
      <c r="B29" s="120"/>
      <c r="C29" s="101" t="s">
        <v>166</v>
      </c>
      <c r="D29" s="102"/>
      <c r="E29" s="101" t="s">
        <v>159</v>
      </c>
      <c r="F29" s="102"/>
      <c r="G29" s="101" t="s">
        <v>166</v>
      </c>
      <c r="H29" s="102"/>
      <c r="I29" s="101" t="s">
        <v>13</v>
      </c>
      <c r="J29" s="102"/>
    </row>
    <row r="30" spans="1:10" x14ac:dyDescent="0.25">
      <c r="A30" s="103" t="s">
        <v>38</v>
      </c>
      <c r="B30" s="104"/>
      <c r="C30" s="104"/>
      <c r="D30" s="104"/>
      <c r="E30" s="104"/>
      <c r="F30" s="104"/>
      <c r="G30" s="104"/>
      <c r="H30" s="104"/>
      <c r="I30" s="104"/>
      <c r="J30" s="105"/>
    </row>
    <row r="31" spans="1:10" x14ac:dyDescent="0.25">
      <c r="A31" s="103" t="s">
        <v>39</v>
      </c>
      <c r="B31" s="104"/>
      <c r="C31" s="104"/>
      <c r="D31" s="104"/>
      <c r="E31" s="104"/>
      <c r="F31" s="104"/>
      <c r="G31" s="104"/>
      <c r="H31" s="104"/>
      <c r="I31" s="104"/>
      <c r="J31" s="105"/>
    </row>
    <row r="32" spans="1:10" x14ac:dyDescent="0.25">
      <c r="A32" s="103" t="s">
        <v>40</v>
      </c>
      <c r="B32" s="105"/>
      <c r="C32" s="124" t="s">
        <v>267</v>
      </c>
      <c r="D32" s="125"/>
      <c r="E32" s="125"/>
      <c r="F32" s="125"/>
      <c r="G32" s="125"/>
      <c r="H32" s="125"/>
      <c r="I32" s="125"/>
      <c r="J32" s="126"/>
    </row>
    <row r="33" spans="1:10" x14ac:dyDescent="0.25">
      <c r="A33" s="103" t="s">
        <v>262</v>
      </c>
      <c r="B33" s="105"/>
      <c r="C33" s="121" t="s">
        <v>263</v>
      </c>
      <c r="D33" s="122"/>
      <c r="E33" s="122"/>
      <c r="F33" s="122"/>
      <c r="G33" s="122"/>
      <c r="H33" s="122"/>
      <c r="I33" s="122"/>
      <c r="J33" s="123"/>
    </row>
    <row r="34" spans="1:10" x14ac:dyDescent="0.25">
      <c r="A34" s="89" t="s">
        <v>41</v>
      </c>
      <c r="B34" s="90"/>
      <c r="C34" s="90"/>
      <c r="D34" s="90"/>
      <c r="E34" s="90"/>
      <c r="F34" s="90"/>
      <c r="G34" s="90"/>
      <c r="H34" s="90"/>
      <c r="I34" s="90"/>
      <c r="J34" s="91"/>
    </row>
    <row r="35" spans="1:10" ht="15" customHeight="1" x14ac:dyDescent="0.25">
      <c r="A35" s="108" t="s">
        <v>42</v>
      </c>
      <c r="B35" s="109"/>
      <c r="C35" s="109"/>
      <c r="D35" s="109"/>
      <c r="E35" s="110"/>
      <c r="F35" s="127" t="s">
        <v>156</v>
      </c>
      <c r="G35" s="128"/>
      <c r="H35" s="128"/>
      <c r="I35" s="128"/>
      <c r="J35" s="129"/>
    </row>
    <row r="36" spans="1:10" ht="15" customHeight="1" x14ac:dyDescent="0.25">
      <c r="A36" s="106" t="s">
        <v>43</v>
      </c>
      <c r="B36" s="107"/>
      <c r="C36" s="107"/>
      <c r="D36" s="107"/>
      <c r="E36" s="107"/>
      <c r="F36" s="108" t="s">
        <v>44</v>
      </c>
      <c r="G36" s="109"/>
      <c r="H36" s="109"/>
      <c r="I36" s="109"/>
      <c r="J36" s="110"/>
    </row>
    <row r="37" spans="1:10" x14ac:dyDescent="0.25">
      <c r="A37" s="89" t="s">
        <v>45</v>
      </c>
      <c r="B37" s="90"/>
      <c r="C37" s="90"/>
      <c r="D37" s="90"/>
      <c r="E37" s="90"/>
      <c r="F37" s="90"/>
      <c r="G37" s="90"/>
      <c r="H37" s="90"/>
      <c r="I37" s="90"/>
      <c r="J37" s="91"/>
    </row>
    <row r="38" spans="1:10" x14ac:dyDescent="0.25">
      <c r="A38" s="103" t="s">
        <v>46</v>
      </c>
      <c r="B38" s="104"/>
      <c r="C38" s="104"/>
      <c r="D38" s="104"/>
      <c r="E38" s="105"/>
      <c r="F38" s="154">
        <v>3018.19</v>
      </c>
      <c r="G38" s="155"/>
      <c r="H38" s="155"/>
      <c r="I38" s="155"/>
      <c r="J38" s="156"/>
    </row>
    <row r="39" spans="1:10" x14ac:dyDescent="0.25">
      <c r="A39" s="103" t="s">
        <v>47</v>
      </c>
      <c r="B39" s="104"/>
      <c r="C39" s="104"/>
      <c r="D39" s="104"/>
      <c r="E39" s="105"/>
      <c r="F39" s="158">
        <v>1.1000000000000001</v>
      </c>
      <c r="G39" s="159"/>
      <c r="H39" s="159"/>
      <c r="I39" s="159"/>
      <c r="J39" s="160"/>
    </row>
    <row r="40" spans="1:10" x14ac:dyDescent="0.25">
      <c r="A40" s="103" t="s">
        <v>48</v>
      </c>
      <c r="B40" s="104"/>
      <c r="C40" s="104"/>
      <c r="D40" s="104"/>
      <c r="E40" s="105"/>
      <c r="F40" s="158">
        <f>F42/F38-F39</f>
        <v>2.3514424207886186E-2</v>
      </c>
      <c r="G40" s="159"/>
      <c r="H40" s="159"/>
      <c r="I40" s="159"/>
      <c r="J40" s="160"/>
    </row>
    <row r="41" spans="1:10" x14ac:dyDescent="0.25">
      <c r="A41" s="103" t="s">
        <v>49</v>
      </c>
      <c r="B41" s="104"/>
      <c r="C41" s="104"/>
      <c r="D41" s="104"/>
      <c r="E41" s="105"/>
      <c r="F41" s="158">
        <f>F39+F40</f>
        <v>1.1235144242078863</v>
      </c>
      <c r="G41" s="159"/>
      <c r="H41" s="159"/>
      <c r="I41" s="159"/>
      <c r="J41" s="160"/>
    </row>
    <row r="42" spans="1:10" x14ac:dyDescent="0.25">
      <c r="A42" s="103" t="s">
        <v>50</v>
      </c>
      <c r="B42" s="104"/>
      <c r="C42" s="104"/>
      <c r="D42" s="104"/>
      <c r="E42" s="105"/>
      <c r="F42" s="161">
        <v>3390.98</v>
      </c>
      <c r="G42" s="162"/>
      <c r="H42" s="162"/>
      <c r="I42" s="162"/>
      <c r="J42" s="163"/>
    </row>
    <row r="43" spans="1:10" x14ac:dyDescent="0.25">
      <c r="A43" s="103" t="s">
        <v>51</v>
      </c>
      <c r="B43" s="104"/>
      <c r="C43" s="104"/>
      <c r="D43" s="104"/>
      <c r="E43" s="105"/>
      <c r="F43" s="142" t="s">
        <v>258</v>
      </c>
      <c r="G43" s="143"/>
      <c r="H43" s="143"/>
      <c r="I43" s="143"/>
      <c r="J43" s="144"/>
    </row>
    <row r="44" spans="1:10" x14ac:dyDescent="0.25">
      <c r="A44" s="89" t="s">
        <v>52</v>
      </c>
      <c r="B44" s="90"/>
      <c r="C44" s="90"/>
      <c r="D44" s="90"/>
      <c r="E44" s="90"/>
      <c r="F44" s="90"/>
      <c r="G44" s="90"/>
      <c r="H44" s="90"/>
      <c r="I44" s="90"/>
      <c r="J44" s="91"/>
    </row>
    <row r="45" spans="1:10" x14ac:dyDescent="0.25">
      <c r="A45" s="108" t="s">
        <v>53</v>
      </c>
      <c r="B45" s="110"/>
      <c r="C45" s="108" t="s">
        <v>196</v>
      </c>
      <c r="D45" s="109"/>
      <c r="E45" s="109"/>
      <c r="F45" s="110"/>
      <c r="G45" s="28" t="s">
        <v>54</v>
      </c>
      <c r="H45" s="157">
        <v>44377</v>
      </c>
      <c r="I45" s="109"/>
      <c r="J45" s="110"/>
    </row>
    <row r="46" spans="1:10" x14ac:dyDescent="0.25">
      <c r="A46" s="103" t="s">
        <v>55</v>
      </c>
      <c r="B46" s="105"/>
      <c r="C46" s="108" t="str">
        <f>C45</f>
        <v>KBNP/NRV/B.D/5355-58</v>
      </c>
      <c r="D46" s="109"/>
      <c r="E46" s="109"/>
      <c r="F46" s="110"/>
      <c r="G46" s="28" t="s">
        <v>54</v>
      </c>
      <c r="H46" s="157">
        <f>H45</f>
        <v>44377</v>
      </c>
      <c r="I46" s="109"/>
      <c r="J46" s="110"/>
    </row>
    <row r="47" spans="1:10" ht="63.75" customHeight="1" x14ac:dyDescent="0.25">
      <c r="A47" s="108" t="s">
        <v>56</v>
      </c>
      <c r="B47" s="110"/>
      <c r="C47" s="111" t="s">
        <v>256</v>
      </c>
      <c r="D47" s="143"/>
      <c r="E47" s="143"/>
      <c r="F47" s="144"/>
      <c r="G47" s="31" t="s">
        <v>54</v>
      </c>
      <c r="H47" s="164">
        <v>44377</v>
      </c>
      <c r="I47" s="165"/>
      <c r="J47" s="166"/>
    </row>
    <row r="48" spans="1:10" ht="44.25" customHeight="1" x14ac:dyDescent="0.25">
      <c r="A48" s="170" t="s">
        <v>57</v>
      </c>
      <c r="B48" s="169"/>
      <c r="C48" s="170" t="s">
        <v>259</v>
      </c>
      <c r="D48" s="90"/>
      <c r="E48" s="90"/>
      <c r="F48" s="91" t="s">
        <v>58</v>
      </c>
      <c r="G48" s="42" t="s">
        <v>54</v>
      </c>
      <c r="H48" s="167">
        <v>44554</v>
      </c>
      <c r="I48" s="168" t="s">
        <v>36</v>
      </c>
      <c r="J48" s="169"/>
    </row>
    <row r="49" spans="1:12" x14ac:dyDescent="0.25">
      <c r="A49" s="73" t="s">
        <v>59</v>
      </c>
      <c r="B49" s="73"/>
      <c r="C49" s="73"/>
      <c r="D49" s="171">
        <v>43555</v>
      </c>
      <c r="E49" s="172"/>
      <c r="F49" s="103" t="s">
        <v>60</v>
      </c>
      <c r="G49" s="173"/>
      <c r="H49" s="142" t="s">
        <v>265</v>
      </c>
      <c r="I49" s="143"/>
      <c r="J49" s="144"/>
    </row>
    <row r="50" spans="1:12" x14ac:dyDescent="0.25">
      <c r="A50" s="124" t="s">
        <v>61</v>
      </c>
      <c r="B50" s="125"/>
      <c r="C50" s="125"/>
      <c r="D50" s="125"/>
      <c r="E50" s="125"/>
      <c r="F50" s="125"/>
      <c r="G50" s="125"/>
      <c r="H50" s="125"/>
      <c r="I50" s="125"/>
      <c r="J50" s="126"/>
    </row>
    <row r="51" spans="1:12" ht="15.75" customHeight="1" x14ac:dyDescent="0.25">
      <c r="A51" s="103" t="s">
        <v>62</v>
      </c>
      <c r="B51" s="104"/>
      <c r="C51" s="105"/>
      <c r="D51" s="119">
        <f>F42</f>
        <v>3390.98</v>
      </c>
      <c r="E51" s="120"/>
      <c r="F51" s="174" t="s">
        <v>63</v>
      </c>
      <c r="G51" s="175"/>
      <c r="H51" s="174" t="s">
        <v>244</v>
      </c>
      <c r="I51" s="176"/>
      <c r="J51" s="175"/>
    </row>
    <row r="52" spans="1:12" ht="46.5" customHeight="1" x14ac:dyDescent="0.25">
      <c r="A52" s="111" t="s">
        <v>64</v>
      </c>
      <c r="B52" s="112"/>
      <c r="C52" s="111" t="s">
        <v>255</v>
      </c>
      <c r="D52" s="112"/>
      <c r="E52" s="112"/>
      <c r="F52" s="112"/>
      <c r="G52" s="112"/>
      <c r="H52" s="112"/>
      <c r="I52" s="112"/>
      <c r="J52" s="113"/>
    </row>
    <row r="53" spans="1:12" ht="30.75" customHeight="1" x14ac:dyDescent="0.25">
      <c r="A53" s="111" t="s">
        <v>195</v>
      </c>
      <c r="B53" s="112"/>
      <c r="C53" s="111" t="s">
        <v>253</v>
      </c>
      <c r="D53" s="112"/>
      <c r="E53" s="112"/>
      <c r="F53" s="112"/>
      <c r="G53" s="112"/>
      <c r="H53" s="112"/>
      <c r="I53" s="112"/>
      <c r="J53" s="113"/>
    </row>
    <row r="54" spans="1:12" ht="15.75" customHeight="1" x14ac:dyDescent="0.25">
      <c r="A54" s="103" t="s">
        <v>163</v>
      </c>
      <c r="B54" s="104"/>
      <c r="C54" s="104"/>
      <c r="D54" s="108" t="s">
        <v>65</v>
      </c>
      <c r="E54" s="109"/>
      <c r="F54" s="109"/>
      <c r="G54" s="109"/>
      <c r="H54" s="109"/>
      <c r="I54" s="109"/>
      <c r="J54" s="110"/>
    </row>
    <row r="55" spans="1:12" x14ac:dyDescent="0.25">
      <c r="A55" s="142" t="s">
        <v>147</v>
      </c>
      <c r="B55" s="143"/>
      <c r="C55" s="143"/>
      <c r="D55" s="143"/>
      <c r="E55" s="143"/>
      <c r="F55" s="143"/>
      <c r="G55" s="143"/>
      <c r="H55" s="143"/>
      <c r="I55" s="143"/>
      <c r="J55" s="144"/>
    </row>
    <row r="56" spans="1:12" ht="15" customHeight="1" thickBot="1" x14ac:dyDescent="0.3">
      <c r="A56" s="170" t="s">
        <v>66</v>
      </c>
      <c r="B56" s="168"/>
      <c r="C56" s="168"/>
      <c r="D56" s="168"/>
      <c r="E56" s="168"/>
      <c r="F56" s="168"/>
      <c r="G56" s="168"/>
      <c r="H56" s="168"/>
      <c r="I56" s="168"/>
      <c r="J56" s="169"/>
    </row>
    <row r="57" spans="1:12" ht="15" customHeight="1" x14ac:dyDescent="0.25">
      <c r="A57" s="96" t="s">
        <v>171</v>
      </c>
      <c r="B57" s="97"/>
      <c r="C57" s="98" t="s">
        <v>254</v>
      </c>
      <c r="D57" s="99"/>
      <c r="E57" s="99"/>
      <c r="F57" s="99"/>
      <c r="G57" s="99"/>
      <c r="H57" s="99"/>
      <c r="I57" s="99"/>
      <c r="J57" s="100"/>
      <c r="K57" s="8" t="str">
        <f ca="1">(IF(F61&gt;99%,"All work completed. Please provide OC.",IF(F61&gt;89.8%,"Plinth, RCC, Brick, Plaster, Flooring, Painting work Completed. Finishing work is in process.",IF(F61&lt;94%,(IF(C61=0,"Work not yet Started.",IF(D61=25%,"Piling work in process",IF(D61=50%,"Excavation work in process",IF(D61=100%,"Excavation work Completed. ","0")))&amp;(IF(C62=0%,"",IF(C62=L63,"Footing work is process",IF(C62=L64,"Footing work Completed",IF(C62=L65,"1st Basement Completed",IF(C62=L66,"1st &amp; 2nd Basement Completed",IF(C62=L67,"1st to 3rd Basement Completed",IF(C62=L68,"1st to 4th Basement Completed",IF(C62=L69,"Plinth work is process",IF(C62=L70,"Plinth work completed","0")))))))))))&amp;(IF(C63=(D58+G58+I58),", RCC Slab",IF(C63&gt;0,", RCC upto "&amp;C63&amp;" Slab",""))&amp;(IF(C64=I58,", Brickwork",IF(C64&gt;0,", Brickwork upto "&amp;C64&amp;" Floor",""))&amp;(IF(C65=I58,", Internal Plaster",IF(C65&gt;0,", Internal Plaster upto "&amp;C65&amp;" Floor",""))&amp;(IF(C66=I58,", External Plaster",IF(C66&gt;0,", External Plaster upto "&amp;C66&amp;" Floor",""))&amp;(IF(C67=I58,", Flooring",IF(C67&gt;0,", Flooring upto "&amp;C67&amp;" Floor",""))&amp;(IF(C68=I58,", Painting",IF(C68&gt;0,", Painting upto "&amp;C68&amp;" Floor",""))&amp;(IF(C69&gt;0,", Finishing upto "&amp;C69&amp;" Floor","")&amp;(IF(C63&gt;0.5," Completed",""))))))))))))))</f>
        <v>Work not yet Started.</v>
      </c>
      <c r="L57" s="9"/>
    </row>
    <row r="58" spans="1:12" ht="15" customHeight="1" x14ac:dyDescent="0.25">
      <c r="A58" s="10" t="s">
        <v>119</v>
      </c>
      <c r="B58" s="11">
        <v>0</v>
      </c>
      <c r="C58" s="11" t="s">
        <v>121</v>
      </c>
      <c r="D58" s="11">
        <v>1</v>
      </c>
      <c r="E58" s="92" t="s">
        <v>120</v>
      </c>
      <c r="F58" s="184"/>
      <c r="G58" s="11">
        <v>0</v>
      </c>
      <c r="H58" s="11" t="s">
        <v>172</v>
      </c>
      <c r="I58" s="92">
        <f ca="1">--TRIM(RIGHT(SUBSTITUTE(LEFT(C57,_xlfn.AGGREGATE(16,6,FIND({0,1,2,3,4,5,6,7,8,9},C57,ROW(INDIRECT("1:"&amp;LEN(C57)))),1))," ",REPT(" ",LEN(C57))),LEN(C57)))</f>
        <v>7</v>
      </c>
      <c r="J58" s="93"/>
      <c r="K58" s="12"/>
      <c r="L58" s="13"/>
    </row>
    <row r="59" spans="1:12" ht="15" customHeight="1" x14ac:dyDescent="0.25">
      <c r="A59" s="94" t="s">
        <v>173</v>
      </c>
      <c r="B59" s="95"/>
      <c r="C59" s="51" t="str">
        <f ca="1">K57</f>
        <v>Work not yet Started.</v>
      </c>
      <c r="D59" s="52"/>
      <c r="E59" s="52"/>
      <c r="F59" s="52"/>
      <c r="G59" s="52"/>
      <c r="H59" s="52"/>
      <c r="I59" s="52"/>
      <c r="J59" s="53"/>
      <c r="K59" s="12" t="s">
        <v>174</v>
      </c>
      <c r="L59" s="13"/>
    </row>
    <row r="60" spans="1:12" ht="15" customHeight="1" x14ac:dyDescent="0.25">
      <c r="A60" s="54" t="s">
        <v>67</v>
      </c>
      <c r="B60" s="55"/>
      <c r="C60" s="27" t="s">
        <v>175</v>
      </c>
      <c r="D60" s="56" t="s">
        <v>176</v>
      </c>
      <c r="E60" s="56"/>
      <c r="F60" s="56" t="s">
        <v>177</v>
      </c>
      <c r="G60" s="56"/>
      <c r="H60" s="56" t="s">
        <v>178</v>
      </c>
      <c r="I60" s="56"/>
      <c r="J60" s="57"/>
      <c r="K60" s="14" t="s">
        <v>179</v>
      </c>
      <c r="L60" s="15">
        <f ca="1">I58*25%</f>
        <v>1.75</v>
      </c>
    </row>
    <row r="61" spans="1:12" ht="15" customHeight="1" x14ac:dyDescent="0.25">
      <c r="A61" s="58" t="s">
        <v>180</v>
      </c>
      <c r="B61" s="56"/>
      <c r="C61" s="32">
        <v>0</v>
      </c>
      <c r="D61" s="45">
        <f ca="1">((100/I58)*C61)/100</f>
        <v>0</v>
      </c>
      <c r="E61" s="46"/>
      <c r="F61" s="59">
        <f ca="1">(((C62/I58*10)+(40/(D58+G58+I58)*C63)+(7.5/(I58)*C64)+(7.5/(I58)*C65)+(10/I58*C66)+(10/I58*C67)+(5/I58*C68)+(5/I58*C69)+(5/I58*C70))/100)</f>
        <v>0</v>
      </c>
      <c r="G61" s="59"/>
      <c r="H61" s="61">
        <f ca="1">((((C61/I58)*20)+((C62/I58)*25)+(30/(I58+G58+D58)*C63)+(5/I58*C64)+(5/I58*C65)+(5/I58*C66)+(5/I58*C67)+(0/I58*C68)+(0/I58*C69)+(5/I58*C70))/100)</f>
        <v>0</v>
      </c>
      <c r="I61" s="62"/>
      <c r="J61" s="63"/>
      <c r="K61" s="14" t="s">
        <v>124</v>
      </c>
      <c r="L61" s="16">
        <f ca="1">I58*50%</f>
        <v>3.5</v>
      </c>
    </row>
    <row r="62" spans="1:12" ht="15" customHeight="1" x14ac:dyDescent="0.25">
      <c r="A62" s="58" t="s">
        <v>68</v>
      </c>
      <c r="B62" s="56"/>
      <c r="C62" s="33">
        <v>0</v>
      </c>
      <c r="D62" s="45">
        <f ca="1">((100/I58)*C62)/100</f>
        <v>0</v>
      </c>
      <c r="E62" s="46"/>
      <c r="F62" s="59"/>
      <c r="G62" s="59"/>
      <c r="H62" s="64"/>
      <c r="I62" s="65"/>
      <c r="J62" s="66"/>
      <c r="K62" s="14" t="s">
        <v>125</v>
      </c>
      <c r="L62" s="16">
        <f ca="1">I58</f>
        <v>7</v>
      </c>
    </row>
    <row r="63" spans="1:12" ht="15" customHeight="1" x14ac:dyDescent="0.25">
      <c r="A63" s="58" t="s">
        <v>181</v>
      </c>
      <c r="B63" s="56"/>
      <c r="C63" s="33">
        <v>0</v>
      </c>
      <c r="D63" s="45">
        <f ca="1">((100/(D58+G58+I58))*C63)/100</f>
        <v>0</v>
      </c>
      <c r="E63" s="46"/>
      <c r="F63" s="59"/>
      <c r="G63" s="59"/>
      <c r="H63" s="64"/>
      <c r="I63" s="65"/>
      <c r="J63" s="66"/>
      <c r="K63" s="14" t="s">
        <v>126</v>
      </c>
      <c r="L63" s="17">
        <f ca="1">(IF(B58&gt;1,(I58/(B58+2)),I58/4))</f>
        <v>1.75</v>
      </c>
    </row>
    <row r="64" spans="1:12" ht="15" customHeight="1" x14ac:dyDescent="0.25">
      <c r="A64" s="58" t="s">
        <v>182</v>
      </c>
      <c r="B64" s="56" t="s">
        <v>183</v>
      </c>
      <c r="C64" s="32">
        <v>0</v>
      </c>
      <c r="D64" s="45">
        <f ca="1">((100/I58)*C64)/100</f>
        <v>0</v>
      </c>
      <c r="E64" s="46"/>
      <c r="F64" s="59"/>
      <c r="G64" s="59"/>
      <c r="H64" s="64"/>
      <c r="I64" s="65"/>
      <c r="J64" s="66"/>
      <c r="K64" s="14" t="s">
        <v>127</v>
      </c>
      <c r="L64" s="17">
        <f ca="1">(IF(B58&gt;1,(I58/(B58+2)+L63),I58/4+L63))</f>
        <v>3.5</v>
      </c>
    </row>
    <row r="65" spans="1:12" ht="15" customHeight="1" x14ac:dyDescent="0.25">
      <c r="A65" s="58" t="s">
        <v>184</v>
      </c>
      <c r="B65" s="56" t="s">
        <v>183</v>
      </c>
      <c r="C65" s="32">
        <v>0</v>
      </c>
      <c r="D65" s="45">
        <f ca="1">((100/I58)*C65)/100</f>
        <v>0</v>
      </c>
      <c r="E65" s="46"/>
      <c r="F65" s="59"/>
      <c r="G65" s="59"/>
      <c r="H65" s="64"/>
      <c r="I65" s="65"/>
      <c r="J65" s="66"/>
      <c r="K65" s="14" t="s">
        <v>185</v>
      </c>
      <c r="L65" s="17">
        <f>(IF(B58&gt;1,(I58/(B58+2)+L64),0))</f>
        <v>0</v>
      </c>
    </row>
    <row r="66" spans="1:12" ht="15" customHeight="1" x14ac:dyDescent="0.25">
      <c r="A66" s="58" t="s">
        <v>186</v>
      </c>
      <c r="B66" s="56" t="s">
        <v>187</v>
      </c>
      <c r="C66" s="32">
        <v>0</v>
      </c>
      <c r="D66" s="45">
        <f ca="1">((100/(I58))*C66)/100</f>
        <v>0</v>
      </c>
      <c r="E66" s="46"/>
      <c r="F66" s="59"/>
      <c r="G66" s="59"/>
      <c r="H66" s="64"/>
      <c r="I66" s="65"/>
      <c r="J66" s="66"/>
      <c r="K66" s="14" t="s">
        <v>188</v>
      </c>
      <c r="L66" s="17">
        <f>(IF(B58&gt;2,(I58/(B58+2)+L65),0))</f>
        <v>0</v>
      </c>
    </row>
    <row r="67" spans="1:12" ht="15" customHeight="1" x14ac:dyDescent="0.25">
      <c r="A67" s="58" t="s">
        <v>189</v>
      </c>
      <c r="B67" s="56" t="s">
        <v>189</v>
      </c>
      <c r="C67" s="32">
        <v>0</v>
      </c>
      <c r="D67" s="45">
        <f ca="1">((100/I58)*C67)/100</f>
        <v>0</v>
      </c>
      <c r="E67" s="46"/>
      <c r="F67" s="59"/>
      <c r="G67" s="59"/>
      <c r="H67" s="64"/>
      <c r="I67" s="65"/>
      <c r="J67" s="66"/>
      <c r="K67" s="14" t="s">
        <v>190</v>
      </c>
      <c r="L67" s="18">
        <f>(IF(B58&gt;3,(I58/(B58+2)+L66),0))</f>
        <v>0</v>
      </c>
    </row>
    <row r="68" spans="1:12" ht="15" customHeight="1" x14ac:dyDescent="0.25">
      <c r="A68" s="58" t="s">
        <v>191</v>
      </c>
      <c r="B68" s="56"/>
      <c r="C68" s="32">
        <v>0</v>
      </c>
      <c r="D68" s="45">
        <f ca="1">((100/I58)*C68)/100</f>
        <v>0</v>
      </c>
      <c r="E68" s="46"/>
      <c r="F68" s="59"/>
      <c r="G68" s="59"/>
      <c r="H68" s="64"/>
      <c r="I68" s="65"/>
      <c r="J68" s="66"/>
      <c r="K68" s="14" t="s">
        <v>192</v>
      </c>
      <c r="L68" s="17">
        <f>(IF(B58&gt;4,(I58/(B58+2)+L67),0))</f>
        <v>0</v>
      </c>
    </row>
    <row r="69" spans="1:12" ht="15" customHeight="1" x14ac:dyDescent="0.25">
      <c r="A69" s="58" t="s">
        <v>193</v>
      </c>
      <c r="B69" s="56" t="s">
        <v>193</v>
      </c>
      <c r="C69" s="32">
        <v>0</v>
      </c>
      <c r="D69" s="45">
        <f ca="1">((100/(I58))*C69)/100</f>
        <v>0</v>
      </c>
      <c r="E69" s="46"/>
      <c r="F69" s="59"/>
      <c r="G69" s="59"/>
      <c r="H69" s="64"/>
      <c r="I69" s="65"/>
      <c r="J69" s="66"/>
      <c r="K69" s="14" t="s">
        <v>128</v>
      </c>
      <c r="L69" s="17">
        <f ca="1">(IF(B58=1,(I58/(B58+3)+L64),IF(B58=0,(I58/4+L64),IF(B58&gt;1,0))))</f>
        <v>5.25</v>
      </c>
    </row>
    <row r="70" spans="1:12" ht="15" customHeight="1" thickBot="1" x14ac:dyDescent="0.3">
      <c r="A70" s="47" t="s">
        <v>194</v>
      </c>
      <c r="B70" s="48"/>
      <c r="C70" s="34">
        <v>0</v>
      </c>
      <c r="D70" s="49">
        <f ca="1">((100/(I58))*C70)/100</f>
        <v>0</v>
      </c>
      <c r="E70" s="50"/>
      <c r="F70" s="60"/>
      <c r="G70" s="60"/>
      <c r="H70" s="67"/>
      <c r="I70" s="68"/>
      <c r="J70" s="69"/>
      <c r="K70" s="19" t="s">
        <v>129</v>
      </c>
      <c r="L70" s="20">
        <f ca="1">(IF(B58&gt;1.5,(I58/(B58+2)+L64+MAX(0,L65-L64)+MAX(0,L66-L65)+MAX(0,L67-L66)+MAX(0,L68-L67)+MAX(0,L69-L68)),IF(B58=1,(I58/(B58+3)+L69),IF(B58=0,I58/4+L69))))</f>
        <v>7</v>
      </c>
    </row>
    <row r="71" spans="1:12" ht="15" customHeight="1" x14ac:dyDescent="0.25">
      <c r="A71" s="96" t="s">
        <v>171</v>
      </c>
      <c r="B71" s="97"/>
      <c r="C71" s="98" t="s">
        <v>257</v>
      </c>
      <c r="D71" s="99"/>
      <c r="E71" s="99"/>
      <c r="F71" s="99"/>
      <c r="G71" s="99"/>
      <c r="H71" s="99"/>
      <c r="I71" s="99"/>
      <c r="J71" s="100"/>
      <c r="K71" s="8" t="str">
        <f ca="1">(IF(F75&gt;99%,"All work completed. Please provide OC.",IF(F75&gt;89.8%,"Plinth, RCC, Brick, Plaster, Flooring, Painting work Completed. Finishing work is in process.",IF(F75&lt;94%,(IF(C75=0,"Work not yet Started.",IF(D75=25%,"Piling work in process",IF(D75=50%,"Excavation work in process",IF(D75=100%,"Excavation work Completed. ","0")))&amp;(IF(C76=0%,"",IF(C76=L77,"Footing work is process",IF(C76=L78,"Footing work Completed",IF(C76=L79,"1st Basement Completed",IF(C76=L80,"1st &amp; 2nd Basement Completed",IF(C76=L81,"1st to 3rd Basement Completed",IF(C76=L82,"1st to 4th Basement Completed",IF(C76=L83,"Plinth work is process",IF(C76=L84,"Plinth work completed","0")))))))))))&amp;(IF(C77=(D72+G72+I72),", RCC Slab",IF(C77&gt;0,", RCC upto "&amp;C77&amp;" Slab",""))&amp;(IF(C78=I72,", Brickwork",IF(C78&gt;0,", Brickwork upto "&amp;C78&amp;" Floor",""))&amp;(IF(C79=I72,", Internal Plaster",IF(C79&gt;0,", Internal Plaster upto "&amp;C79&amp;" Floor",""))&amp;(IF(C80=I72,", External Plaster",IF(C80&gt;0,", External Plaster upto "&amp;C80&amp;" Floor",""))&amp;(IF(C81=I72,", Flooring",IF(C81&gt;0,", Flooring upto "&amp;C81&amp;" Floor",""))&amp;(IF(C82=I72,", Painting",IF(C82&gt;0,", Painting upto "&amp;C82&amp;" Floor",""))&amp;(IF(C83&gt;0,", Finishing upto "&amp;C83&amp;" Floor","")&amp;(IF(C77&gt;0.5," Completed",""))))))))))))))</f>
        <v>Excavation work Completed. Plinth work completed, RCC Slab, Brickwork, Internal Plaster, External Plaster, Flooring upto 6 Floor, Painting upto 3 Floor, Finishing upto 1 Floor Completed</v>
      </c>
      <c r="L71" s="9"/>
    </row>
    <row r="72" spans="1:12" ht="15" customHeight="1" x14ac:dyDescent="0.25">
      <c r="A72" s="10" t="s">
        <v>119</v>
      </c>
      <c r="B72" s="11">
        <v>0</v>
      </c>
      <c r="C72" s="11" t="s">
        <v>121</v>
      </c>
      <c r="D72" s="11">
        <v>1</v>
      </c>
      <c r="E72" s="92" t="s">
        <v>120</v>
      </c>
      <c r="F72" s="184"/>
      <c r="G72" s="11">
        <v>0</v>
      </c>
      <c r="H72" s="11" t="s">
        <v>172</v>
      </c>
      <c r="I72" s="92">
        <f ca="1">--TRIM(RIGHT(SUBSTITUTE(LEFT(C71,_xlfn.AGGREGATE(16,6,FIND({0,1,2,3,4,5,6,7,8,9},C71,ROW(INDIRECT("1:"&amp;LEN(C71)))),1))," ",REPT(" ",LEN(C71))),LEN(C71)))</f>
        <v>7</v>
      </c>
      <c r="J72" s="93"/>
      <c r="K72" s="12"/>
      <c r="L72" s="13"/>
    </row>
    <row r="73" spans="1:12" ht="45" customHeight="1" x14ac:dyDescent="0.25">
      <c r="A73" s="94" t="s">
        <v>173</v>
      </c>
      <c r="B73" s="95"/>
      <c r="C73" s="51" t="str">
        <f ca="1">K71</f>
        <v>Excavation work Completed. Plinth work completed, RCC Slab, Brickwork, Internal Plaster, External Plaster, Flooring upto 6 Floor, Painting upto 3 Floor, Finishing upto 1 Floor Completed</v>
      </c>
      <c r="D73" s="52"/>
      <c r="E73" s="52"/>
      <c r="F73" s="52"/>
      <c r="G73" s="52"/>
      <c r="H73" s="52"/>
      <c r="I73" s="52"/>
      <c r="J73" s="53"/>
      <c r="K73" s="12" t="s">
        <v>174</v>
      </c>
      <c r="L73" s="13"/>
    </row>
    <row r="74" spans="1:12" ht="15" customHeight="1" x14ac:dyDescent="0.25">
      <c r="A74" s="54" t="s">
        <v>67</v>
      </c>
      <c r="B74" s="55"/>
      <c r="C74" s="27" t="s">
        <v>175</v>
      </c>
      <c r="D74" s="56" t="s">
        <v>176</v>
      </c>
      <c r="E74" s="56"/>
      <c r="F74" s="56" t="s">
        <v>177</v>
      </c>
      <c r="G74" s="56"/>
      <c r="H74" s="56" t="s">
        <v>178</v>
      </c>
      <c r="I74" s="56"/>
      <c r="J74" s="57"/>
      <c r="K74" s="14" t="s">
        <v>179</v>
      </c>
      <c r="L74" s="15">
        <f ca="1">I72*25%</f>
        <v>1.75</v>
      </c>
    </row>
    <row r="75" spans="1:12" ht="15" customHeight="1" x14ac:dyDescent="0.25">
      <c r="A75" s="58" t="s">
        <v>180</v>
      </c>
      <c r="B75" s="56"/>
      <c r="C75" s="32">
        <f ca="1">L76</f>
        <v>7</v>
      </c>
      <c r="D75" s="45">
        <f ca="1">((100/I72)*C75)/100</f>
        <v>1</v>
      </c>
      <c r="E75" s="46"/>
      <c r="F75" s="59">
        <f ca="1">(((C76/I72*10)+(40/(D72+G72+I72)*C77)+(7.5/(I72)*C78)+(7.5/(I72)*C79)+(10/I72*C80)+(10/I72*C81)+(5/I72*C82)+(5/I72*C83)+(5/I72*C84))/100)</f>
        <v>0.86428571428571421</v>
      </c>
      <c r="G75" s="59"/>
      <c r="H75" s="61">
        <f ca="1">((((C75/I72)*20)+((C76/I72)*25)+(30/(I72+G72+D72)*C77)+(5/I72*C78)+(5/I72*C79)+(5/I72*C80)+(5/I72*C81)+(0/I72*C82)+(0/I72*C83)+(5/I72*C84))/100)</f>
        <v>0.94285714285714295</v>
      </c>
      <c r="I75" s="62"/>
      <c r="J75" s="63"/>
      <c r="K75" s="14" t="s">
        <v>124</v>
      </c>
      <c r="L75" s="16">
        <f ca="1">I72*50%</f>
        <v>3.5</v>
      </c>
    </row>
    <row r="76" spans="1:12" ht="15" customHeight="1" x14ac:dyDescent="0.25">
      <c r="A76" s="58" t="s">
        <v>68</v>
      </c>
      <c r="B76" s="56"/>
      <c r="C76" s="33">
        <f ca="1">L84</f>
        <v>7</v>
      </c>
      <c r="D76" s="45">
        <f ca="1">((100/I72)*C76)/100</f>
        <v>1</v>
      </c>
      <c r="E76" s="46"/>
      <c r="F76" s="59"/>
      <c r="G76" s="59"/>
      <c r="H76" s="64"/>
      <c r="I76" s="65"/>
      <c r="J76" s="66"/>
      <c r="K76" s="14" t="s">
        <v>125</v>
      </c>
      <c r="L76" s="16">
        <f ca="1">I72</f>
        <v>7</v>
      </c>
    </row>
    <row r="77" spans="1:12" ht="15" customHeight="1" x14ac:dyDescent="0.25">
      <c r="A77" s="58" t="s">
        <v>181</v>
      </c>
      <c r="B77" s="56"/>
      <c r="C77" s="33">
        <v>8</v>
      </c>
      <c r="D77" s="45">
        <f ca="1">((100/(D72+G72+I72))*C77)/100</f>
        <v>1</v>
      </c>
      <c r="E77" s="46"/>
      <c r="F77" s="59"/>
      <c r="G77" s="59"/>
      <c r="H77" s="64"/>
      <c r="I77" s="65"/>
      <c r="J77" s="66"/>
      <c r="K77" s="14" t="s">
        <v>126</v>
      </c>
      <c r="L77" s="17">
        <f ca="1">(IF(B72&gt;1,(I72/(B72+2)),I72/4))</f>
        <v>1.75</v>
      </c>
    </row>
    <row r="78" spans="1:12" ht="15" customHeight="1" x14ac:dyDescent="0.25">
      <c r="A78" s="58" t="s">
        <v>182</v>
      </c>
      <c r="B78" s="56" t="s">
        <v>183</v>
      </c>
      <c r="C78" s="32">
        <v>7</v>
      </c>
      <c r="D78" s="45">
        <f ca="1">((100/I72)*C78)/100</f>
        <v>1</v>
      </c>
      <c r="E78" s="46"/>
      <c r="F78" s="59"/>
      <c r="G78" s="59"/>
      <c r="H78" s="64"/>
      <c r="I78" s="65"/>
      <c r="J78" s="66"/>
      <c r="K78" s="14" t="s">
        <v>127</v>
      </c>
      <c r="L78" s="17">
        <f ca="1">(IF(B72&gt;1,(I72/(B72+2)+L77),I72/4+L77))</f>
        <v>3.5</v>
      </c>
    </row>
    <row r="79" spans="1:12" ht="15" customHeight="1" x14ac:dyDescent="0.25">
      <c r="A79" s="58" t="s">
        <v>184</v>
      </c>
      <c r="B79" s="56" t="s">
        <v>183</v>
      </c>
      <c r="C79" s="32">
        <v>7</v>
      </c>
      <c r="D79" s="45">
        <f ca="1">((100/I72)*C79)/100</f>
        <v>1</v>
      </c>
      <c r="E79" s="46"/>
      <c r="F79" s="59"/>
      <c r="G79" s="59"/>
      <c r="H79" s="64"/>
      <c r="I79" s="65"/>
      <c r="J79" s="66"/>
      <c r="K79" s="14" t="s">
        <v>185</v>
      </c>
      <c r="L79" s="17">
        <f>(IF(B72&gt;1,(I72/(B72+2)+L78),0))</f>
        <v>0</v>
      </c>
    </row>
    <row r="80" spans="1:12" ht="15" customHeight="1" x14ac:dyDescent="0.25">
      <c r="A80" s="58" t="s">
        <v>186</v>
      </c>
      <c r="B80" s="56" t="s">
        <v>187</v>
      </c>
      <c r="C80" s="32">
        <v>7</v>
      </c>
      <c r="D80" s="45">
        <f ca="1">((100/(I72))*C80)/100</f>
        <v>1</v>
      </c>
      <c r="E80" s="46"/>
      <c r="F80" s="59"/>
      <c r="G80" s="59"/>
      <c r="H80" s="64"/>
      <c r="I80" s="65"/>
      <c r="J80" s="66"/>
      <c r="K80" s="14" t="s">
        <v>188</v>
      </c>
      <c r="L80" s="17">
        <f>(IF(B72&gt;2,(I72/(B72+2)+L79),0))</f>
        <v>0</v>
      </c>
    </row>
    <row r="81" spans="1:12" ht="15" customHeight="1" x14ac:dyDescent="0.25">
      <c r="A81" s="58" t="s">
        <v>189</v>
      </c>
      <c r="B81" s="56" t="s">
        <v>189</v>
      </c>
      <c r="C81" s="33">
        <v>6</v>
      </c>
      <c r="D81" s="45">
        <f ca="1">((100/I72)*C81)/100</f>
        <v>0.85714285714285721</v>
      </c>
      <c r="E81" s="46"/>
      <c r="F81" s="59"/>
      <c r="G81" s="59"/>
      <c r="H81" s="64"/>
      <c r="I81" s="65"/>
      <c r="J81" s="66"/>
      <c r="K81" s="14" t="s">
        <v>190</v>
      </c>
      <c r="L81" s="18">
        <f>(IF(B72&gt;3,(I72/(B72+2)+L80),0))</f>
        <v>0</v>
      </c>
    </row>
    <row r="82" spans="1:12" ht="15" customHeight="1" x14ac:dyDescent="0.25">
      <c r="A82" s="58" t="s">
        <v>191</v>
      </c>
      <c r="B82" s="56"/>
      <c r="C82" s="33">
        <v>3</v>
      </c>
      <c r="D82" s="45">
        <f ca="1">((100/I72)*C82)/100</f>
        <v>0.4285714285714286</v>
      </c>
      <c r="E82" s="46"/>
      <c r="F82" s="59"/>
      <c r="G82" s="59"/>
      <c r="H82" s="64"/>
      <c r="I82" s="65"/>
      <c r="J82" s="66"/>
      <c r="K82" s="14" t="s">
        <v>192</v>
      </c>
      <c r="L82" s="17">
        <f>(IF(B72&gt;4,(I72/(B72+2)+L81),0))</f>
        <v>0</v>
      </c>
    </row>
    <row r="83" spans="1:12" ht="15" customHeight="1" x14ac:dyDescent="0.25">
      <c r="A83" s="58" t="s">
        <v>193</v>
      </c>
      <c r="B83" s="56" t="s">
        <v>193</v>
      </c>
      <c r="C83" s="32">
        <v>1</v>
      </c>
      <c r="D83" s="45">
        <f ca="1">((100/(I72))*C83)/100</f>
        <v>0.14285714285714288</v>
      </c>
      <c r="E83" s="46"/>
      <c r="F83" s="59"/>
      <c r="G83" s="59"/>
      <c r="H83" s="64"/>
      <c r="I83" s="65"/>
      <c r="J83" s="66"/>
      <c r="K83" s="14" t="s">
        <v>128</v>
      </c>
      <c r="L83" s="17">
        <f ca="1">(IF(B72=1,(I72/(B72+3)+L78),IF(B72=0,(I72/4+L78),IF(B72&gt;1,0))))</f>
        <v>5.25</v>
      </c>
    </row>
    <row r="84" spans="1:12" ht="15" customHeight="1" thickBot="1" x14ac:dyDescent="0.3">
      <c r="A84" s="47" t="s">
        <v>194</v>
      </c>
      <c r="B84" s="48"/>
      <c r="C84" s="34">
        <v>0</v>
      </c>
      <c r="D84" s="49">
        <f ca="1">((100/(I72))*C84)/100</f>
        <v>0</v>
      </c>
      <c r="E84" s="50"/>
      <c r="F84" s="60"/>
      <c r="G84" s="60"/>
      <c r="H84" s="67"/>
      <c r="I84" s="68"/>
      <c r="J84" s="69"/>
      <c r="K84" s="19" t="s">
        <v>129</v>
      </c>
      <c r="L84" s="20">
        <f ca="1">(IF(B72&gt;1.5,(I72/(B72+2)+L78+MAX(0,L79-L78)+MAX(0,L80-L79)+MAX(0,L81-L80)+MAX(0,L82-L81)+MAX(0,L83-L82)),IF(B72=1,(I72/(B72+3)+L83),IF(B72=0,I72/4+L83))))</f>
        <v>7</v>
      </c>
    </row>
    <row r="85" spans="1:12" ht="15" customHeight="1" x14ac:dyDescent="0.25">
      <c r="A85" s="96" t="s">
        <v>171</v>
      </c>
      <c r="B85" s="97"/>
      <c r="C85" s="98" t="s">
        <v>260</v>
      </c>
      <c r="D85" s="99"/>
      <c r="E85" s="99"/>
      <c r="F85" s="99"/>
      <c r="G85" s="99"/>
      <c r="H85" s="99"/>
      <c r="I85" s="99"/>
      <c r="J85" s="100"/>
      <c r="K85" s="8" t="str">
        <f ca="1">(IF(F89&gt;99%,"All work completed. Please provide OC.",IF(F89&gt;89.8%,"Plinth, RCC, Brick, Plaster, Flooring, Painting work Completed. Finishing work is in process.",IF(F89&lt;94%,(IF(C89=0,"Work not yet Started.",IF(D89=25%,"Piling work in process",IF(D89=50%,"Excavation work in process",IF(D89=100%,"Excavation work Completed. ","0")))&amp;(IF(C90=0%,"",IF(C90=L91,"Footing work is process",IF(C90=L92,"Footing work Completed",IF(C90=L93,"1st Basement Completed",IF(C90=L94,"1st &amp; 2nd Basement Completed",IF(C90=L95,"1st to 3rd Basement Completed",IF(C90=L96,"1st to 4th Basement Completed",IF(C90=L97,"Plinth work is process",IF(C90=L98,"Plinth work completed","0")))))))))))&amp;(IF(C91=(D86+G86+I86),", RCC Slab",IF(C91&gt;0,", RCC upto "&amp;C91&amp;" Slab",""))&amp;(IF(C92=I86,", Brickwork",IF(C92&gt;0,", Brickwork upto "&amp;C92&amp;" Floor",""))&amp;(IF(C93=I86,", Internal Plaster",IF(C93&gt;0,", Internal Plaster upto "&amp;C93&amp;" Floor",""))&amp;(IF(C94=I86,", External Plaster",IF(C94&gt;0,", External Plaster upto "&amp;C94&amp;" Floor",""))&amp;(IF(C95=I86,", Flooring",IF(C95&gt;0,", Flooring upto "&amp;C95&amp;" Floor",""))&amp;(IF(C96=I86,", Painting",IF(C96&gt;0,", Painting upto "&amp;C96&amp;" Floor",""))&amp;(IF(C97&gt;0,", Finishing upto "&amp;C97&amp;" Floor","")&amp;(IF(C91&gt;0.5," Completed",""))))))))))))))</f>
        <v>All work completed. Please provide OC.</v>
      </c>
      <c r="L85" s="9"/>
    </row>
    <row r="86" spans="1:12" ht="15" customHeight="1" x14ac:dyDescent="0.25">
      <c r="A86" s="10" t="s">
        <v>119</v>
      </c>
      <c r="B86" s="11">
        <v>0</v>
      </c>
      <c r="C86" s="11" t="s">
        <v>121</v>
      </c>
      <c r="D86" s="11">
        <v>1</v>
      </c>
      <c r="E86" s="92" t="s">
        <v>120</v>
      </c>
      <c r="F86" s="184"/>
      <c r="G86" s="11">
        <v>0</v>
      </c>
      <c r="H86" s="11" t="s">
        <v>172</v>
      </c>
      <c r="I86" s="92">
        <f ca="1">--TRIM(RIGHT(SUBSTITUTE(LEFT(C85,_xlfn.AGGREGATE(16,6,FIND({0,1,2,3,4,5,6,7,8,9},C85,ROW(INDIRECT("1:"&amp;LEN(C85)))),1))," ",REPT(" ",LEN(C85))),LEN(C85)))</f>
        <v>4</v>
      </c>
      <c r="J86" s="93"/>
      <c r="K86" s="12"/>
      <c r="L86" s="13"/>
    </row>
    <row r="87" spans="1:12" ht="15.75" thickBot="1" x14ac:dyDescent="0.3">
      <c r="A87" s="94" t="s">
        <v>173</v>
      </c>
      <c r="B87" s="95"/>
      <c r="C87" s="51" t="str">
        <f ca="1">K85</f>
        <v>All work completed. Please provide OC.</v>
      </c>
      <c r="D87" s="52"/>
      <c r="E87" s="52"/>
      <c r="F87" s="52"/>
      <c r="G87" s="52"/>
      <c r="H87" s="52"/>
      <c r="I87" s="52"/>
      <c r="J87" s="53"/>
      <c r="K87" s="12" t="s">
        <v>174</v>
      </c>
      <c r="L87" s="13"/>
    </row>
    <row r="88" spans="1:12" ht="15" hidden="1" customHeight="1" x14ac:dyDescent="0.25">
      <c r="A88" s="54" t="s">
        <v>67</v>
      </c>
      <c r="B88" s="55"/>
      <c r="C88" s="27" t="s">
        <v>175</v>
      </c>
      <c r="D88" s="56" t="s">
        <v>176</v>
      </c>
      <c r="E88" s="56"/>
      <c r="F88" s="56" t="s">
        <v>177</v>
      </c>
      <c r="G88" s="56"/>
      <c r="H88" s="56" t="s">
        <v>178</v>
      </c>
      <c r="I88" s="56"/>
      <c r="J88" s="57"/>
      <c r="K88" s="14" t="s">
        <v>179</v>
      </c>
      <c r="L88" s="15">
        <f ca="1">I86*25%</f>
        <v>1</v>
      </c>
    </row>
    <row r="89" spans="1:12" ht="15" hidden="1" customHeight="1" x14ac:dyDescent="0.25">
      <c r="A89" s="58" t="s">
        <v>180</v>
      </c>
      <c r="B89" s="56"/>
      <c r="C89" s="32">
        <f ca="1">L90</f>
        <v>4</v>
      </c>
      <c r="D89" s="45">
        <f ca="1">((100/I86)*C89)/100</f>
        <v>1</v>
      </c>
      <c r="E89" s="46"/>
      <c r="F89" s="59">
        <f ca="1">(((C90/I86*10)+(40/(D86+G86+I86)*C91)+(7.5/(I86)*C92)+(7.5/(I86)*C93)+(10/I86*C94)+(10/I86*C95)+(5/I86*C96)+(5/I86*C97)+(5/I86*C98))/100)</f>
        <v>1</v>
      </c>
      <c r="G89" s="59"/>
      <c r="H89" s="61">
        <f ca="1">((((C89/I86)*20)+((C90/I86)*25)+(30/(I86+G86+D86)*C91)+(5/I86*C92)+(5/I86*C93)+(5/I86*C94)+(5/I86*C95)+(0/I86*C96)+(0/I86*C97)+(5/I86*C98))/100)</f>
        <v>1</v>
      </c>
      <c r="I89" s="62"/>
      <c r="J89" s="63"/>
      <c r="K89" s="14" t="s">
        <v>124</v>
      </c>
      <c r="L89" s="16">
        <f ca="1">I86*50%</f>
        <v>2</v>
      </c>
    </row>
    <row r="90" spans="1:12" ht="15" hidden="1" customHeight="1" x14ac:dyDescent="0.25">
      <c r="A90" s="58" t="s">
        <v>68</v>
      </c>
      <c r="B90" s="56"/>
      <c r="C90" s="33">
        <f ca="1">L98</f>
        <v>4</v>
      </c>
      <c r="D90" s="45">
        <f ca="1">((100/I86)*C90)/100</f>
        <v>1</v>
      </c>
      <c r="E90" s="46"/>
      <c r="F90" s="59"/>
      <c r="G90" s="59"/>
      <c r="H90" s="64"/>
      <c r="I90" s="65"/>
      <c r="J90" s="66"/>
      <c r="K90" s="14" t="s">
        <v>125</v>
      </c>
      <c r="L90" s="16">
        <f ca="1">I86</f>
        <v>4</v>
      </c>
    </row>
    <row r="91" spans="1:12" ht="15" hidden="1" customHeight="1" x14ac:dyDescent="0.25">
      <c r="A91" s="58" t="s">
        <v>181</v>
      </c>
      <c r="B91" s="56"/>
      <c r="C91" s="33">
        <f ca="1">D86+I86</f>
        <v>5</v>
      </c>
      <c r="D91" s="45">
        <f ca="1">((100/(D86+G86+I86))*C91)/100</f>
        <v>1</v>
      </c>
      <c r="E91" s="46"/>
      <c r="F91" s="59"/>
      <c r="G91" s="59"/>
      <c r="H91" s="64"/>
      <c r="I91" s="65"/>
      <c r="J91" s="66"/>
      <c r="K91" s="14" t="s">
        <v>126</v>
      </c>
      <c r="L91" s="17">
        <f ca="1">(IF(B86&gt;1,(I86/(B86+2)),I86/4))</f>
        <v>1</v>
      </c>
    </row>
    <row r="92" spans="1:12" ht="15" hidden="1" customHeight="1" x14ac:dyDescent="0.25">
      <c r="A92" s="58" t="s">
        <v>182</v>
      </c>
      <c r="B92" s="56" t="s">
        <v>183</v>
      </c>
      <c r="C92" s="32">
        <v>4</v>
      </c>
      <c r="D92" s="45">
        <f ca="1">((100/I86)*C92)/100</f>
        <v>1</v>
      </c>
      <c r="E92" s="46"/>
      <c r="F92" s="59"/>
      <c r="G92" s="59"/>
      <c r="H92" s="64"/>
      <c r="I92" s="65"/>
      <c r="J92" s="66"/>
      <c r="K92" s="14" t="s">
        <v>127</v>
      </c>
      <c r="L92" s="17">
        <f ca="1">(IF(B86&gt;1,(I86/(B86+2)+L91),I86/4+L91))</f>
        <v>2</v>
      </c>
    </row>
    <row r="93" spans="1:12" ht="15" hidden="1" customHeight="1" x14ac:dyDescent="0.25">
      <c r="A93" s="58" t="s">
        <v>184</v>
      </c>
      <c r="B93" s="56" t="s">
        <v>183</v>
      </c>
      <c r="C93" s="32">
        <v>4</v>
      </c>
      <c r="D93" s="45">
        <f ca="1">((100/I86)*C93)/100</f>
        <v>1</v>
      </c>
      <c r="E93" s="46"/>
      <c r="F93" s="59"/>
      <c r="G93" s="59"/>
      <c r="H93" s="64"/>
      <c r="I93" s="65"/>
      <c r="J93" s="66"/>
      <c r="K93" s="14" t="s">
        <v>185</v>
      </c>
      <c r="L93" s="17">
        <f>(IF(B86&gt;1,(I86/(B86+2)+L92),0))</f>
        <v>0</v>
      </c>
    </row>
    <row r="94" spans="1:12" ht="15" hidden="1" customHeight="1" x14ac:dyDescent="0.25">
      <c r="A94" s="58" t="s">
        <v>186</v>
      </c>
      <c r="B94" s="56" t="s">
        <v>187</v>
      </c>
      <c r="C94" s="32">
        <v>4</v>
      </c>
      <c r="D94" s="45">
        <f ca="1">((100/(I86))*C94)/100</f>
        <v>1</v>
      </c>
      <c r="E94" s="46"/>
      <c r="F94" s="59"/>
      <c r="G94" s="59"/>
      <c r="H94" s="64"/>
      <c r="I94" s="65"/>
      <c r="J94" s="66"/>
      <c r="K94" s="14" t="s">
        <v>188</v>
      </c>
      <c r="L94" s="17">
        <f>(IF(B86&gt;2,(I86/(B86+2)+L93),0))</f>
        <v>0</v>
      </c>
    </row>
    <row r="95" spans="1:12" ht="15" hidden="1" customHeight="1" x14ac:dyDescent="0.25">
      <c r="A95" s="58" t="s">
        <v>189</v>
      </c>
      <c r="B95" s="56" t="s">
        <v>189</v>
      </c>
      <c r="C95" s="32">
        <v>4</v>
      </c>
      <c r="D95" s="45">
        <f ca="1">((100/I86)*C95)/100</f>
        <v>1</v>
      </c>
      <c r="E95" s="46"/>
      <c r="F95" s="59"/>
      <c r="G95" s="59"/>
      <c r="H95" s="64"/>
      <c r="I95" s="65"/>
      <c r="J95" s="66"/>
      <c r="K95" s="14" t="s">
        <v>190</v>
      </c>
      <c r="L95" s="18">
        <f>(IF(B86&gt;3,(I86/(B86+2)+L94),0))</f>
        <v>0</v>
      </c>
    </row>
    <row r="96" spans="1:12" ht="15" hidden="1" customHeight="1" x14ac:dyDescent="0.25">
      <c r="A96" s="58" t="s">
        <v>191</v>
      </c>
      <c r="B96" s="56"/>
      <c r="C96" s="32">
        <v>4</v>
      </c>
      <c r="D96" s="45">
        <f ca="1">((100/I86)*C96)/100</f>
        <v>1</v>
      </c>
      <c r="E96" s="46"/>
      <c r="F96" s="59"/>
      <c r="G96" s="59"/>
      <c r="H96" s="64"/>
      <c r="I96" s="65"/>
      <c r="J96" s="66"/>
      <c r="K96" s="14" t="s">
        <v>192</v>
      </c>
      <c r="L96" s="17">
        <f>(IF(B86&gt;4,(I86/(B86+2)+L95),0))</f>
        <v>0</v>
      </c>
    </row>
    <row r="97" spans="1:12" ht="15" hidden="1" customHeight="1" x14ac:dyDescent="0.25">
      <c r="A97" s="58" t="s">
        <v>193</v>
      </c>
      <c r="B97" s="56" t="s">
        <v>193</v>
      </c>
      <c r="C97" s="32">
        <v>4</v>
      </c>
      <c r="D97" s="45">
        <f ca="1">((100/(I86))*C97)/100</f>
        <v>1</v>
      </c>
      <c r="E97" s="46"/>
      <c r="F97" s="59"/>
      <c r="G97" s="59"/>
      <c r="H97" s="64"/>
      <c r="I97" s="65"/>
      <c r="J97" s="66"/>
      <c r="K97" s="14" t="s">
        <v>128</v>
      </c>
      <c r="L97" s="17">
        <f ca="1">(IF(B86=1,(I86/(B86+3)+L92),IF(B86=0,(I86/4+L92),IF(B86&gt;1,0))))</f>
        <v>3</v>
      </c>
    </row>
    <row r="98" spans="1:12" ht="15" hidden="1" customHeight="1" thickBot="1" x14ac:dyDescent="0.3">
      <c r="A98" s="47" t="s">
        <v>194</v>
      </c>
      <c r="B98" s="48"/>
      <c r="C98" s="34">
        <v>4</v>
      </c>
      <c r="D98" s="49">
        <f ca="1">((100/(I86))*C98)/100</f>
        <v>1</v>
      </c>
      <c r="E98" s="50"/>
      <c r="F98" s="60"/>
      <c r="G98" s="60"/>
      <c r="H98" s="67"/>
      <c r="I98" s="68"/>
      <c r="J98" s="69"/>
      <c r="K98" s="19" t="s">
        <v>129</v>
      </c>
      <c r="L98" s="20">
        <f ca="1">(IF(B86&gt;1.5,(I86/(B86+2)+L92+MAX(0,L93-L92)+MAX(0,L94-L93)+MAX(0,L95-L94)+MAX(0,L96-L95)+MAX(0,L97-L96)),IF(B86=1,(I86/(B86+3)+L97),IF(B86=0,I86/4+L97))))</f>
        <v>4</v>
      </c>
    </row>
    <row r="99" spans="1:12" ht="30.75" customHeight="1" thickBot="1" x14ac:dyDescent="0.3">
      <c r="A99" s="188" t="s">
        <v>177</v>
      </c>
      <c r="B99" s="189"/>
      <c r="C99" s="190">
        <f ca="1">F89</f>
        <v>1</v>
      </c>
      <c r="D99" s="191"/>
      <c r="E99" s="192"/>
      <c r="F99" s="193" t="s">
        <v>178</v>
      </c>
      <c r="G99" s="194"/>
      <c r="H99" s="193">
        <f ca="1">H89</f>
        <v>1</v>
      </c>
      <c r="I99" s="195"/>
      <c r="J99" s="194"/>
      <c r="K99" s="19" t="s">
        <v>129</v>
      </c>
      <c r="L99" s="20">
        <f ca="1">(IF(B87&gt;1.5,(I87/(B87+2)+L93+MAX(0,L94-L93)+MAX(0,L95-L94)+MAX(0,L96-L95)+MAX(0,L97-L96)+MAX(0,L98-L97)),IF(B87=1,(I87/(B87+3)+L98),IF(B87=0,I87/4+L98))))</f>
        <v>4</v>
      </c>
    </row>
    <row r="100" spans="1:12" ht="15" customHeight="1" x14ac:dyDescent="0.25">
      <c r="A100" s="96" t="s">
        <v>171</v>
      </c>
      <c r="B100" s="97"/>
      <c r="C100" s="98" t="s">
        <v>261</v>
      </c>
      <c r="D100" s="99"/>
      <c r="E100" s="99"/>
      <c r="F100" s="99"/>
      <c r="G100" s="99"/>
      <c r="H100" s="99"/>
      <c r="I100" s="99"/>
      <c r="J100" s="100"/>
      <c r="K100" s="8" t="str">
        <f ca="1">(IF(F104&gt;99%,"All work completed. Please provide OC.",IF(F104&gt;89.8%,"Plinth, RCC, Brick, Plaster, Flooring, Painting work Completed. Finishing work is in process.",IF(F104&lt;94%,(IF(C104=0,"Work not yet Started.",IF(D104=25%,"Piling work in process",IF(D104=50%,"Excavation work in process",IF(D104=100%,"Excavation work Completed. ","0")))&amp;(IF(C105=0%,"",IF(C105=L106,"Footing work is process",IF(C105=L107,"Footing work Completed",IF(C105=L108,"1st Basement Completed",IF(C105=L109,"1st &amp; 2nd Basement Completed",IF(C105=L110,"1st to 3rd Basement Completed",IF(C105=L111,"1st to 4th Basement Completed",IF(C105=L112,"Plinth work is process",IF(C105=L113,"Plinth work completed","0")))))))))))&amp;(IF(C106=(D101+G101+I101),", RCC Slab",IF(C106&gt;0,", RCC upto "&amp;C106&amp;" Slab",""))&amp;(IF(C107=I101,", Brickwork",IF(C107&gt;0,", Brickwork upto "&amp;C107&amp;" Floor",""))&amp;(IF(C108=I101,", Internal Plaster",IF(C108&gt;0,", Internal Plaster upto "&amp;C108&amp;" Floor",""))&amp;(IF(C109=I101,", External Plaster",IF(C109&gt;0,", External Plaster upto "&amp;C109&amp;" Floor",""))&amp;(IF(C110=I101,", Flooring",IF(C110&gt;0,", Flooring upto "&amp;C110&amp;" Floor",""))&amp;(IF(C111=I101,", Painting",IF(C111&gt;0,", Painting upto "&amp;C111&amp;" Floor",""))&amp;(IF(C112&gt;0,", Finishing upto "&amp;C112&amp;" Floor","")&amp;(IF(C106&gt;0.5," Completed",""))))))))))))))</f>
        <v>All work completed. Please provide OC.</v>
      </c>
      <c r="L100" s="9"/>
    </row>
    <row r="101" spans="1:12" ht="15" customHeight="1" x14ac:dyDescent="0.25">
      <c r="A101" s="10" t="s">
        <v>119</v>
      </c>
      <c r="B101" s="11">
        <v>0</v>
      </c>
      <c r="C101" s="11" t="s">
        <v>121</v>
      </c>
      <c r="D101" s="11">
        <v>1</v>
      </c>
      <c r="E101" s="92" t="s">
        <v>120</v>
      </c>
      <c r="F101" s="184"/>
      <c r="G101" s="11">
        <v>0</v>
      </c>
      <c r="H101" s="11" t="s">
        <v>172</v>
      </c>
      <c r="I101" s="92">
        <f ca="1">--TRIM(RIGHT(SUBSTITUTE(LEFT(C100,_xlfn.AGGREGATE(16,6,FIND({0,1,2,3,4,5,6,7,8,9},C100,ROW(INDIRECT("1:"&amp;LEN(C100)))),1))," ",REPT(" ",LEN(C100))),LEN(C100)))</f>
        <v>4</v>
      </c>
      <c r="J101" s="93"/>
      <c r="K101" s="12"/>
      <c r="L101" s="13"/>
    </row>
    <row r="102" spans="1:12" ht="15.75" thickBot="1" x14ac:dyDescent="0.3">
      <c r="A102" s="94" t="s">
        <v>173</v>
      </c>
      <c r="B102" s="95"/>
      <c r="C102" s="51" t="str">
        <f>K102</f>
        <v>All work Completed. OC Received.</v>
      </c>
      <c r="D102" s="52"/>
      <c r="E102" s="52"/>
      <c r="F102" s="52"/>
      <c r="G102" s="52"/>
      <c r="H102" s="52"/>
      <c r="I102" s="52"/>
      <c r="J102" s="53"/>
      <c r="K102" s="12" t="s">
        <v>174</v>
      </c>
      <c r="L102" s="13"/>
    </row>
    <row r="103" spans="1:12" ht="15" hidden="1" customHeight="1" x14ac:dyDescent="0.25">
      <c r="A103" s="54" t="s">
        <v>67</v>
      </c>
      <c r="B103" s="55"/>
      <c r="C103" s="27" t="s">
        <v>175</v>
      </c>
      <c r="D103" s="56" t="s">
        <v>176</v>
      </c>
      <c r="E103" s="56"/>
      <c r="F103" s="56" t="s">
        <v>177</v>
      </c>
      <c r="G103" s="56"/>
      <c r="H103" s="56" t="s">
        <v>178</v>
      </c>
      <c r="I103" s="56"/>
      <c r="J103" s="57"/>
      <c r="K103" s="14" t="s">
        <v>179</v>
      </c>
      <c r="L103" s="15">
        <f ca="1">I101*25%</f>
        <v>1</v>
      </c>
    </row>
    <row r="104" spans="1:12" ht="15" hidden="1" customHeight="1" x14ac:dyDescent="0.25">
      <c r="A104" s="58" t="s">
        <v>180</v>
      </c>
      <c r="B104" s="56"/>
      <c r="C104" s="32">
        <f ca="1">L105</f>
        <v>4</v>
      </c>
      <c r="D104" s="45">
        <f ca="1">((100/I101)*C104)/100</f>
        <v>1</v>
      </c>
      <c r="E104" s="46"/>
      <c r="F104" s="59">
        <f ca="1">(((C105/I101*10)+(40/(D101+G101+I101)*C106)+(7.5/(I101)*C107)+(7.5/(I101)*C108)+(10/I101*C109)+(10/I101*C110)+(5/I101*C111)+(5/I101*C112)+(5/I101*C113))/100)</f>
        <v>1</v>
      </c>
      <c r="G104" s="59"/>
      <c r="H104" s="61">
        <f ca="1">((((C104/I101)*20)+((C105/I101)*25)+(30/(I101+G101+D101)*C106)+(5/I101*C107)+(5/I101*C108)+(5/I101*C109)+(5/I101*C110)+(0/I101*C111)+(0/I101*C112)+(5/I101*C113))/100)</f>
        <v>1</v>
      </c>
      <c r="I104" s="62"/>
      <c r="J104" s="63"/>
      <c r="K104" s="14" t="s">
        <v>124</v>
      </c>
      <c r="L104" s="16">
        <f ca="1">I101*50%</f>
        <v>2</v>
      </c>
    </row>
    <row r="105" spans="1:12" ht="15" hidden="1" customHeight="1" x14ac:dyDescent="0.25">
      <c r="A105" s="58" t="s">
        <v>68</v>
      </c>
      <c r="B105" s="56"/>
      <c r="C105" s="33">
        <f ca="1">L113</f>
        <v>4</v>
      </c>
      <c r="D105" s="45">
        <f ca="1">((100/I101)*C105)/100</f>
        <v>1</v>
      </c>
      <c r="E105" s="46"/>
      <c r="F105" s="59"/>
      <c r="G105" s="59"/>
      <c r="H105" s="64"/>
      <c r="I105" s="65"/>
      <c r="J105" s="66"/>
      <c r="K105" s="14" t="s">
        <v>125</v>
      </c>
      <c r="L105" s="16">
        <f ca="1">I101</f>
        <v>4</v>
      </c>
    </row>
    <row r="106" spans="1:12" ht="15" hidden="1" customHeight="1" x14ac:dyDescent="0.25">
      <c r="A106" s="58" t="s">
        <v>181</v>
      </c>
      <c r="B106" s="56"/>
      <c r="C106" s="33">
        <f ca="1">D101+I101</f>
        <v>5</v>
      </c>
      <c r="D106" s="45">
        <f ca="1">((100/(D101+G101+I101))*C106)/100</f>
        <v>1</v>
      </c>
      <c r="E106" s="46"/>
      <c r="F106" s="59"/>
      <c r="G106" s="59"/>
      <c r="H106" s="64"/>
      <c r="I106" s="65"/>
      <c r="J106" s="66"/>
      <c r="K106" s="14" t="s">
        <v>126</v>
      </c>
      <c r="L106" s="17">
        <f ca="1">(IF(B101&gt;1,(I101/(B101+2)),I101/4))</f>
        <v>1</v>
      </c>
    </row>
    <row r="107" spans="1:12" ht="15" hidden="1" customHeight="1" x14ac:dyDescent="0.25">
      <c r="A107" s="58" t="s">
        <v>182</v>
      </c>
      <c r="B107" s="56" t="s">
        <v>183</v>
      </c>
      <c r="C107" s="32">
        <v>4</v>
      </c>
      <c r="D107" s="45">
        <f ca="1">((100/I101)*C107)/100</f>
        <v>1</v>
      </c>
      <c r="E107" s="46"/>
      <c r="F107" s="59"/>
      <c r="G107" s="59"/>
      <c r="H107" s="64"/>
      <c r="I107" s="65"/>
      <c r="J107" s="66"/>
      <c r="K107" s="14" t="s">
        <v>127</v>
      </c>
      <c r="L107" s="17">
        <f ca="1">(IF(B101&gt;1,(I101/(B101+2)+L106),I101/4+L106))</f>
        <v>2</v>
      </c>
    </row>
    <row r="108" spans="1:12" ht="15" hidden="1" customHeight="1" x14ac:dyDescent="0.25">
      <c r="A108" s="58" t="s">
        <v>184</v>
      </c>
      <c r="B108" s="56" t="s">
        <v>183</v>
      </c>
      <c r="C108" s="32">
        <v>4</v>
      </c>
      <c r="D108" s="45">
        <f ca="1">((100/I101)*C108)/100</f>
        <v>1</v>
      </c>
      <c r="E108" s="46"/>
      <c r="F108" s="59"/>
      <c r="G108" s="59"/>
      <c r="H108" s="64"/>
      <c r="I108" s="65"/>
      <c r="J108" s="66"/>
      <c r="K108" s="14" t="s">
        <v>185</v>
      </c>
      <c r="L108" s="17">
        <f>(IF(B101&gt;1,(I101/(B101+2)+L107),0))</f>
        <v>0</v>
      </c>
    </row>
    <row r="109" spans="1:12" ht="15" hidden="1" customHeight="1" x14ac:dyDescent="0.25">
      <c r="A109" s="58" t="s">
        <v>186</v>
      </c>
      <c r="B109" s="56" t="s">
        <v>187</v>
      </c>
      <c r="C109" s="32">
        <v>4</v>
      </c>
      <c r="D109" s="45">
        <f ca="1">((100/(I101))*C109)/100</f>
        <v>1</v>
      </c>
      <c r="E109" s="46"/>
      <c r="F109" s="59"/>
      <c r="G109" s="59"/>
      <c r="H109" s="64"/>
      <c r="I109" s="65"/>
      <c r="J109" s="66"/>
      <c r="K109" s="14" t="s">
        <v>188</v>
      </c>
      <c r="L109" s="17">
        <f>(IF(B101&gt;2,(I101/(B101+2)+L108),0))</f>
        <v>0</v>
      </c>
    </row>
    <row r="110" spans="1:12" ht="15" hidden="1" customHeight="1" x14ac:dyDescent="0.25">
      <c r="A110" s="58" t="s">
        <v>189</v>
      </c>
      <c r="B110" s="56" t="s">
        <v>189</v>
      </c>
      <c r="C110" s="32">
        <v>4</v>
      </c>
      <c r="D110" s="45">
        <f ca="1">((100/I101)*C110)/100</f>
        <v>1</v>
      </c>
      <c r="E110" s="46"/>
      <c r="F110" s="59"/>
      <c r="G110" s="59"/>
      <c r="H110" s="64"/>
      <c r="I110" s="65"/>
      <c r="J110" s="66"/>
      <c r="K110" s="14" t="s">
        <v>190</v>
      </c>
      <c r="L110" s="18">
        <f>(IF(B101&gt;3,(I101/(B101+2)+L109),0))</f>
        <v>0</v>
      </c>
    </row>
    <row r="111" spans="1:12" ht="15" hidden="1" customHeight="1" x14ac:dyDescent="0.25">
      <c r="A111" s="58" t="s">
        <v>191</v>
      </c>
      <c r="B111" s="56"/>
      <c r="C111" s="32">
        <v>4</v>
      </c>
      <c r="D111" s="45">
        <f ca="1">((100/I101)*C111)/100</f>
        <v>1</v>
      </c>
      <c r="E111" s="46"/>
      <c r="F111" s="59"/>
      <c r="G111" s="59"/>
      <c r="H111" s="64"/>
      <c r="I111" s="65"/>
      <c r="J111" s="66"/>
      <c r="K111" s="14" t="s">
        <v>192</v>
      </c>
      <c r="L111" s="17">
        <f>(IF(B101&gt;4,(I101/(B101+2)+L110),0))</f>
        <v>0</v>
      </c>
    </row>
    <row r="112" spans="1:12" ht="15" hidden="1" customHeight="1" x14ac:dyDescent="0.25">
      <c r="A112" s="58" t="s">
        <v>193</v>
      </c>
      <c r="B112" s="56" t="s">
        <v>193</v>
      </c>
      <c r="C112" s="32">
        <v>4</v>
      </c>
      <c r="D112" s="45">
        <f ca="1">((100/(I101))*C112)/100</f>
        <v>1</v>
      </c>
      <c r="E112" s="46"/>
      <c r="F112" s="59"/>
      <c r="G112" s="59"/>
      <c r="H112" s="64"/>
      <c r="I112" s="65"/>
      <c r="J112" s="66"/>
      <c r="K112" s="14" t="s">
        <v>128</v>
      </c>
      <c r="L112" s="17">
        <f ca="1">(IF(B101=1,(I101/(B101+3)+L107),IF(B101=0,(I101/4+L107),IF(B101&gt;1,0))))</f>
        <v>3</v>
      </c>
    </row>
    <row r="113" spans="1:12" ht="15" hidden="1" customHeight="1" thickBot="1" x14ac:dyDescent="0.3">
      <c r="A113" s="47" t="s">
        <v>194</v>
      </c>
      <c r="B113" s="48"/>
      <c r="C113" s="34">
        <v>4</v>
      </c>
      <c r="D113" s="49">
        <f ca="1">((100/(I101))*C113)/100</f>
        <v>1</v>
      </c>
      <c r="E113" s="50"/>
      <c r="F113" s="60"/>
      <c r="G113" s="60"/>
      <c r="H113" s="67"/>
      <c r="I113" s="68"/>
      <c r="J113" s="69"/>
      <c r="K113" s="19" t="s">
        <v>129</v>
      </c>
      <c r="L113" s="20">
        <f ca="1">(IF(B101&gt;1.5,(I101/(B101+2)+L107+MAX(0,L108-L107)+MAX(0,L109-L108)+MAX(0,L110-L109)+MAX(0,L111-L110)+MAX(0,L112-L111)),IF(B101=1,(I101/(B101+3)+L112),IF(B101=0,I101/4+L112))))</f>
        <v>4</v>
      </c>
    </row>
    <row r="114" spans="1:12" ht="30.75" customHeight="1" thickBot="1" x14ac:dyDescent="0.3">
      <c r="A114" s="188" t="s">
        <v>177</v>
      </c>
      <c r="B114" s="189"/>
      <c r="C114" s="190">
        <f ca="1">F104</f>
        <v>1</v>
      </c>
      <c r="D114" s="191"/>
      <c r="E114" s="192"/>
      <c r="F114" s="193" t="s">
        <v>178</v>
      </c>
      <c r="G114" s="194"/>
      <c r="H114" s="193">
        <f ca="1">H104</f>
        <v>1</v>
      </c>
      <c r="I114" s="195"/>
      <c r="J114" s="194"/>
      <c r="K114" s="19" t="s">
        <v>129</v>
      </c>
      <c r="L114" s="20">
        <f ca="1">(IF(B102&gt;1.5,(I102/(B102+2)+L108+MAX(0,L109-L108)+MAX(0,L110-L109)+MAX(0,L111-L110)+MAX(0,L112-L111)+MAX(0,L113-L112)),IF(B102=1,(I102/(B102+3)+L113),IF(B102=0,I102/4+L113))))</f>
        <v>4</v>
      </c>
    </row>
    <row r="115" spans="1:12" x14ac:dyDescent="0.25">
      <c r="A115" s="142" t="s">
        <v>155</v>
      </c>
      <c r="B115" s="143"/>
      <c r="C115" s="143"/>
      <c r="D115" s="143"/>
      <c r="E115" s="143"/>
      <c r="F115" s="197"/>
      <c r="G115" s="197"/>
      <c r="H115" s="197"/>
      <c r="I115" s="197"/>
      <c r="J115" s="198"/>
    </row>
    <row r="116" spans="1:12" x14ac:dyDescent="0.25">
      <c r="A116" s="103" t="s">
        <v>69</v>
      </c>
      <c r="B116" s="104"/>
      <c r="C116" s="104"/>
      <c r="D116" s="104"/>
      <c r="E116" s="104"/>
      <c r="F116" s="104"/>
      <c r="G116" s="104"/>
      <c r="H116" s="104"/>
      <c r="I116" s="104"/>
      <c r="J116" s="105"/>
    </row>
    <row r="117" spans="1:12" ht="15" customHeight="1" x14ac:dyDescent="0.25">
      <c r="A117" s="80" t="s">
        <v>247</v>
      </c>
      <c r="B117" s="81"/>
      <c r="C117" s="82" t="s">
        <v>248</v>
      </c>
      <c r="D117" s="83"/>
      <c r="E117" s="83"/>
      <c r="F117" s="83"/>
      <c r="G117" s="83"/>
      <c r="H117" s="83"/>
      <c r="I117" s="83"/>
      <c r="J117" s="84"/>
    </row>
    <row r="118" spans="1:12" x14ac:dyDescent="0.25">
      <c r="A118" s="89" t="s">
        <v>70</v>
      </c>
      <c r="B118" s="90"/>
      <c r="C118" s="90"/>
      <c r="D118" s="90"/>
      <c r="E118" s="90"/>
      <c r="F118" s="90"/>
      <c r="G118" s="90"/>
      <c r="H118" s="90"/>
      <c r="I118" s="90"/>
      <c r="J118" s="91"/>
    </row>
    <row r="119" spans="1:12" x14ac:dyDescent="0.25">
      <c r="A119" s="73" t="s">
        <v>130</v>
      </c>
      <c r="B119" s="73"/>
      <c r="C119" s="73"/>
      <c r="D119" s="73"/>
      <c r="E119" s="73"/>
      <c r="F119" s="73"/>
      <c r="G119" s="73">
        <v>3500</v>
      </c>
      <c r="H119" s="73"/>
      <c r="I119" s="73"/>
      <c r="J119" s="73"/>
    </row>
    <row r="120" spans="1:12" x14ac:dyDescent="0.25">
      <c r="A120" s="86" t="s">
        <v>131</v>
      </c>
      <c r="B120" s="86"/>
      <c r="C120" s="86"/>
      <c r="D120" s="86"/>
      <c r="E120" s="86"/>
      <c r="F120" s="86"/>
      <c r="G120" s="86" t="s">
        <v>252</v>
      </c>
      <c r="H120" s="86"/>
      <c r="I120" s="86"/>
      <c r="J120" s="86"/>
    </row>
    <row r="121" spans="1:12" x14ac:dyDescent="0.25">
      <c r="A121" s="86" t="s">
        <v>71</v>
      </c>
      <c r="B121" s="86"/>
      <c r="C121" s="86"/>
      <c r="D121" s="86"/>
      <c r="E121" s="86"/>
      <c r="F121" s="86"/>
      <c r="G121" s="87" t="s">
        <v>250</v>
      </c>
      <c r="H121" s="87"/>
      <c r="I121" s="87"/>
      <c r="J121" s="87"/>
    </row>
    <row r="122" spans="1:12" s="22" customFormat="1" ht="14.45" customHeight="1" x14ac:dyDescent="0.25">
      <c r="A122" s="88" t="s">
        <v>72</v>
      </c>
      <c r="B122" s="88"/>
      <c r="C122" s="88"/>
      <c r="D122" s="88"/>
      <c r="E122" s="88"/>
      <c r="F122" s="88"/>
      <c r="G122" s="73">
        <f>G119*0.8</f>
        <v>2800</v>
      </c>
      <c r="H122" s="73"/>
      <c r="I122" s="73"/>
      <c r="J122" s="73"/>
    </row>
    <row r="123" spans="1:12" s="23" customFormat="1" ht="15.75" customHeight="1" x14ac:dyDescent="0.25">
      <c r="A123" s="79" t="s">
        <v>132</v>
      </c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2" s="23" customFormat="1" ht="15.75" customHeight="1" x14ac:dyDescent="0.25">
      <c r="A124" s="77" t="s">
        <v>73</v>
      </c>
      <c r="B124" s="77"/>
      <c r="C124" s="35" t="s">
        <v>137</v>
      </c>
      <c r="D124" s="78" t="s">
        <v>74</v>
      </c>
      <c r="E124" s="78"/>
      <c r="F124" s="78"/>
      <c r="G124" s="77" t="s">
        <v>75</v>
      </c>
      <c r="H124" s="77"/>
      <c r="I124" s="77"/>
      <c r="J124" s="77"/>
    </row>
    <row r="125" spans="1:12" s="23" customFormat="1" x14ac:dyDescent="0.25">
      <c r="A125" s="74" t="s">
        <v>148</v>
      </c>
      <c r="B125" s="74"/>
      <c r="C125" s="36">
        <f>COUNT(D140:E148)</f>
        <v>9</v>
      </c>
      <c r="D125" s="75">
        <f>SUM(D140:E148)</f>
        <v>1295.87796</v>
      </c>
      <c r="E125" s="75"/>
      <c r="F125" s="75"/>
      <c r="G125" s="76">
        <f>SUM(D140:E148)</f>
        <v>1295.87796</v>
      </c>
      <c r="H125" s="76"/>
      <c r="I125" s="76"/>
      <c r="J125" s="76"/>
    </row>
    <row r="126" spans="1:12" s="23" customFormat="1" x14ac:dyDescent="0.25">
      <c r="A126" s="74" t="s">
        <v>149</v>
      </c>
      <c r="B126" s="74"/>
      <c r="C126" s="36">
        <f>COUNT(D159:E170)</f>
        <v>12</v>
      </c>
      <c r="D126" s="75">
        <f>SUM(D159:E170)</f>
        <v>1834.61616</v>
      </c>
      <c r="E126" s="75"/>
      <c r="F126" s="75"/>
      <c r="G126" s="76">
        <f>SUM(D159:E170)</f>
        <v>1834.61616</v>
      </c>
      <c r="H126" s="76"/>
      <c r="I126" s="76"/>
      <c r="J126" s="76"/>
    </row>
    <row r="127" spans="1:12" s="23" customFormat="1" x14ac:dyDescent="0.25">
      <c r="A127" s="79" t="s">
        <v>77</v>
      </c>
      <c r="B127" s="79"/>
      <c r="C127" s="37">
        <f>SUM(C125:C126)</f>
        <v>21</v>
      </c>
      <c r="D127" s="85">
        <f>SUM(D125:F126)</f>
        <v>3130.4941200000003</v>
      </c>
      <c r="E127" s="85"/>
      <c r="F127" s="85"/>
      <c r="G127" s="77">
        <f>SUM(G125:J126)</f>
        <v>3130.4941200000003</v>
      </c>
      <c r="H127" s="77"/>
      <c r="I127" s="77"/>
      <c r="J127" s="77"/>
    </row>
    <row r="128" spans="1:12" s="23" customFormat="1" x14ac:dyDescent="0.25">
      <c r="A128" s="79" t="s">
        <v>118</v>
      </c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7" s="23" customFormat="1" x14ac:dyDescent="0.25">
      <c r="A129" s="77" t="s">
        <v>73</v>
      </c>
      <c r="B129" s="77"/>
      <c r="C129" s="35" t="s">
        <v>137</v>
      </c>
      <c r="D129" s="78" t="s">
        <v>74</v>
      </c>
      <c r="E129" s="78"/>
      <c r="F129" s="78"/>
      <c r="G129" s="77" t="s">
        <v>75</v>
      </c>
      <c r="H129" s="77"/>
      <c r="I129" s="77"/>
      <c r="J129" s="77"/>
    </row>
    <row r="130" spans="1:17" s="23" customFormat="1" x14ac:dyDescent="0.25">
      <c r="A130" s="74" t="s">
        <v>148</v>
      </c>
      <c r="B130" s="74"/>
      <c r="C130" s="36">
        <f>COUNT(D150:E156)</f>
        <v>7</v>
      </c>
      <c r="D130" s="75">
        <f>SUM(D150:E156)</f>
        <v>2592.0788399999992</v>
      </c>
      <c r="E130" s="75"/>
      <c r="F130" s="75"/>
      <c r="G130" s="76">
        <f>SUM(G150:G156)</f>
        <v>3888.1182599999997</v>
      </c>
      <c r="H130" s="76"/>
      <c r="I130" s="76"/>
      <c r="J130" s="76"/>
      <c r="L130" s="43">
        <f>SUM(D127,D134)</f>
        <v>62959.066559999999</v>
      </c>
    </row>
    <row r="131" spans="1:17" s="23" customFormat="1" x14ac:dyDescent="0.25">
      <c r="A131" s="74" t="s">
        <v>149</v>
      </c>
      <c r="B131" s="74"/>
      <c r="C131" s="36">
        <f>COUNT(D172:E182)+COUNT(D184:E194)*3+COUNT(D196:E206)*3</f>
        <v>77</v>
      </c>
      <c r="D131" s="75">
        <f>SUM(D172:E182)+SUM(D184:E194)*3+SUM(D196:E206)*3</f>
        <v>27862.506359999999</v>
      </c>
      <c r="E131" s="75"/>
      <c r="F131" s="75"/>
      <c r="G131" s="76">
        <f>SUM(G172:G182)+SUM(G184:G194)*3+SUM(G196:G206)*3</f>
        <v>41793.759539999999</v>
      </c>
      <c r="H131" s="76"/>
      <c r="I131" s="76"/>
      <c r="J131" s="76"/>
    </row>
    <row r="132" spans="1:17" s="23" customFormat="1" x14ac:dyDescent="0.25">
      <c r="A132" s="74" t="s">
        <v>152</v>
      </c>
      <c r="B132" s="74"/>
      <c r="C132" s="38">
        <f>COUNT(D209:E215)+COUNT(D217:E227)*4</f>
        <v>51</v>
      </c>
      <c r="D132" s="75">
        <f>SUM(D209:E215)+SUM(D217:E227)*4</f>
        <v>17978.571</v>
      </c>
      <c r="E132" s="75"/>
      <c r="F132" s="75"/>
      <c r="G132" s="76">
        <f>SUM(G209:G215)+SUM(G217:G227)*4</f>
        <v>26967.856499999994</v>
      </c>
      <c r="H132" s="76"/>
      <c r="I132" s="76"/>
      <c r="J132" s="76"/>
    </row>
    <row r="133" spans="1:17" s="23" customFormat="1" x14ac:dyDescent="0.25">
      <c r="A133" s="74" t="s">
        <v>151</v>
      </c>
      <c r="B133" s="74"/>
      <c r="C133" s="38">
        <f>COUNT(D230:E233)+COUNT(D235:E242)*3+COUNT(D244:E251)</f>
        <v>36</v>
      </c>
      <c r="D133" s="75">
        <f>SUM(D230:E233)+SUM(D235:E242)*3+SUM(D244:E251)</f>
        <v>11395.41624</v>
      </c>
      <c r="E133" s="75"/>
      <c r="F133" s="75"/>
      <c r="G133" s="76">
        <f>SUM(G230:G233)+SUM(G235:G242)*3+SUM(G244:G251)</f>
        <v>17093.124359999998</v>
      </c>
      <c r="H133" s="76"/>
      <c r="I133" s="76"/>
      <c r="J133" s="76"/>
      <c r="L133" s="23">
        <f>134+21+15</f>
        <v>170</v>
      </c>
    </row>
    <row r="134" spans="1:17" s="23" customFormat="1" x14ac:dyDescent="0.25">
      <c r="A134" s="79" t="s">
        <v>77</v>
      </c>
      <c r="B134" s="79"/>
      <c r="C134" s="37">
        <f>SUM(C130:C133)</f>
        <v>171</v>
      </c>
      <c r="D134" s="85">
        <f>SUM(D130:F133)</f>
        <v>59828.572439999996</v>
      </c>
      <c r="E134" s="85"/>
      <c r="F134" s="85"/>
      <c r="G134" s="77">
        <f>SUM(G130:J133)</f>
        <v>89742.858659999998</v>
      </c>
      <c r="H134" s="77"/>
      <c r="I134" s="77"/>
      <c r="J134" s="77"/>
    </row>
    <row r="135" spans="1:17" s="22" customFormat="1" x14ac:dyDescent="0.25">
      <c r="A135" s="177" t="s">
        <v>78</v>
      </c>
      <c r="B135" s="177"/>
      <c r="C135" s="177"/>
      <c r="D135" s="177"/>
      <c r="E135" s="177"/>
      <c r="F135" s="177"/>
      <c r="G135" s="177"/>
      <c r="H135" s="177"/>
      <c r="I135" s="177"/>
      <c r="J135" s="177"/>
    </row>
    <row r="136" spans="1:17" x14ac:dyDescent="0.25">
      <c r="A136" s="177" t="s">
        <v>79</v>
      </c>
      <c r="B136" s="177"/>
      <c r="C136" s="177"/>
      <c r="D136" s="177"/>
      <c r="E136" s="177"/>
      <c r="F136" s="177"/>
      <c r="G136" s="177"/>
      <c r="H136" s="177"/>
      <c r="I136" s="177"/>
      <c r="J136" s="177"/>
    </row>
    <row r="137" spans="1:17" ht="42.75" x14ac:dyDescent="0.25">
      <c r="A137" s="178" t="s">
        <v>133</v>
      </c>
      <c r="B137" s="178"/>
      <c r="C137" s="29" t="s">
        <v>80</v>
      </c>
      <c r="D137" s="178" t="s">
        <v>81</v>
      </c>
      <c r="E137" s="178"/>
      <c r="F137" s="29" t="s">
        <v>82</v>
      </c>
      <c r="G137" s="29" t="s">
        <v>251</v>
      </c>
      <c r="H137" s="29" t="s">
        <v>83</v>
      </c>
      <c r="I137" s="178" t="s">
        <v>84</v>
      </c>
      <c r="J137" s="178"/>
    </row>
    <row r="138" spans="1:17" s="24" customFormat="1" x14ac:dyDescent="0.25">
      <c r="A138" s="72" t="s">
        <v>148</v>
      </c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7" s="24" customFormat="1" x14ac:dyDescent="0.25">
      <c r="A139" s="72" t="s">
        <v>197</v>
      </c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7" s="24" customFormat="1" ht="15.75" customHeight="1" x14ac:dyDescent="0.25">
      <c r="A140" s="71">
        <v>13</v>
      </c>
      <c r="B140" s="71"/>
      <c r="C140" s="26" t="s">
        <v>150</v>
      </c>
      <c r="D140" s="71">
        <f>17*10.764</f>
        <v>182.988</v>
      </c>
      <c r="E140" s="71"/>
      <c r="F140" s="26">
        <v>0</v>
      </c>
      <c r="G140" s="26">
        <f>D140*1.6+F140</f>
        <v>292.7808</v>
      </c>
      <c r="H140" s="26" t="s">
        <v>85</v>
      </c>
      <c r="I140" s="71" t="str">
        <f>A139</f>
        <v xml:space="preserve">Ground Floor for Commercial &amp; Parking </v>
      </c>
      <c r="J140" s="71"/>
      <c r="L140" s="196" t="s">
        <v>246</v>
      </c>
      <c r="M140" s="196"/>
      <c r="N140" s="196"/>
      <c r="O140" s="196"/>
      <c r="P140" s="196"/>
      <c r="Q140" s="196"/>
    </row>
    <row r="141" spans="1:17" s="24" customFormat="1" ht="15.75" customHeight="1" x14ac:dyDescent="0.25">
      <c r="A141" s="71">
        <v>14</v>
      </c>
      <c r="B141" s="71"/>
      <c r="C141" s="26" t="s">
        <v>150</v>
      </c>
      <c r="D141" s="71">
        <f>10.41*10.764</f>
        <v>112.05323999999999</v>
      </c>
      <c r="E141" s="71"/>
      <c r="F141" s="26">
        <v>0</v>
      </c>
      <c r="G141" s="26">
        <f t="shared" ref="G141:G148" si="0">D141*1.6+F141</f>
        <v>179.28518399999999</v>
      </c>
      <c r="H141" s="26" t="s">
        <v>85</v>
      </c>
      <c r="I141" s="71"/>
      <c r="J141" s="71"/>
    </row>
    <row r="142" spans="1:17" s="24" customFormat="1" ht="15.75" customHeight="1" x14ac:dyDescent="0.25">
      <c r="A142" s="71">
        <v>15</v>
      </c>
      <c r="B142" s="71"/>
      <c r="C142" s="26" t="s">
        <v>150</v>
      </c>
      <c r="D142" s="71">
        <f>10.41*10.764</f>
        <v>112.05323999999999</v>
      </c>
      <c r="E142" s="71"/>
      <c r="F142" s="26">
        <v>0</v>
      </c>
      <c r="G142" s="26">
        <f t="shared" si="0"/>
        <v>179.28518399999999</v>
      </c>
      <c r="H142" s="26" t="s">
        <v>85</v>
      </c>
      <c r="I142" s="71"/>
      <c r="J142" s="71"/>
    </row>
    <row r="143" spans="1:17" s="24" customFormat="1" ht="15.75" customHeight="1" x14ac:dyDescent="0.25">
      <c r="A143" s="71">
        <v>16</v>
      </c>
      <c r="B143" s="71"/>
      <c r="C143" s="26" t="s">
        <v>150</v>
      </c>
      <c r="D143" s="71">
        <f>17*10.764</f>
        <v>182.988</v>
      </c>
      <c r="E143" s="71"/>
      <c r="F143" s="26">
        <v>0</v>
      </c>
      <c r="G143" s="26">
        <f t="shared" si="0"/>
        <v>292.7808</v>
      </c>
      <c r="H143" s="26" t="s">
        <v>85</v>
      </c>
      <c r="I143" s="71"/>
      <c r="J143" s="71"/>
    </row>
    <row r="144" spans="1:17" s="24" customFormat="1" ht="15.75" customHeight="1" x14ac:dyDescent="0.25">
      <c r="A144" s="71">
        <v>17</v>
      </c>
      <c r="B144" s="71"/>
      <c r="C144" s="26" t="s">
        <v>150</v>
      </c>
      <c r="D144" s="71">
        <f>17*10.764</f>
        <v>182.988</v>
      </c>
      <c r="E144" s="71"/>
      <c r="F144" s="26">
        <v>0</v>
      </c>
      <c r="G144" s="26">
        <f t="shared" si="0"/>
        <v>292.7808</v>
      </c>
      <c r="H144" s="26" t="s">
        <v>85</v>
      </c>
      <c r="I144" s="71"/>
      <c r="J144" s="71"/>
    </row>
    <row r="145" spans="1:13" s="24" customFormat="1" ht="15.75" customHeight="1" x14ac:dyDescent="0.25">
      <c r="A145" s="71">
        <v>18.190000000000001</v>
      </c>
      <c r="B145" s="71"/>
      <c r="C145" s="26" t="s">
        <v>150</v>
      </c>
      <c r="D145" s="71">
        <f>10.41*10.764</f>
        <v>112.05323999999999</v>
      </c>
      <c r="E145" s="71"/>
      <c r="F145" s="26">
        <v>0</v>
      </c>
      <c r="G145" s="26">
        <f t="shared" si="0"/>
        <v>179.28518399999999</v>
      </c>
      <c r="H145" s="26" t="s">
        <v>85</v>
      </c>
      <c r="I145" s="71"/>
      <c r="J145" s="71"/>
    </row>
    <row r="146" spans="1:13" s="24" customFormat="1" ht="15.75" customHeight="1" x14ac:dyDescent="0.25">
      <c r="A146" s="71">
        <v>19</v>
      </c>
      <c r="B146" s="71"/>
      <c r="C146" s="26" t="s">
        <v>150</v>
      </c>
      <c r="D146" s="71">
        <f>10.41*10.764</f>
        <v>112.05323999999999</v>
      </c>
      <c r="E146" s="71"/>
      <c r="F146" s="26">
        <v>0</v>
      </c>
      <c r="G146" s="26">
        <f t="shared" si="0"/>
        <v>179.28518399999999</v>
      </c>
      <c r="H146" s="26" t="s">
        <v>85</v>
      </c>
      <c r="I146" s="71"/>
      <c r="J146" s="71"/>
    </row>
    <row r="147" spans="1:13" s="24" customFormat="1" ht="15.75" customHeight="1" x14ac:dyDescent="0.25">
      <c r="A147" s="71">
        <v>20</v>
      </c>
      <c r="B147" s="71"/>
      <c r="C147" s="26" t="s">
        <v>150</v>
      </c>
      <c r="D147" s="71">
        <f>17*10.764</f>
        <v>182.988</v>
      </c>
      <c r="E147" s="71"/>
      <c r="F147" s="26">
        <v>0</v>
      </c>
      <c r="G147" s="26">
        <f t="shared" si="0"/>
        <v>292.7808</v>
      </c>
      <c r="H147" s="26" t="s">
        <v>85</v>
      </c>
      <c r="I147" s="71"/>
      <c r="J147" s="71"/>
    </row>
    <row r="148" spans="1:13" s="24" customFormat="1" ht="15.75" customHeight="1" x14ac:dyDescent="0.25">
      <c r="A148" s="71">
        <v>21</v>
      </c>
      <c r="B148" s="71"/>
      <c r="C148" s="26" t="s">
        <v>150</v>
      </c>
      <c r="D148" s="71">
        <f>10.75*10.764</f>
        <v>115.71299999999999</v>
      </c>
      <c r="E148" s="71"/>
      <c r="F148" s="26">
        <v>0</v>
      </c>
      <c r="G148" s="26">
        <f t="shared" si="0"/>
        <v>185.14080000000001</v>
      </c>
      <c r="H148" s="26" t="s">
        <v>85</v>
      </c>
      <c r="I148" s="71"/>
      <c r="J148" s="71"/>
    </row>
    <row r="149" spans="1:13" s="24" customFormat="1" x14ac:dyDescent="0.25">
      <c r="A149" s="72" t="s">
        <v>198</v>
      </c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3" s="24" customFormat="1" ht="15.75" customHeight="1" x14ac:dyDescent="0.25">
      <c r="A150" s="71">
        <v>101</v>
      </c>
      <c r="B150" s="71"/>
      <c r="C150" s="26" t="s">
        <v>153</v>
      </c>
      <c r="D150" s="71">
        <f>(28.02+(0.75*(2.75+1)))*10.764</f>
        <v>331.88102999999995</v>
      </c>
      <c r="E150" s="71"/>
      <c r="F150" s="26">
        <v>0</v>
      </c>
      <c r="G150" s="26">
        <f>D150*1.5+F150</f>
        <v>497.8215449999999</v>
      </c>
      <c r="H150" s="26" t="s">
        <v>85</v>
      </c>
      <c r="I150" s="71" t="str">
        <f>A149</f>
        <v>1st Floor for Residential</v>
      </c>
      <c r="J150" s="71"/>
      <c r="L150" s="24">
        <f>G150*3500</f>
        <v>1742375.4074999997</v>
      </c>
      <c r="M150" s="44">
        <f>G150/D150</f>
        <v>1.5</v>
      </c>
    </row>
    <row r="151" spans="1:13" s="24" customFormat="1" ht="15.75" customHeight="1" x14ac:dyDescent="0.25">
      <c r="A151" s="71">
        <v>102</v>
      </c>
      <c r="B151" s="71"/>
      <c r="C151" s="26" t="s">
        <v>153</v>
      </c>
      <c r="D151" s="71">
        <f>(28.02+(0.75*(2.75+1)))*10.764</f>
        <v>331.88102999999995</v>
      </c>
      <c r="E151" s="71"/>
      <c r="F151" s="26">
        <v>0</v>
      </c>
      <c r="G151" s="26">
        <f t="shared" ref="G151:G156" si="1">D151*1.5+F151</f>
        <v>497.8215449999999</v>
      </c>
      <c r="H151" s="26" t="s">
        <v>85</v>
      </c>
      <c r="I151" s="71"/>
      <c r="J151" s="71"/>
      <c r="L151" s="24">
        <f t="shared" ref="L151:L156" si="2">G151*3500</f>
        <v>1742375.4074999997</v>
      </c>
    </row>
    <row r="152" spans="1:13" s="24" customFormat="1" ht="15.75" customHeight="1" x14ac:dyDescent="0.25">
      <c r="A152" s="71">
        <v>103</v>
      </c>
      <c r="B152" s="71"/>
      <c r="C152" s="26" t="s">
        <v>154</v>
      </c>
      <c r="D152" s="71">
        <f>(32.42+9.43+(0.75*(2.5+2)))*10.764</f>
        <v>486.80189999999999</v>
      </c>
      <c r="E152" s="71"/>
      <c r="F152" s="26">
        <v>0</v>
      </c>
      <c r="G152" s="26">
        <f t="shared" si="1"/>
        <v>730.20285000000001</v>
      </c>
      <c r="H152" s="26" t="s">
        <v>85</v>
      </c>
      <c r="I152" s="71"/>
      <c r="J152" s="71"/>
      <c r="L152" s="24">
        <f t="shared" si="2"/>
        <v>2555709.9750000001</v>
      </c>
    </row>
    <row r="153" spans="1:13" s="24" customFormat="1" ht="15.75" customHeight="1" x14ac:dyDescent="0.25">
      <c r="A153" s="71">
        <v>104</v>
      </c>
      <c r="B153" s="71"/>
      <c r="C153" s="26" t="s">
        <v>153</v>
      </c>
      <c r="D153" s="71">
        <f>(28.13+4.6+1*0.75)*10.764</f>
        <v>360.37871999999993</v>
      </c>
      <c r="E153" s="71"/>
      <c r="F153" s="26">
        <v>0</v>
      </c>
      <c r="G153" s="26">
        <f t="shared" si="1"/>
        <v>540.5680799999999</v>
      </c>
      <c r="H153" s="26" t="s">
        <v>85</v>
      </c>
      <c r="I153" s="71"/>
      <c r="J153" s="71"/>
      <c r="L153" s="24">
        <f t="shared" si="2"/>
        <v>1891988.2799999996</v>
      </c>
    </row>
    <row r="154" spans="1:13" s="24" customFormat="1" ht="15.75" customHeight="1" x14ac:dyDescent="0.25">
      <c r="A154" s="71">
        <v>105</v>
      </c>
      <c r="B154" s="71"/>
      <c r="C154" s="26" t="s">
        <v>153</v>
      </c>
      <c r="D154" s="71">
        <f>(28.13+4.6+0.75*1)*10.764</f>
        <v>360.37871999999993</v>
      </c>
      <c r="E154" s="71"/>
      <c r="F154" s="26">
        <v>0</v>
      </c>
      <c r="G154" s="26">
        <f t="shared" si="1"/>
        <v>540.5680799999999</v>
      </c>
      <c r="H154" s="26" t="s">
        <v>85</v>
      </c>
      <c r="I154" s="71"/>
      <c r="J154" s="71"/>
      <c r="L154" s="24">
        <f t="shared" si="2"/>
        <v>1891988.2799999996</v>
      </c>
    </row>
    <row r="155" spans="1:13" s="24" customFormat="1" ht="15.75" customHeight="1" x14ac:dyDescent="0.25">
      <c r="A155" s="71">
        <v>106</v>
      </c>
      <c r="B155" s="71"/>
      <c r="C155" s="26" t="s">
        <v>153</v>
      </c>
      <c r="D155" s="71">
        <f t="shared" ref="D155:D156" si="3">(28.13+4.6+0.75*1)*10.764</f>
        <v>360.37871999999993</v>
      </c>
      <c r="E155" s="71"/>
      <c r="F155" s="26">
        <v>0</v>
      </c>
      <c r="G155" s="26">
        <f t="shared" si="1"/>
        <v>540.5680799999999</v>
      </c>
      <c r="H155" s="26" t="s">
        <v>85</v>
      </c>
      <c r="I155" s="71"/>
      <c r="J155" s="71"/>
      <c r="L155" s="24">
        <f t="shared" si="2"/>
        <v>1891988.2799999996</v>
      </c>
    </row>
    <row r="156" spans="1:13" s="24" customFormat="1" ht="15.75" customHeight="1" x14ac:dyDescent="0.25">
      <c r="A156" s="71">
        <v>107</v>
      </c>
      <c r="B156" s="71"/>
      <c r="C156" s="26" t="s">
        <v>153</v>
      </c>
      <c r="D156" s="71">
        <f t="shared" si="3"/>
        <v>360.37871999999993</v>
      </c>
      <c r="E156" s="71"/>
      <c r="F156" s="26">
        <v>0</v>
      </c>
      <c r="G156" s="26">
        <f t="shared" si="1"/>
        <v>540.5680799999999</v>
      </c>
      <c r="H156" s="26" t="s">
        <v>85</v>
      </c>
      <c r="I156" s="71"/>
      <c r="J156" s="71"/>
      <c r="L156" s="24">
        <f t="shared" si="2"/>
        <v>1891988.2799999996</v>
      </c>
    </row>
    <row r="157" spans="1:13" s="24" customFormat="1" x14ac:dyDescent="0.25">
      <c r="A157" s="72" t="s">
        <v>149</v>
      </c>
      <c r="B157" s="72"/>
      <c r="C157" s="72"/>
      <c r="D157" s="72"/>
      <c r="E157" s="72"/>
      <c r="F157" s="72"/>
      <c r="G157" s="72"/>
      <c r="H157" s="72"/>
      <c r="I157" s="72"/>
      <c r="J157" s="72"/>
    </row>
    <row r="158" spans="1:13" s="24" customFormat="1" x14ac:dyDescent="0.25">
      <c r="A158" s="72" t="s">
        <v>197</v>
      </c>
      <c r="B158" s="72"/>
      <c r="C158" s="72"/>
      <c r="D158" s="72"/>
      <c r="E158" s="72"/>
      <c r="F158" s="72"/>
      <c r="G158" s="72"/>
      <c r="H158" s="72"/>
      <c r="I158" s="72"/>
      <c r="J158" s="72"/>
    </row>
    <row r="159" spans="1:13" s="24" customFormat="1" ht="15.75" customHeight="1" x14ac:dyDescent="0.25">
      <c r="A159" s="71">
        <v>1</v>
      </c>
      <c r="B159" s="71"/>
      <c r="C159" s="26" t="s">
        <v>150</v>
      </c>
      <c r="D159" s="71">
        <f>17.49*10.764</f>
        <v>188.26235999999997</v>
      </c>
      <c r="E159" s="71"/>
      <c r="F159" s="26">
        <v>0</v>
      </c>
      <c r="G159" s="26">
        <f>D159*1.6+F159</f>
        <v>301.21977599999997</v>
      </c>
      <c r="H159" s="26" t="s">
        <v>85</v>
      </c>
      <c r="I159" s="71" t="s">
        <v>164</v>
      </c>
      <c r="J159" s="71"/>
    </row>
    <row r="160" spans="1:13" s="24" customFormat="1" ht="15.75" customHeight="1" x14ac:dyDescent="0.25">
      <c r="A160" s="71">
        <v>2</v>
      </c>
      <c r="B160" s="71"/>
      <c r="C160" s="26" t="s">
        <v>150</v>
      </c>
      <c r="D160" s="71">
        <f>15.9*10.764</f>
        <v>171.14759999999998</v>
      </c>
      <c r="E160" s="71"/>
      <c r="F160" s="26">
        <v>0</v>
      </c>
      <c r="G160" s="26">
        <f t="shared" ref="G160:G170" si="4">D160*1.6+F160</f>
        <v>273.83616000000001</v>
      </c>
      <c r="H160" s="26" t="s">
        <v>85</v>
      </c>
      <c r="I160" s="71"/>
      <c r="J160" s="71"/>
    </row>
    <row r="161" spans="1:12" s="24" customFormat="1" ht="15.75" customHeight="1" x14ac:dyDescent="0.25">
      <c r="A161" s="71">
        <v>3</v>
      </c>
      <c r="B161" s="71"/>
      <c r="C161" s="26" t="s">
        <v>150</v>
      </c>
      <c r="D161" s="71">
        <f>17*10.764</f>
        <v>182.988</v>
      </c>
      <c r="E161" s="71"/>
      <c r="F161" s="26">
        <v>0</v>
      </c>
      <c r="G161" s="26">
        <f t="shared" si="4"/>
        <v>292.7808</v>
      </c>
      <c r="H161" s="26" t="s">
        <v>85</v>
      </c>
      <c r="I161" s="71"/>
      <c r="J161" s="71"/>
    </row>
    <row r="162" spans="1:12" s="24" customFormat="1" ht="15.75" customHeight="1" x14ac:dyDescent="0.25">
      <c r="A162" s="71">
        <v>4</v>
      </c>
      <c r="B162" s="71"/>
      <c r="C162" s="26" t="s">
        <v>150</v>
      </c>
      <c r="D162" s="71">
        <f>10.41*10.764</f>
        <v>112.05323999999999</v>
      </c>
      <c r="E162" s="71"/>
      <c r="F162" s="26">
        <v>0</v>
      </c>
      <c r="G162" s="26">
        <f t="shared" si="4"/>
        <v>179.28518399999999</v>
      </c>
      <c r="H162" s="26" t="s">
        <v>85</v>
      </c>
      <c r="I162" s="71"/>
      <c r="J162" s="71"/>
    </row>
    <row r="163" spans="1:12" s="24" customFormat="1" ht="15.75" customHeight="1" x14ac:dyDescent="0.25">
      <c r="A163" s="71">
        <v>5</v>
      </c>
      <c r="B163" s="71"/>
      <c r="C163" s="26" t="s">
        <v>150</v>
      </c>
      <c r="D163" s="71">
        <f>10.41*10.764</f>
        <v>112.05323999999999</v>
      </c>
      <c r="E163" s="71"/>
      <c r="F163" s="26">
        <v>0</v>
      </c>
      <c r="G163" s="26">
        <f t="shared" si="4"/>
        <v>179.28518399999999</v>
      </c>
      <c r="H163" s="26" t="s">
        <v>85</v>
      </c>
      <c r="I163" s="71"/>
      <c r="J163" s="71"/>
    </row>
    <row r="164" spans="1:12" s="24" customFormat="1" ht="15.75" customHeight="1" x14ac:dyDescent="0.25">
      <c r="A164" s="71">
        <v>6</v>
      </c>
      <c r="B164" s="71"/>
      <c r="C164" s="26" t="s">
        <v>150</v>
      </c>
      <c r="D164" s="71">
        <f>17*10.764</f>
        <v>182.988</v>
      </c>
      <c r="E164" s="71"/>
      <c r="F164" s="26">
        <v>0</v>
      </c>
      <c r="G164" s="26">
        <f t="shared" si="4"/>
        <v>292.7808</v>
      </c>
      <c r="H164" s="26" t="s">
        <v>85</v>
      </c>
      <c r="I164" s="71"/>
      <c r="J164" s="71"/>
    </row>
    <row r="165" spans="1:12" s="24" customFormat="1" ht="15.75" customHeight="1" x14ac:dyDescent="0.25">
      <c r="A165" s="71">
        <v>7</v>
      </c>
      <c r="B165" s="71"/>
      <c r="C165" s="26" t="s">
        <v>150</v>
      </c>
      <c r="D165" s="71">
        <f>17*10.764</f>
        <v>182.988</v>
      </c>
      <c r="E165" s="71"/>
      <c r="F165" s="26">
        <v>0</v>
      </c>
      <c r="G165" s="26">
        <f t="shared" si="4"/>
        <v>292.7808</v>
      </c>
      <c r="H165" s="26" t="s">
        <v>85</v>
      </c>
      <c r="I165" s="71"/>
      <c r="J165" s="71"/>
    </row>
    <row r="166" spans="1:12" s="24" customFormat="1" ht="15.75" customHeight="1" x14ac:dyDescent="0.25">
      <c r="A166" s="71">
        <v>8</v>
      </c>
      <c r="B166" s="71"/>
      <c r="C166" s="26" t="s">
        <v>150</v>
      </c>
      <c r="D166" s="71">
        <f>10.41*10.764</f>
        <v>112.05323999999999</v>
      </c>
      <c r="E166" s="71"/>
      <c r="F166" s="26">
        <v>0</v>
      </c>
      <c r="G166" s="26">
        <f t="shared" si="4"/>
        <v>179.28518399999999</v>
      </c>
      <c r="H166" s="26" t="s">
        <v>85</v>
      </c>
      <c r="I166" s="71"/>
      <c r="J166" s="71"/>
    </row>
    <row r="167" spans="1:12" s="24" customFormat="1" ht="15.75" customHeight="1" x14ac:dyDescent="0.25">
      <c r="A167" s="71">
        <v>9</v>
      </c>
      <c r="B167" s="71"/>
      <c r="C167" s="26" t="s">
        <v>150</v>
      </c>
      <c r="D167" s="71">
        <f>10.41*10.764</f>
        <v>112.05323999999999</v>
      </c>
      <c r="E167" s="71"/>
      <c r="F167" s="26">
        <v>0</v>
      </c>
      <c r="G167" s="26">
        <f t="shared" si="4"/>
        <v>179.28518399999999</v>
      </c>
      <c r="H167" s="26" t="s">
        <v>85</v>
      </c>
      <c r="I167" s="71"/>
      <c r="J167" s="71"/>
    </row>
    <row r="168" spans="1:12" s="24" customFormat="1" ht="15.75" customHeight="1" x14ac:dyDescent="0.25">
      <c r="A168" s="71">
        <v>10</v>
      </c>
      <c r="B168" s="71"/>
      <c r="C168" s="26" t="s">
        <v>150</v>
      </c>
      <c r="D168" s="71">
        <f>17*10.764</f>
        <v>182.988</v>
      </c>
      <c r="E168" s="71"/>
      <c r="F168" s="26">
        <v>0</v>
      </c>
      <c r="G168" s="26">
        <f t="shared" si="4"/>
        <v>292.7808</v>
      </c>
      <c r="H168" s="26" t="s">
        <v>85</v>
      </c>
      <c r="I168" s="71"/>
      <c r="J168" s="71"/>
    </row>
    <row r="169" spans="1:12" s="24" customFormat="1" ht="15.75" customHeight="1" x14ac:dyDescent="0.25">
      <c r="A169" s="71">
        <v>11</v>
      </c>
      <c r="B169" s="71"/>
      <c r="C169" s="26" t="s">
        <v>150</v>
      </c>
      <c r="D169" s="71">
        <f>17*10.764</f>
        <v>182.988</v>
      </c>
      <c r="E169" s="71"/>
      <c r="F169" s="26">
        <v>0</v>
      </c>
      <c r="G169" s="26">
        <f t="shared" si="4"/>
        <v>292.7808</v>
      </c>
      <c r="H169" s="26" t="s">
        <v>85</v>
      </c>
      <c r="I169" s="71"/>
      <c r="J169" s="71"/>
    </row>
    <row r="170" spans="1:12" s="24" customFormat="1" ht="15.75" customHeight="1" x14ac:dyDescent="0.25">
      <c r="A170" s="71">
        <v>12</v>
      </c>
      <c r="B170" s="71"/>
      <c r="C170" s="26" t="s">
        <v>150</v>
      </c>
      <c r="D170" s="71">
        <f>10.41*10.764</f>
        <v>112.05323999999999</v>
      </c>
      <c r="E170" s="71"/>
      <c r="F170" s="26">
        <v>0</v>
      </c>
      <c r="G170" s="26">
        <f t="shared" si="4"/>
        <v>179.28518399999999</v>
      </c>
      <c r="H170" s="26" t="s">
        <v>85</v>
      </c>
      <c r="I170" s="71"/>
      <c r="J170" s="71"/>
    </row>
    <row r="171" spans="1:12" s="24" customFormat="1" x14ac:dyDescent="0.25">
      <c r="A171" s="72" t="s">
        <v>198</v>
      </c>
      <c r="B171" s="72"/>
      <c r="C171" s="72"/>
      <c r="D171" s="72"/>
      <c r="E171" s="72"/>
      <c r="F171" s="72"/>
      <c r="G171" s="72"/>
      <c r="H171" s="72"/>
      <c r="I171" s="72"/>
      <c r="J171" s="72"/>
    </row>
    <row r="172" spans="1:12" s="24" customFormat="1" ht="15.75" customHeight="1" x14ac:dyDescent="0.25">
      <c r="A172" s="71">
        <v>101</v>
      </c>
      <c r="B172" s="71"/>
      <c r="C172" s="26" t="s">
        <v>153</v>
      </c>
      <c r="D172" s="71">
        <f>(28.49+(0.75*1))*10.764</f>
        <v>314.73935999999998</v>
      </c>
      <c r="E172" s="71"/>
      <c r="F172" s="26">
        <v>0</v>
      </c>
      <c r="G172" s="26">
        <f t="shared" ref="G172:G182" si="5">D172*1.5+F172</f>
        <v>472.10903999999994</v>
      </c>
      <c r="H172" s="26" t="s">
        <v>85</v>
      </c>
      <c r="I172" s="71" t="str">
        <f>A171</f>
        <v>1st Floor for Residential</v>
      </c>
      <c r="J172" s="71"/>
      <c r="L172" s="24">
        <f>3*3.15+1.85*2.3+2.75*2.6+1.3*0.9+1.2*1.8+1.5*0.9+1.1*1</f>
        <v>26.635000000000002</v>
      </c>
    </row>
    <row r="173" spans="1:12" s="24" customFormat="1" ht="15.75" customHeight="1" x14ac:dyDescent="0.25">
      <c r="A173" s="71">
        <v>102</v>
      </c>
      <c r="B173" s="71"/>
      <c r="C173" s="26" t="s">
        <v>153</v>
      </c>
      <c r="D173" s="71">
        <f>(31.69+(0.75+1))*10.764</f>
        <v>359.94815999999997</v>
      </c>
      <c r="E173" s="71"/>
      <c r="F173" s="26">
        <v>0</v>
      </c>
      <c r="G173" s="26">
        <f t="shared" si="5"/>
        <v>539.92223999999999</v>
      </c>
      <c r="H173" s="26" t="s">
        <v>85</v>
      </c>
      <c r="I173" s="71"/>
      <c r="J173" s="71"/>
    </row>
    <row r="174" spans="1:12" s="24" customFormat="1" ht="15.75" customHeight="1" x14ac:dyDescent="0.25">
      <c r="A174" s="71">
        <v>103</v>
      </c>
      <c r="B174" s="71"/>
      <c r="C174" s="26" t="s">
        <v>153</v>
      </c>
      <c r="D174" s="71">
        <f t="shared" ref="D174:D177" si="6">(28.13+4.6+0.75*1)*10.764</f>
        <v>360.37871999999993</v>
      </c>
      <c r="E174" s="71"/>
      <c r="F174" s="26">
        <v>0</v>
      </c>
      <c r="G174" s="26">
        <f t="shared" si="5"/>
        <v>540.5680799999999</v>
      </c>
      <c r="H174" s="26" t="s">
        <v>85</v>
      </c>
      <c r="I174" s="71"/>
      <c r="J174" s="71"/>
    </row>
    <row r="175" spans="1:12" s="24" customFormat="1" ht="15.75" customHeight="1" x14ac:dyDescent="0.25">
      <c r="A175" s="71">
        <v>104</v>
      </c>
      <c r="B175" s="71"/>
      <c r="C175" s="26" t="s">
        <v>153</v>
      </c>
      <c r="D175" s="71">
        <f t="shared" si="6"/>
        <v>360.37871999999993</v>
      </c>
      <c r="E175" s="71"/>
      <c r="F175" s="26">
        <v>0</v>
      </c>
      <c r="G175" s="26">
        <f t="shared" si="5"/>
        <v>540.5680799999999</v>
      </c>
      <c r="H175" s="26" t="s">
        <v>85</v>
      </c>
      <c r="I175" s="71"/>
      <c r="J175" s="71"/>
    </row>
    <row r="176" spans="1:12" s="24" customFormat="1" ht="15.75" customHeight="1" x14ac:dyDescent="0.25">
      <c r="A176" s="71">
        <v>105</v>
      </c>
      <c r="B176" s="71"/>
      <c r="C176" s="26" t="s">
        <v>153</v>
      </c>
      <c r="D176" s="71">
        <f t="shared" si="6"/>
        <v>360.37871999999993</v>
      </c>
      <c r="E176" s="71"/>
      <c r="F176" s="26">
        <v>0</v>
      </c>
      <c r="G176" s="26">
        <f t="shared" si="5"/>
        <v>540.5680799999999</v>
      </c>
      <c r="H176" s="26" t="s">
        <v>85</v>
      </c>
      <c r="I176" s="71"/>
      <c r="J176" s="71"/>
    </row>
    <row r="177" spans="1:10" s="24" customFormat="1" ht="15.75" customHeight="1" x14ac:dyDescent="0.25">
      <c r="A177" s="71">
        <v>106</v>
      </c>
      <c r="B177" s="71"/>
      <c r="C177" s="26" t="s">
        <v>153</v>
      </c>
      <c r="D177" s="71">
        <f t="shared" si="6"/>
        <v>360.37871999999993</v>
      </c>
      <c r="E177" s="71"/>
      <c r="F177" s="26">
        <v>0</v>
      </c>
      <c r="G177" s="26">
        <f t="shared" si="5"/>
        <v>540.5680799999999</v>
      </c>
      <c r="H177" s="26" t="s">
        <v>85</v>
      </c>
      <c r="I177" s="71"/>
      <c r="J177" s="71"/>
    </row>
    <row r="178" spans="1:10" s="24" customFormat="1" ht="15.75" customHeight="1" x14ac:dyDescent="0.25">
      <c r="A178" s="71">
        <v>107</v>
      </c>
      <c r="B178" s="71"/>
      <c r="C178" s="26" t="s">
        <v>153</v>
      </c>
      <c r="D178" s="71">
        <f t="shared" ref="D178" si="7">(28.13+4.6+0.75*1)*10.764</f>
        <v>360.37871999999993</v>
      </c>
      <c r="E178" s="71"/>
      <c r="F178" s="26">
        <v>0</v>
      </c>
      <c r="G178" s="26">
        <f t="shared" si="5"/>
        <v>540.5680799999999</v>
      </c>
      <c r="H178" s="26" t="s">
        <v>85</v>
      </c>
      <c r="I178" s="71"/>
      <c r="J178" s="71"/>
    </row>
    <row r="179" spans="1:10" s="24" customFormat="1" ht="15.75" customHeight="1" x14ac:dyDescent="0.25">
      <c r="A179" s="71">
        <v>108</v>
      </c>
      <c r="B179" s="71"/>
      <c r="C179" s="26" t="s">
        <v>153</v>
      </c>
      <c r="D179" s="71">
        <f>(28.13+4.6+0.75*1)*10.764</f>
        <v>360.37871999999993</v>
      </c>
      <c r="E179" s="71"/>
      <c r="F179" s="26">
        <v>0</v>
      </c>
      <c r="G179" s="26">
        <f t="shared" si="5"/>
        <v>540.5680799999999</v>
      </c>
      <c r="H179" s="26" t="s">
        <v>85</v>
      </c>
      <c r="I179" s="71"/>
      <c r="J179" s="71"/>
    </row>
    <row r="180" spans="1:10" s="24" customFormat="1" ht="15.75" customHeight="1" x14ac:dyDescent="0.25">
      <c r="A180" s="71">
        <v>109</v>
      </c>
      <c r="B180" s="71"/>
      <c r="C180" s="26" t="s">
        <v>154</v>
      </c>
      <c r="D180" s="71">
        <f>(36+4.75+(0.75*(1+1+2)))*10.764</f>
        <v>470.92499999999995</v>
      </c>
      <c r="E180" s="71"/>
      <c r="F180" s="26">
        <v>0</v>
      </c>
      <c r="G180" s="26">
        <f t="shared" si="5"/>
        <v>706.38749999999993</v>
      </c>
      <c r="H180" s="26" t="s">
        <v>85</v>
      </c>
      <c r="I180" s="71"/>
      <c r="J180" s="71"/>
    </row>
    <row r="181" spans="1:10" s="24" customFormat="1" ht="15.75" customHeight="1" x14ac:dyDescent="0.25">
      <c r="A181" s="71">
        <v>110</v>
      </c>
      <c r="B181" s="71"/>
      <c r="C181" s="26" t="s">
        <v>153</v>
      </c>
      <c r="D181" s="71">
        <f>(29.87+2.75+0.75*2)*10.764</f>
        <v>367.26768000000004</v>
      </c>
      <c r="E181" s="71"/>
      <c r="F181" s="26">
        <v>0</v>
      </c>
      <c r="G181" s="26">
        <f t="shared" si="5"/>
        <v>550.90152000000012</v>
      </c>
      <c r="H181" s="26" t="s">
        <v>85</v>
      </c>
      <c r="I181" s="71"/>
      <c r="J181" s="71"/>
    </row>
    <row r="182" spans="1:10" s="24" customFormat="1" ht="15.75" customHeight="1" x14ac:dyDescent="0.25">
      <c r="A182" s="71">
        <v>111</v>
      </c>
      <c r="B182" s="71"/>
      <c r="C182" s="26" t="s">
        <v>153</v>
      </c>
      <c r="D182" s="71">
        <f>(26.52)*10.764</f>
        <v>285.46127999999999</v>
      </c>
      <c r="E182" s="71"/>
      <c r="F182" s="26">
        <v>0</v>
      </c>
      <c r="G182" s="26">
        <f t="shared" si="5"/>
        <v>428.19191999999998</v>
      </c>
      <c r="H182" s="26" t="s">
        <v>85</v>
      </c>
      <c r="I182" s="71"/>
      <c r="J182" s="71"/>
    </row>
    <row r="183" spans="1:10" s="24" customFormat="1" x14ac:dyDescent="0.25">
      <c r="A183" s="70" t="s">
        <v>199</v>
      </c>
      <c r="B183" s="70"/>
      <c r="C183" s="70"/>
      <c r="D183" s="70"/>
      <c r="E183" s="70"/>
      <c r="F183" s="70"/>
      <c r="G183" s="70"/>
      <c r="H183" s="70"/>
      <c r="I183" s="70"/>
      <c r="J183" s="70"/>
    </row>
    <row r="184" spans="1:10" s="24" customFormat="1" ht="15.75" customHeight="1" x14ac:dyDescent="0.25">
      <c r="A184" s="71" t="s">
        <v>200</v>
      </c>
      <c r="B184" s="71"/>
      <c r="C184" s="26" t="s">
        <v>153</v>
      </c>
      <c r="D184" s="71">
        <f>(28.49+(0.75*1))*10.764</f>
        <v>314.73935999999998</v>
      </c>
      <c r="E184" s="71"/>
      <c r="F184" s="26">
        <v>0</v>
      </c>
      <c r="G184" s="26">
        <f t="shared" ref="G184:G194" si="8">D184*1.5+F184</f>
        <v>472.10903999999994</v>
      </c>
      <c r="H184" s="26" t="s">
        <v>85</v>
      </c>
      <c r="I184" s="71" t="str">
        <f>A183</f>
        <v xml:space="preserve">2nd to 4th Floor </v>
      </c>
      <c r="J184" s="71"/>
    </row>
    <row r="185" spans="1:10" s="24" customFormat="1" x14ac:dyDescent="0.25">
      <c r="A185" s="71" t="s">
        <v>201</v>
      </c>
      <c r="B185" s="71"/>
      <c r="C185" s="26" t="s">
        <v>153</v>
      </c>
      <c r="D185" s="71">
        <f>(31.69+(0.75+1))*10.764</f>
        <v>359.94815999999997</v>
      </c>
      <c r="E185" s="71"/>
      <c r="F185" s="26">
        <v>0</v>
      </c>
      <c r="G185" s="26">
        <f t="shared" si="8"/>
        <v>539.92223999999999</v>
      </c>
      <c r="H185" s="26" t="s">
        <v>85</v>
      </c>
      <c r="I185" s="71"/>
      <c r="J185" s="71"/>
    </row>
    <row r="186" spans="1:10" s="24" customFormat="1" x14ac:dyDescent="0.25">
      <c r="A186" s="71" t="s">
        <v>202</v>
      </c>
      <c r="B186" s="71"/>
      <c r="C186" s="26" t="s">
        <v>153</v>
      </c>
      <c r="D186" s="71">
        <f t="shared" ref="D186:D190" si="9">(28.13+4.6+0.75*1)*10.764</f>
        <v>360.37871999999993</v>
      </c>
      <c r="E186" s="71"/>
      <c r="F186" s="26">
        <v>0</v>
      </c>
      <c r="G186" s="26">
        <f t="shared" si="8"/>
        <v>540.5680799999999</v>
      </c>
      <c r="H186" s="26" t="s">
        <v>85</v>
      </c>
      <c r="I186" s="71"/>
      <c r="J186" s="71"/>
    </row>
    <row r="187" spans="1:10" s="24" customFormat="1" x14ac:dyDescent="0.25">
      <c r="A187" s="71" t="s">
        <v>203</v>
      </c>
      <c r="B187" s="71"/>
      <c r="C187" s="26" t="s">
        <v>153</v>
      </c>
      <c r="D187" s="71">
        <f t="shared" si="9"/>
        <v>360.37871999999993</v>
      </c>
      <c r="E187" s="71"/>
      <c r="F187" s="26">
        <v>0</v>
      </c>
      <c r="G187" s="26">
        <f t="shared" si="8"/>
        <v>540.5680799999999</v>
      </c>
      <c r="H187" s="26" t="s">
        <v>85</v>
      </c>
      <c r="I187" s="71"/>
      <c r="J187" s="71"/>
    </row>
    <row r="188" spans="1:10" s="24" customFormat="1" x14ac:dyDescent="0.25">
      <c r="A188" s="71" t="s">
        <v>204</v>
      </c>
      <c r="B188" s="71"/>
      <c r="C188" s="26" t="s">
        <v>153</v>
      </c>
      <c r="D188" s="71">
        <f t="shared" si="9"/>
        <v>360.37871999999993</v>
      </c>
      <c r="E188" s="71"/>
      <c r="F188" s="26">
        <v>0</v>
      </c>
      <c r="G188" s="26">
        <f t="shared" si="8"/>
        <v>540.5680799999999</v>
      </c>
      <c r="H188" s="26" t="s">
        <v>85</v>
      </c>
      <c r="I188" s="71"/>
      <c r="J188" s="71"/>
    </row>
    <row r="189" spans="1:10" s="24" customFormat="1" x14ac:dyDescent="0.25">
      <c r="A189" s="71" t="s">
        <v>205</v>
      </c>
      <c r="B189" s="71"/>
      <c r="C189" s="26" t="s">
        <v>153</v>
      </c>
      <c r="D189" s="71">
        <f t="shared" si="9"/>
        <v>360.37871999999993</v>
      </c>
      <c r="E189" s="71"/>
      <c r="F189" s="26">
        <v>0</v>
      </c>
      <c r="G189" s="26">
        <f t="shared" si="8"/>
        <v>540.5680799999999</v>
      </c>
      <c r="H189" s="26" t="s">
        <v>85</v>
      </c>
      <c r="I189" s="71"/>
      <c r="J189" s="71"/>
    </row>
    <row r="190" spans="1:10" s="24" customFormat="1" x14ac:dyDescent="0.25">
      <c r="A190" s="71" t="s">
        <v>206</v>
      </c>
      <c r="B190" s="71"/>
      <c r="C190" s="26" t="s">
        <v>153</v>
      </c>
      <c r="D190" s="71">
        <f t="shared" si="9"/>
        <v>360.37871999999993</v>
      </c>
      <c r="E190" s="71"/>
      <c r="F190" s="26">
        <v>0</v>
      </c>
      <c r="G190" s="26">
        <f t="shared" si="8"/>
        <v>540.5680799999999</v>
      </c>
      <c r="H190" s="26" t="s">
        <v>85</v>
      </c>
      <c r="I190" s="71"/>
      <c r="J190" s="71"/>
    </row>
    <row r="191" spans="1:10" s="24" customFormat="1" x14ac:dyDescent="0.25">
      <c r="A191" s="71" t="s">
        <v>207</v>
      </c>
      <c r="B191" s="71"/>
      <c r="C191" s="26" t="s">
        <v>153</v>
      </c>
      <c r="D191" s="71">
        <f>(28.13+4.6+0.75*1)*10.764</f>
        <v>360.37871999999993</v>
      </c>
      <c r="E191" s="71"/>
      <c r="F191" s="26">
        <v>0</v>
      </c>
      <c r="G191" s="26">
        <f t="shared" si="8"/>
        <v>540.5680799999999</v>
      </c>
      <c r="H191" s="26" t="s">
        <v>85</v>
      </c>
      <c r="I191" s="71"/>
      <c r="J191" s="71"/>
    </row>
    <row r="192" spans="1:10" s="24" customFormat="1" x14ac:dyDescent="0.25">
      <c r="A192" s="71" t="s">
        <v>208</v>
      </c>
      <c r="B192" s="71"/>
      <c r="C192" s="26" t="s">
        <v>154</v>
      </c>
      <c r="D192" s="71">
        <f>(36+4.75+(0.75*(1+1+2)))*10.764</f>
        <v>470.92499999999995</v>
      </c>
      <c r="E192" s="71"/>
      <c r="F192" s="26">
        <v>0</v>
      </c>
      <c r="G192" s="26">
        <f t="shared" si="8"/>
        <v>706.38749999999993</v>
      </c>
      <c r="H192" s="26" t="s">
        <v>85</v>
      </c>
      <c r="I192" s="71"/>
      <c r="J192" s="71"/>
    </row>
    <row r="193" spans="1:10" s="24" customFormat="1" ht="15.75" customHeight="1" x14ac:dyDescent="0.25">
      <c r="A193" s="71" t="s">
        <v>209</v>
      </c>
      <c r="B193" s="71"/>
      <c r="C193" s="26" t="s">
        <v>153</v>
      </c>
      <c r="D193" s="71">
        <f>(29.87+2.75+0.75*2)*10.764</f>
        <v>367.26768000000004</v>
      </c>
      <c r="E193" s="71"/>
      <c r="F193" s="26">
        <v>0</v>
      </c>
      <c r="G193" s="26">
        <f t="shared" si="8"/>
        <v>550.90152000000012</v>
      </c>
      <c r="H193" s="26" t="s">
        <v>85</v>
      </c>
      <c r="I193" s="71"/>
      <c r="J193" s="71"/>
    </row>
    <row r="194" spans="1:10" s="24" customFormat="1" ht="15.75" customHeight="1" x14ac:dyDescent="0.25">
      <c r="A194" s="71" t="s">
        <v>210</v>
      </c>
      <c r="B194" s="71"/>
      <c r="C194" s="26" t="s">
        <v>153</v>
      </c>
      <c r="D194" s="71">
        <f>(26.52)*10.764</f>
        <v>285.46127999999999</v>
      </c>
      <c r="E194" s="71"/>
      <c r="F194" s="26">
        <v>0</v>
      </c>
      <c r="G194" s="26">
        <f t="shared" si="8"/>
        <v>428.19191999999998</v>
      </c>
      <c r="H194" s="26" t="s">
        <v>85</v>
      </c>
      <c r="I194" s="71"/>
      <c r="J194" s="71"/>
    </row>
    <row r="195" spans="1:10" s="24" customFormat="1" x14ac:dyDescent="0.25">
      <c r="A195" s="70" t="s">
        <v>211</v>
      </c>
      <c r="B195" s="70"/>
      <c r="C195" s="70"/>
      <c r="D195" s="70"/>
      <c r="E195" s="70"/>
      <c r="F195" s="70"/>
      <c r="G195" s="70"/>
      <c r="H195" s="70"/>
      <c r="I195" s="70"/>
      <c r="J195" s="70"/>
    </row>
    <row r="196" spans="1:10" s="24" customFormat="1" ht="15.75" customHeight="1" x14ac:dyDescent="0.25">
      <c r="A196" s="71" t="s">
        <v>212</v>
      </c>
      <c r="B196" s="71"/>
      <c r="C196" s="26" t="s">
        <v>153</v>
      </c>
      <c r="D196" s="71">
        <f t="shared" ref="D196:D202" si="10">(28.13+4.6+0.75*1)*10.764</f>
        <v>360.37871999999993</v>
      </c>
      <c r="E196" s="71"/>
      <c r="F196" s="26">
        <v>0</v>
      </c>
      <c r="G196" s="26">
        <f t="shared" ref="G196:G206" si="11">D196*1.5+F196</f>
        <v>540.5680799999999</v>
      </c>
      <c r="H196" s="26" t="s">
        <v>85</v>
      </c>
      <c r="I196" s="71" t="str">
        <f>A195</f>
        <v xml:space="preserve">5th to 7th Floor </v>
      </c>
      <c r="J196" s="71"/>
    </row>
    <row r="197" spans="1:10" s="24" customFormat="1" x14ac:dyDescent="0.25">
      <c r="A197" s="71" t="s">
        <v>221</v>
      </c>
      <c r="B197" s="71"/>
      <c r="C197" s="26" t="s">
        <v>153</v>
      </c>
      <c r="D197" s="71">
        <f t="shared" si="10"/>
        <v>360.37871999999993</v>
      </c>
      <c r="E197" s="71"/>
      <c r="F197" s="26">
        <v>0</v>
      </c>
      <c r="G197" s="26">
        <f t="shared" si="11"/>
        <v>540.5680799999999</v>
      </c>
      <c r="H197" s="26" t="s">
        <v>85</v>
      </c>
      <c r="I197" s="71"/>
      <c r="J197" s="71"/>
    </row>
    <row r="198" spans="1:10" s="24" customFormat="1" x14ac:dyDescent="0.25">
      <c r="A198" s="71" t="s">
        <v>214</v>
      </c>
      <c r="B198" s="71"/>
      <c r="C198" s="26" t="s">
        <v>153</v>
      </c>
      <c r="D198" s="71">
        <f t="shared" si="10"/>
        <v>360.37871999999993</v>
      </c>
      <c r="E198" s="71"/>
      <c r="F198" s="26">
        <v>0</v>
      </c>
      <c r="G198" s="26">
        <f t="shared" si="11"/>
        <v>540.5680799999999</v>
      </c>
      <c r="H198" s="26" t="s">
        <v>85</v>
      </c>
      <c r="I198" s="71"/>
      <c r="J198" s="71"/>
    </row>
    <row r="199" spans="1:10" s="24" customFormat="1" x14ac:dyDescent="0.25">
      <c r="A199" s="71" t="s">
        <v>222</v>
      </c>
      <c r="B199" s="71"/>
      <c r="C199" s="26" t="s">
        <v>153</v>
      </c>
      <c r="D199" s="71">
        <f t="shared" si="10"/>
        <v>360.37871999999993</v>
      </c>
      <c r="E199" s="71"/>
      <c r="F199" s="26">
        <v>0</v>
      </c>
      <c r="G199" s="26">
        <f t="shared" si="11"/>
        <v>540.5680799999999</v>
      </c>
      <c r="H199" s="26" t="s">
        <v>85</v>
      </c>
      <c r="I199" s="71"/>
      <c r="J199" s="71"/>
    </row>
    <row r="200" spans="1:10" s="24" customFormat="1" x14ac:dyDescent="0.25">
      <c r="A200" s="71" t="s">
        <v>213</v>
      </c>
      <c r="B200" s="71"/>
      <c r="C200" s="26" t="s">
        <v>153</v>
      </c>
      <c r="D200" s="71">
        <f t="shared" si="10"/>
        <v>360.37871999999993</v>
      </c>
      <c r="E200" s="71"/>
      <c r="F200" s="26">
        <v>0</v>
      </c>
      <c r="G200" s="26">
        <f t="shared" si="11"/>
        <v>540.5680799999999</v>
      </c>
      <c r="H200" s="26" t="s">
        <v>85</v>
      </c>
      <c r="I200" s="71"/>
      <c r="J200" s="71"/>
    </row>
    <row r="201" spans="1:10" s="24" customFormat="1" x14ac:dyDescent="0.25">
      <c r="A201" s="71" t="s">
        <v>216</v>
      </c>
      <c r="B201" s="71"/>
      <c r="C201" s="26" t="s">
        <v>153</v>
      </c>
      <c r="D201" s="71">
        <f t="shared" si="10"/>
        <v>360.37871999999993</v>
      </c>
      <c r="E201" s="71"/>
      <c r="F201" s="26">
        <v>0</v>
      </c>
      <c r="G201" s="26">
        <f t="shared" si="11"/>
        <v>540.5680799999999</v>
      </c>
      <c r="H201" s="26" t="s">
        <v>85</v>
      </c>
      <c r="I201" s="71"/>
      <c r="J201" s="71"/>
    </row>
    <row r="202" spans="1:10" s="24" customFormat="1" x14ac:dyDescent="0.25">
      <c r="A202" s="71" t="s">
        <v>215</v>
      </c>
      <c r="B202" s="71"/>
      <c r="C202" s="26" t="s">
        <v>153</v>
      </c>
      <c r="D202" s="71">
        <f t="shared" si="10"/>
        <v>360.37871999999993</v>
      </c>
      <c r="E202" s="71"/>
      <c r="F202" s="26">
        <v>0</v>
      </c>
      <c r="G202" s="26">
        <f t="shared" si="11"/>
        <v>540.5680799999999</v>
      </c>
      <c r="H202" s="26" t="s">
        <v>85</v>
      </c>
      <c r="I202" s="71"/>
      <c r="J202" s="71"/>
    </row>
    <row r="203" spans="1:10" s="24" customFormat="1" x14ac:dyDescent="0.25">
      <c r="A203" s="71" t="s">
        <v>217</v>
      </c>
      <c r="B203" s="71"/>
      <c r="C203" s="26" t="s">
        <v>153</v>
      </c>
      <c r="D203" s="71">
        <f>(28.13+4.6+0.75*1)*10.764</f>
        <v>360.37871999999993</v>
      </c>
      <c r="E203" s="71"/>
      <c r="F203" s="26">
        <v>0</v>
      </c>
      <c r="G203" s="26">
        <f t="shared" si="11"/>
        <v>540.5680799999999</v>
      </c>
      <c r="H203" s="26" t="s">
        <v>85</v>
      </c>
      <c r="I203" s="71"/>
      <c r="J203" s="71"/>
    </row>
    <row r="204" spans="1:10" s="24" customFormat="1" x14ac:dyDescent="0.25">
      <c r="A204" s="71" t="s">
        <v>218</v>
      </c>
      <c r="B204" s="71"/>
      <c r="C204" s="26" t="s">
        <v>154</v>
      </c>
      <c r="D204" s="71">
        <f>(36+4.75+(0.75*(1+1+2)))*10.764</f>
        <v>470.92499999999995</v>
      </c>
      <c r="E204" s="71"/>
      <c r="F204" s="26">
        <v>0</v>
      </c>
      <c r="G204" s="26">
        <f t="shared" si="11"/>
        <v>706.38749999999993</v>
      </c>
      <c r="H204" s="26" t="s">
        <v>85</v>
      </c>
      <c r="I204" s="71"/>
      <c r="J204" s="71"/>
    </row>
    <row r="205" spans="1:10" s="24" customFormat="1" ht="15.75" customHeight="1" x14ac:dyDescent="0.25">
      <c r="A205" s="71" t="s">
        <v>219</v>
      </c>
      <c r="B205" s="71"/>
      <c r="C205" s="26" t="s">
        <v>153</v>
      </c>
      <c r="D205" s="71">
        <f>(29.87+2.75+0.75*2)*10.764</f>
        <v>367.26768000000004</v>
      </c>
      <c r="E205" s="71"/>
      <c r="F205" s="26">
        <v>0</v>
      </c>
      <c r="G205" s="26">
        <f t="shared" si="11"/>
        <v>550.90152000000012</v>
      </c>
      <c r="H205" s="26" t="s">
        <v>85</v>
      </c>
      <c r="I205" s="71"/>
      <c r="J205" s="71"/>
    </row>
    <row r="206" spans="1:10" s="24" customFormat="1" ht="15.75" customHeight="1" x14ac:dyDescent="0.25">
      <c r="A206" s="71" t="s">
        <v>220</v>
      </c>
      <c r="B206" s="71"/>
      <c r="C206" s="26" t="s">
        <v>153</v>
      </c>
      <c r="D206" s="71">
        <f>(26.52)*10.764</f>
        <v>285.46127999999999</v>
      </c>
      <c r="E206" s="71"/>
      <c r="F206" s="26">
        <v>0</v>
      </c>
      <c r="G206" s="26">
        <f t="shared" si="11"/>
        <v>428.19191999999998</v>
      </c>
      <c r="H206" s="26" t="s">
        <v>85</v>
      </c>
      <c r="I206" s="71"/>
      <c r="J206" s="71"/>
    </row>
    <row r="207" spans="1:10" s="24" customFormat="1" x14ac:dyDescent="0.25">
      <c r="A207" s="72" t="s">
        <v>152</v>
      </c>
      <c r="B207" s="72"/>
      <c r="C207" s="72"/>
      <c r="D207" s="72"/>
      <c r="E207" s="72"/>
      <c r="F207" s="72"/>
      <c r="G207" s="72"/>
      <c r="H207" s="72"/>
      <c r="I207" s="72"/>
      <c r="J207" s="72"/>
    </row>
    <row r="208" spans="1:10" s="24" customFormat="1" x14ac:dyDescent="0.25">
      <c r="A208" s="72" t="s">
        <v>158</v>
      </c>
      <c r="B208" s="72"/>
      <c r="C208" s="72"/>
      <c r="D208" s="72"/>
      <c r="E208" s="72"/>
      <c r="F208" s="72"/>
      <c r="G208" s="72"/>
      <c r="H208" s="72"/>
      <c r="I208" s="72"/>
      <c r="J208" s="72"/>
    </row>
    <row r="209" spans="1:13" s="24" customFormat="1" x14ac:dyDescent="0.25">
      <c r="A209" s="71">
        <v>1</v>
      </c>
      <c r="B209" s="71"/>
      <c r="C209" s="26" t="s">
        <v>154</v>
      </c>
      <c r="D209" s="71">
        <f>35.65*10.764</f>
        <v>383.73659999999995</v>
      </c>
      <c r="E209" s="71"/>
      <c r="F209" s="26">
        <v>0</v>
      </c>
      <c r="G209" s="26">
        <f t="shared" ref="G209:G215" si="12">D209*1.5+F209</f>
        <v>575.60489999999993</v>
      </c>
      <c r="H209" s="26" t="s">
        <v>85</v>
      </c>
      <c r="I209" s="71" t="s">
        <v>164</v>
      </c>
      <c r="J209" s="71"/>
      <c r="L209" s="24">
        <f>G210/D210</f>
        <v>1.5</v>
      </c>
      <c r="M209" s="24">
        <f>4.26*2.89+2.59*2.13+2.05*2.13+2.46*0.98+2.28*1.05+2.84*2.43</f>
        <v>33.900599999999997</v>
      </c>
    </row>
    <row r="210" spans="1:13" s="24" customFormat="1" x14ac:dyDescent="0.25">
      <c r="A210" s="71">
        <v>2</v>
      </c>
      <c r="B210" s="71"/>
      <c r="C210" s="26" t="s">
        <v>153</v>
      </c>
      <c r="D210" s="71">
        <f>27.35*10.764</f>
        <v>294.3954</v>
      </c>
      <c r="E210" s="71"/>
      <c r="F210" s="26">
        <v>0</v>
      </c>
      <c r="G210" s="26">
        <f t="shared" si="12"/>
        <v>441.59309999999999</v>
      </c>
      <c r="H210" s="26" t="s">
        <v>85</v>
      </c>
      <c r="I210" s="71"/>
      <c r="J210" s="71"/>
    </row>
    <row r="211" spans="1:13" s="24" customFormat="1" x14ac:dyDescent="0.25">
      <c r="A211" s="71">
        <v>3</v>
      </c>
      <c r="B211" s="71"/>
      <c r="C211" s="26" t="s">
        <v>153</v>
      </c>
      <c r="D211" s="71">
        <f>27.09*10.764</f>
        <v>291.59675999999996</v>
      </c>
      <c r="E211" s="71"/>
      <c r="F211" s="26">
        <v>0</v>
      </c>
      <c r="G211" s="26">
        <f t="shared" si="12"/>
        <v>437.39513999999997</v>
      </c>
      <c r="H211" s="26" t="s">
        <v>85</v>
      </c>
      <c r="I211" s="71"/>
      <c r="J211" s="71"/>
    </row>
    <row r="212" spans="1:13" s="24" customFormat="1" x14ac:dyDescent="0.25">
      <c r="A212" s="71">
        <v>4</v>
      </c>
      <c r="B212" s="71"/>
      <c r="C212" s="26" t="s">
        <v>153</v>
      </c>
      <c r="D212" s="71">
        <f>26.55*10.764</f>
        <v>285.7842</v>
      </c>
      <c r="E212" s="71"/>
      <c r="F212" s="26">
        <v>0</v>
      </c>
      <c r="G212" s="26">
        <f t="shared" si="12"/>
        <v>428.67629999999997</v>
      </c>
      <c r="H212" s="26" t="s">
        <v>85</v>
      </c>
      <c r="I212" s="71"/>
      <c r="J212" s="71"/>
    </row>
    <row r="213" spans="1:13" s="24" customFormat="1" x14ac:dyDescent="0.25">
      <c r="A213" s="71">
        <v>5</v>
      </c>
      <c r="B213" s="71"/>
      <c r="C213" s="26" t="s">
        <v>153</v>
      </c>
      <c r="D213" s="71">
        <f>26.55*10.764</f>
        <v>285.7842</v>
      </c>
      <c r="E213" s="71"/>
      <c r="F213" s="26">
        <v>0</v>
      </c>
      <c r="G213" s="26">
        <f t="shared" si="12"/>
        <v>428.67629999999997</v>
      </c>
      <c r="H213" s="26" t="s">
        <v>85</v>
      </c>
      <c r="I213" s="71"/>
      <c r="J213" s="71"/>
    </row>
    <row r="214" spans="1:13" s="24" customFormat="1" x14ac:dyDescent="0.25">
      <c r="A214" s="71">
        <v>6</v>
      </c>
      <c r="B214" s="71"/>
      <c r="C214" s="26" t="s">
        <v>153</v>
      </c>
      <c r="D214" s="71">
        <f>28.35*10.764</f>
        <v>305.15940000000001</v>
      </c>
      <c r="E214" s="71"/>
      <c r="F214" s="26">
        <v>0</v>
      </c>
      <c r="G214" s="26">
        <f t="shared" si="12"/>
        <v>457.73910000000001</v>
      </c>
      <c r="H214" s="26" t="s">
        <v>85</v>
      </c>
      <c r="I214" s="71"/>
      <c r="J214" s="71"/>
    </row>
    <row r="215" spans="1:13" s="24" customFormat="1" x14ac:dyDescent="0.25">
      <c r="A215" s="71">
        <v>7</v>
      </c>
      <c r="B215" s="71"/>
      <c r="C215" s="26" t="s">
        <v>154</v>
      </c>
      <c r="D215" s="71">
        <f>33.95*10.764</f>
        <v>365.43779999999998</v>
      </c>
      <c r="E215" s="71"/>
      <c r="F215" s="26">
        <v>0</v>
      </c>
      <c r="G215" s="26">
        <f t="shared" si="12"/>
        <v>548.1567</v>
      </c>
      <c r="H215" s="26" t="s">
        <v>85</v>
      </c>
      <c r="I215" s="71"/>
      <c r="J215" s="71"/>
    </row>
    <row r="216" spans="1:13" s="24" customFormat="1" x14ac:dyDescent="0.25">
      <c r="A216" s="70" t="s">
        <v>157</v>
      </c>
      <c r="B216" s="70"/>
      <c r="C216" s="70"/>
      <c r="D216" s="70"/>
      <c r="E216" s="70"/>
      <c r="F216" s="70"/>
      <c r="G216" s="70"/>
      <c r="H216" s="70"/>
      <c r="I216" s="70"/>
      <c r="J216" s="70"/>
    </row>
    <row r="217" spans="1:13" s="24" customFormat="1" x14ac:dyDescent="0.25">
      <c r="A217" s="71" t="s">
        <v>223</v>
      </c>
      <c r="B217" s="71"/>
      <c r="C217" s="26" t="s">
        <v>154</v>
      </c>
      <c r="D217" s="71">
        <f>(40.94)*10.764</f>
        <v>440.67815999999993</v>
      </c>
      <c r="E217" s="71"/>
      <c r="F217" s="26">
        <v>0</v>
      </c>
      <c r="G217" s="26">
        <f t="shared" ref="G217:G227" si="13">D217*1.5+F217</f>
        <v>661.0172399999999</v>
      </c>
      <c r="H217" s="26" t="s">
        <v>85</v>
      </c>
      <c r="I217" s="71" t="str">
        <f>A216</f>
        <v xml:space="preserve">1st to 4th Floor </v>
      </c>
      <c r="J217" s="71"/>
    </row>
    <row r="218" spans="1:13" s="24" customFormat="1" x14ac:dyDescent="0.25">
      <c r="A218" s="71" t="s">
        <v>224</v>
      </c>
      <c r="B218" s="71"/>
      <c r="C218" s="26" t="s">
        <v>154</v>
      </c>
      <c r="D218" s="71">
        <f>(35.88+2.36*0.75)*10.764</f>
        <v>405.26460000000003</v>
      </c>
      <c r="E218" s="71"/>
      <c r="F218" s="26">
        <v>0</v>
      </c>
      <c r="G218" s="26">
        <f t="shared" si="13"/>
        <v>607.89690000000007</v>
      </c>
      <c r="H218" s="26" t="s">
        <v>85</v>
      </c>
      <c r="I218" s="71"/>
      <c r="J218" s="71"/>
    </row>
    <row r="219" spans="1:13" s="24" customFormat="1" x14ac:dyDescent="0.25">
      <c r="A219" s="71" t="s">
        <v>225</v>
      </c>
      <c r="B219" s="71"/>
      <c r="C219" s="26" t="s">
        <v>153</v>
      </c>
      <c r="D219" s="71">
        <f>(28.15+0.75*2.36)*10.764</f>
        <v>322.05887999999999</v>
      </c>
      <c r="E219" s="71"/>
      <c r="F219" s="26">
        <v>0</v>
      </c>
      <c r="G219" s="26">
        <f t="shared" si="13"/>
        <v>483.08831999999995</v>
      </c>
      <c r="H219" s="26" t="s">
        <v>85</v>
      </c>
      <c r="I219" s="71"/>
      <c r="J219" s="71"/>
    </row>
    <row r="220" spans="1:13" s="24" customFormat="1" x14ac:dyDescent="0.25">
      <c r="A220" s="71" t="s">
        <v>226</v>
      </c>
      <c r="B220" s="71"/>
      <c r="C220" s="26" t="s">
        <v>153</v>
      </c>
      <c r="D220" s="71">
        <f>(28.15+0.75*2.36)*10.764</f>
        <v>322.05887999999999</v>
      </c>
      <c r="E220" s="71"/>
      <c r="F220" s="26">
        <v>0</v>
      </c>
      <c r="G220" s="26">
        <f t="shared" si="13"/>
        <v>483.08831999999995</v>
      </c>
      <c r="H220" s="26" t="s">
        <v>85</v>
      </c>
      <c r="I220" s="71"/>
      <c r="J220" s="71"/>
    </row>
    <row r="221" spans="1:13" s="24" customFormat="1" x14ac:dyDescent="0.25">
      <c r="A221" s="71" t="s">
        <v>227</v>
      </c>
      <c r="B221" s="71"/>
      <c r="C221" s="26" t="s">
        <v>153</v>
      </c>
      <c r="D221" s="71">
        <f>(28.15+0.75*2.36)*10.764</f>
        <v>322.05887999999999</v>
      </c>
      <c r="E221" s="71"/>
      <c r="F221" s="26">
        <v>0</v>
      </c>
      <c r="G221" s="26">
        <f t="shared" si="13"/>
        <v>483.08831999999995</v>
      </c>
      <c r="H221" s="26" t="s">
        <v>85</v>
      </c>
      <c r="I221" s="71"/>
      <c r="J221" s="71"/>
    </row>
    <row r="222" spans="1:13" s="24" customFormat="1" x14ac:dyDescent="0.25">
      <c r="A222" s="71" t="s">
        <v>228</v>
      </c>
      <c r="B222" s="71"/>
      <c r="C222" s="26" t="s">
        <v>153</v>
      </c>
      <c r="D222" s="71">
        <f>(28.15+0.75*2.36)*10.764</f>
        <v>322.05887999999999</v>
      </c>
      <c r="E222" s="71"/>
      <c r="F222" s="26">
        <v>0</v>
      </c>
      <c r="G222" s="26">
        <f t="shared" si="13"/>
        <v>483.08831999999995</v>
      </c>
      <c r="H222" s="26" t="s">
        <v>85</v>
      </c>
      <c r="I222" s="71"/>
      <c r="J222" s="71"/>
    </row>
    <row r="223" spans="1:13" s="24" customFormat="1" x14ac:dyDescent="0.25">
      <c r="A223" s="71" t="s">
        <v>230</v>
      </c>
      <c r="B223" s="71"/>
      <c r="C223" s="26" t="s">
        <v>154</v>
      </c>
      <c r="D223" s="71">
        <f>(33.9+(0.75*(2.81+2.43)))*10.764</f>
        <v>407.20211999999998</v>
      </c>
      <c r="E223" s="71"/>
      <c r="F223" s="26">
        <v>0</v>
      </c>
      <c r="G223" s="26">
        <f t="shared" si="13"/>
        <v>610.80318</v>
      </c>
      <c r="H223" s="26" t="s">
        <v>85</v>
      </c>
      <c r="I223" s="71"/>
      <c r="J223" s="71"/>
    </row>
    <row r="224" spans="1:13" s="24" customFormat="1" x14ac:dyDescent="0.25">
      <c r="A224" s="71" t="s">
        <v>229</v>
      </c>
      <c r="B224" s="71"/>
      <c r="C224" s="26" t="s">
        <v>154</v>
      </c>
      <c r="D224" s="71">
        <f>(33.9+(0.75*(2.81+2.43)))*10.764</f>
        <v>407.20211999999998</v>
      </c>
      <c r="E224" s="71"/>
      <c r="F224" s="26">
        <v>0</v>
      </c>
      <c r="G224" s="26">
        <f t="shared" si="13"/>
        <v>610.80318</v>
      </c>
      <c r="H224" s="26" t="s">
        <v>85</v>
      </c>
      <c r="I224" s="71"/>
      <c r="J224" s="71"/>
    </row>
    <row r="225" spans="1:10" s="24" customFormat="1" x14ac:dyDescent="0.25">
      <c r="A225" s="71" t="s">
        <v>231</v>
      </c>
      <c r="B225" s="71"/>
      <c r="C225" s="26" t="s">
        <v>153</v>
      </c>
      <c r="D225" s="71">
        <f>(28.15+0.75*2.36)*10.764</f>
        <v>322.05887999999999</v>
      </c>
      <c r="E225" s="71"/>
      <c r="F225" s="26">
        <v>0</v>
      </c>
      <c r="G225" s="26">
        <f t="shared" si="13"/>
        <v>483.08831999999995</v>
      </c>
      <c r="H225" s="26" t="s">
        <v>85</v>
      </c>
      <c r="I225" s="71"/>
      <c r="J225" s="71"/>
    </row>
    <row r="226" spans="1:10" s="24" customFormat="1" x14ac:dyDescent="0.25">
      <c r="A226" s="71" t="s">
        <v>232</v>
      </c>
      <c r="B226" s="71"/>
      <c r="C226" s="26" t="s">
        <v>153</v>
      </c>
      <c r="D226" s="71">
        <f>(28.15+0.75*2.36)*10.764</f>
        <v>322.05887999999999</v>
      </c>
      <c r="E226" s="71"/>
      <c r="F226" s="26">
        <v>0</v>
      </c>
      <c r="G226" s="26">
        <f t="shared" si="13"/>
        <v>483.08831999999995</v>
      </c>
      <c r="H226" s="26" t="s">
        <v>85</v>
      </c>
      <c r="I226" s="71"/>
      <c r="J226" s="71"/>
    </row>
    <row r="227" spans="1:10" s="24" customFormat="1" x14ac:dyDescent="0.25">
      <c r="A227" s="71" t="s">
        <v>233</v>
      </c>
      <c r="B227" s="71"/>
      <c r="C227" s="26" t="s">
        <v>153</v>
      </c>
      <c r="D227" s="71">
        <f>(28.31+(0.75*(2.74+2.74)))*10.764</f>
        <v>348.96888000000001</v>
      </c>
      <c r="E227" s="71"/>
      <c r="F227" s="26">
        <v>0</v>
      </c>
      <c r="G227" s="26">
        <f t="shared" si="13"/>
        <v>523.45332000000008</v>
      </c>
      <c r="H227" s="26" t="s">
        <v>85</v>
      </c>
      <c r="I227" s="71"/>
      <c r="J227" s="71"/>
    </row>
    <row r="228" spans="1:10" s="24" customFormat="1" x14ac:dyDescent="0.25">
      <c r="A228" s="72" t="s">
        <v>151</v>
      </c>
      <c r="B228" s="72"/>
      <c r="C228" s="72"/>
      <c r="D228" s="72"/>
      <c r="E228" s="72"/>
      <c r="F228" s="72"/>
      <c r="G228" s="72"/>
      <c r="H228" s="72"/>
      <c r="I228" s="72"/>
      <c r="J228" s="72"/>
    </row>
    <row r="229" spans="1:10" s="24" customFormat="1" x14ac:dyDescent="0.25">
      <c r="A229" s="72" t="s">
        <v>158</v>
      </c>
      <c r="B229" s="72"/>
      <c r="C229" s="72"/>
      <c r="D229" s="72"/>
      <c r="E229" s="72"/>
      <c r="F229" s="72"/>
      <c r="G229" s="72"/>
      <c r="H229" s="72"/>
      <c r="I229" s="72"/>
      <c r="J229" s="72"/>
    </row>
    <row r="230" spans="1:10" s="24" customFormat="1" x14ac:dyDescent="0.25">
      <c r="A230" s="71">
        <v>1</v>
      </c>
      <c r="B230" s="71"/>
      <c r="C230" s="26" t="s">
        <v>153</v>
      </c>
      <c r="D230" s="71">
        <f>(26.85)*10.764</f>
        <v>289.01339999999999</v>
      </c>
      <c r="E230" s="71"/>
      <c r="F230" s="26">
        <v>0</v>
      </c>
      <c r="G230" s="26">
        <f t="shared" ref="G230:G233" si="14">D230*1.5+F230</f>
        <v>433.52009999999996</v>
      </c>
      <c r="H230" s="26" t="s">
        <v>85</v>
      </c>
      <c r="I230" s="71" t="s">
        <v>164</v>
      </c>
      <c r="J230" s="71"/>
    </row>
    <row r="231" spans="1:10" s="24" customFormat="1" x14ac:dyDescent="0.25">
      <c r="A231" s="71">
        <v>2</v>
      </c>
      <c r="B231" s="71"/>
      <c r="C231" s="26" t="s">
        <v>153</v>
      </c>
      <c r="D231" s="71">
        <f>(28.37)*10.764</f>
        <v>305.37468000000001</v>
      </c>
      <c r="E231" s="71"/>
      <c r="F231" s="26">
        <v>0</v>
      </c>
      <c r="G231" s="26">
        <f t="shared" si="14"/>
        <v>458.06202000000002</v>
      </c>
      <c r="H231" s="26" t="s">
        <v>85</v>
      </c>
      <c r="I231" s="71"/>
      <c r="J231" s="71"/>
    </row>
    <row r="232" spans="1:10" s="24" customFormat="1" x14ac:dyDescent="0.25">
      <c r="A232" s="71">
        <v>3</v>
      </c>
      <c r="B232" s="71"/>
      <c r="C232" s="26" t="s">
        <v>153</v>
      </c>
      <c r="D232" s="71">
        <f t="shared" ref="D232" si="15">(28.37)*10.764</f>
        <v>305.37468000000001</v>
      </c>
      <c r="E232" s="71"/>
      <c r="F232" s="26">
        <v>0</v>
      </c>
      <c r="G232" s="26">
        <f t="shared" si="14"/>
        <v>458.06202000000002</v>
      </c>
      <c r="H232" s="26" t="s">
        <v>85</v>
      </c>
      <c r="I232" s="71"/>
      <c r="J232" s="71"/>
    </row>
    <row r="233" spans="1:10" s="24" customFormat="1" x14ac:dyDescent="0.25">
      <c r="A233" s="71">
        <v>4</v>
      </c>
      <c r="B233" s="71"/>
      <c r="C233" s="26" t="s">
        <v>153</v>
      </c>
      <c r="D233" s="71">
        <f>(28.55)*10.764</f>
        <v>307.31219999999996</v>
      </c>
      <c r="E233" s="71"/>
      <c r="F233" s="26">
        <v>0</v>
      </c>
      <c r="G233" s="26">
        <f t="shared" si="14"/>
        <v>460.96829999999994</v>
      </c>
      <c r="H233" s="26" t="s">
        <v>85</v>
      </c>
      <c r="I233" s="71"/>
      <c r="J233" s="71"/>
    </row>
    <row r="234" spans="1:10" s="24" customFormat="1" x14ac:dyDescent="0.25">
      <c r="A234" s="70" t="s">
        <v>234</v>
      </c>
      <c r="B234" s="70"/>
      <c r="C234" s="70"/>
      <c r="D234" s="70"/>
      <c r="E234" s="70"/>
      <c r="F234" s="70"/>
      <c r="G234" s="70"/>
      <c r="H234" s="70"/>
      <c r="I234" s="70"/>
      <c r="J234" s="70"/>
    </row>
    <row r="235" spans="1:10" s="24" customFormat="1" x14ac:dyDescent="0.25">
      <c r="A235" s="71" t="s">
        <v>235</v>
      </c>
      <c r="B235" s="71"/>
      <c r="C235" s="26" t="s">
        <v>153</v>
      </c>
      <c r="D235" s="71">
        <f>(28.15+0.75*2.36)*10.764</f>
        <v>322.05887999999999</v>
      </c>
      <c r="E235" s="71"/>
      <c r="F235" s="26">
        <v>0</v>
      </c>
      <c r="G235" s="26">
        <f t="shared" ref="G235:G242" si="16">D235*1.5+F235</f>
        <v>483.08831999999995</v>
      </c>
      <c r="H235" s="26" t="s">
        <v>85</v>
      </c>
      <c r="I235" s="71" t="str">
        <f>A234</f>
        <v xml:space="preserve">1st to 3rd Floor </v>
      </c>
      <c r="J235" s="71"/>
    </row>
    <row r="236" spans="1:10" s="24" customFormat="1" x14ac:dyDescent="0.25">
      <c r="A236" s="71" t="s">
        <v>236</v>
      </c>
      <c r="B236" s="71"/>
      <c r="C236" s="26" t="s">
        <v>153</v>
      </c>
      <c r="D236" s="71">
        <f t="shared" ref="D236:D237" si="17">(28.15+0.75*2.36)*10.764</f>
        <v>322.05887999999999</v>
      </c>
      <c r="E236" s="71"/>
      <c r="F236" s="26">
        <v>0</v>
      </c>
      <c r="G236" s="26">
        <f t="shared" si="16"/>
        <v>483.08831999999995</v>
      </c>
      <c r="H236" s="26" t="s">
        <v>85</v>
      </c>
      <c r="I236" s="71"/>
      <c r="J236" s="71"/>
    </row>
    <row r="237" spans="1:10" s="24" customFormat="1" x14ac:dyDescent="0.25">
      <c r="A237" s="71" t="s">
        <v>237</v>
      </c>
      <c r="B237" s="71"/>
      <c r="C237" s="26" t="s">
        <v>153</v>
      </c>
      <c r="D237" s="71">
        <f t="shared" si="17"/>
        <v>322.05887999999999</v>
      </c>
      <c r="E237" s="71"/>
      <c r="F237" s="26">
        <v>0</v>
      </c>
      <c r="G237" s="26">
        <f t="shared" si="16"/>
        <v>483.08831999999995</v>
      </c>
      <c r="H237" s="26" t="s">
        <v>85</v>
      </c>
      <c r="I237" s="71"/>
      <c r="J237" s="71"/>
    </row>
    <row r="238" spans="1:10" s="24" customFormat="1" x14ac:dyDescent="0.25">
      <c r="A238" s="71" t="s">
        <v>238</v>
      </c>
      <c r="B238" s="71"/>
      <c r="C238" s="26" t="s">
        <v>153</v>
      </c>
      <c r="D238" s="71">
        <f>(27.99+0.75*2.36)*10.764</f>
        <v>320.33663999999993</v>
      </c>
      <c r="E238" s="71"/>
      <c r="F238" s="26">
        <v>0</v>
      </c>
      <c r="G238" s="26">
        <f t="shared" si="16"/>
        <v>480.50495999999987</v>
      </c>
      <c r="H238" s="26" t="s">
        <v>85</v>
      </c>
      <c r="I238" s="71"/>
      <c r="J238" s="71"/>
    </row>
    <row r="239" spans="1:10" s="24" customFormat="1" x14ac:dyDescent="0.25">
      <c r="A239" s="71" t="s">
        <v>239</v>
      </c>
      <c r="B239" s="71"/>
      <c r="C239" s="26" t="s">
        <v>153</v>
      </c>
      <c r="D239" s="71">
        <f>(28.15+0.75*2.36)*10.764</f>
        <v>322.05887999999999</v>
      </c>
      <c r="E239" s="71"/>
      <c r="F239" s="26">
        <v>0</v>
      </c>
      <c r="G239" s="26">
        <f t="shared" si="16"/>
        <v>483.08831999999995</v>
      </c>
      <c r="H239" s="26" t="s">
        <v>85</v>
      </c>
      <c r="I239" s="71"/>
      <c r="J239" s="71"/>
    </row>
    <row r="240" spans="1:10" s="24" customFormat="1" x14ac:dyDescent="0.25">
      <c r="A240" s="71" t="s">
        <v>240</v>
      </c>
      <c r="B240" s="71"/>
      <c r="C240" s="26" t="s">
        <v>153</v>
      </c>
      <c r="D240" s="71">
        <f>(28.15+0.75*2.36)*10.764</f>
        <v>322.05887999999999</v>
      </c>
      <c r="E240" s="71"/>
      <c r="F240" s="26">
        <v>0</v>
      </c>
      <c r="G240" s="26">
        <f t="shared" si="16"/>
        <v>483.08831999999995</v>
      </c>
      <c r="H240" s="26" t="s">
        <v>85</v>
      </c>
      <c r="I240" s="71"/>
      <c r="J240" s="71"/>
    </row>
    <row r="241" spans="1:13" s="24" customFormat="1" x14ac:dyDescent="0.25">
      <c r="A241" s="71" t="s">
        <v>241</v>
      </c>
      <c r="B241" s="71"/>
      <c r="C241" s="26" t="s">
        <v>153</v>
      </c>
      <c r="D241" s="71">
        <f>(28.15+0.75*2.36)*10.764</f>
        <v>322.05887999999999</v>
      </c>
      <c r="E241" s="71"/>
      <c r="F241" s="26">
        <v>0</v>
      </c>
      <c r="G241" s="26">
        <f t="shared" si="16"/>
        <v>483.08831999999995</v>
      </c>
      <c r="H241" s="26" t="s">
        <v>85</v>
      </c>
      <c r="I241" s="71"/>
      <c r="J241" s="71"/>
    </row>
    <row r="242" spans="1:13" s="24" customFormat="1" x14ac:dyDescent="0.25">
      <c r="A242" s="71" t="s">
        <v>242</v>
      </c>
      <c r="B242" s="71"/>
      <c r="C242" s="26" t="s">
        <v>153</v>
      </c>
      <c r="D242" s="71">
        <f>(24.68+0.75*2.36)*10.764</f>
        <v>284.70779999999996</v>
      </c>
      <c r="E242" s="71"/>
      <c r="F242" s="26">
        <v>0</v>
      </c>
      <c r="G242" s="26">
        <f t="shared" si="16"/>
        <v>427.06169999999997</v>
      </c>
      <c r="H242" s="26" t="s">
        <v>85</v>
      </c>
      <c r="I242" s="71"/>
      <c r="J242" s="71"/>
    </row>
    <row r="243" spans="1:13" s="24" customFormat="1" x14ac:dyDescent="0.25">
      <c r="A243" s="70" t="s">
        <v>243</v>
      </c>
      <c r="B243" s="70"/>
      <c r="C243" s="70"/>
      <c r="D243" s="70"/>
      <c r="E243" s="70"/>
      <c r="F243" s="70"/>
      <c r="G243" s="70"/>
      <c r="H243" s="70"/>
      <c r="I243" s="70"/>
      <c r="J243" s="70"/>
    </row>
    <row r="244" spans="1:13" s="24" customFormat="1" x14ac:dyDescent="0.25">
      <c r="A244" s="71">
        <v>401</v>
      </c>
      <c r="B244" s="71"/>
      <c r="C244" s="26" t="s">
        <v>153</v>
      </c>
      <c r="D244" s="71">
        <f>(28.15+0.75*2.36)*10.764</f>
        <v>322.05887999999999</v>
      </c>
      <c r="E244" s="71"/>
      <c r="F244" s="26">
        <v>0</v>
      </c>
      <c r="G244" s="26">
        <f t="shared" ref="G244:G251" si="18">D244*1.5+F244</f>
        <v>483.08831999999995</v>
      </c>
      <c r="H244" s="26" t="s">
        <v>85</v>
      </c>
      <c r="I244" s="71" t="str">
        <f>A243</f>
        <v xml:space="preserve">4th Floor </v>
      </c>
      <c r="J244" s="71"/>
    </row>
    <row r="245" spans="1:13" s="24" customFormat="1" ht="15.75" customHeight="1" x14ac:dyDescent="0.25">
      <c r="A245" s="71">
        <v>402</v>
      </c>
      <c r="B245" s="71"/>
      <c r="C245" s="26" t="s">
        <v>153</v>
      </c>
      <c r="D245" s="71">
        <f t="shared" ref="D245:D246" si="19">(28.15+0.75*2.36)*10.764</f>
        <v>322.05887999999999</v>
      </c>
      <c r="E245" s="71"/>
      <c r="F245" s="26">
        <v>0</v>
      </c>
      <c r="G245" s="26">
        <f t="shared" si="18"/>
        <v>483.08831999999995</v>
      </c>
      <c r="H245" s="26" t="s">
        <v>85</v>
      </c>
      <c r="I245" s="71"/>
      <c r="J245" s="71"/>
    </row>
    <row r="246" spans="1:13" s="24" customFormat="1" ht="15.75" customHeight="1" x14ac:dyDescent="0.25">
      <c r="A246" s="71">
        <v>403</v>
      </c>
      <c r="B246" s="71"/>
      <c r="C246" s="26" t="s">
        <v>153</v>
      </c>
      <c r="D246" s="71">
        <f t="shared" si="19"/>
        <v>322.05887999999999</v>
      </c>
      <c r="E246" s="71"/>
      <c r="F246" s="26">
        <v>0</v>
      </c>
      <c r="G246" s="26">
        <f t="shared" si="18"/>
        <v>483.08831999999995</v>
      </c>
      <c r="H246" s="26" t="s">
        <v>85</v>
      </c>
      <c r="I246" s="71"/>
      <c r="J246" s="71"/>
    </row>
    <row r="247" spans="1:13" s="24" customFormat="1" ht="15.75" customHeight="1" x14ac:dyDescent="0.25">
      <c r="A247" s="71">
        <v>404</v>
      </c>
      <c r="B247" s="71"/>
      <c r="C247" s="26" t="s">
        <v>153</v>
      </c>
      <c r="D247" s="71">
        <f>(27.99+3*1.2+0.75*2.36)*10.764</f>
        <v>359.08703999999994</v>
      </c>
      <c r="E247" s="71"/>
      <c r="F247" s="26">
        <v>0</v>
      </c>
      <c r="G247" s="26">
        <f t="shared" si="18"/>
        <v>538.63055999999995</v>
      </c>
      <c r="H247" s="26" t="s">
        <v>85</v>
      </c>
      <c r="I247" s="71"/>
      <c r="J247" s="71"/>
    </row>
    <row r="248" spans="1:13" s="24" customFormat="1" ht="15.75" customHeight="1" x14ac:dyDescent="0.25">
      <c r="A248" s="71">
        <v>405</v>
      </c>
      <c r="B248" s="71"/>
      <c r="C248" s="26" t="s">
        <v>153</v>
      </c>
      <c r="D248" s="71">
        <f>(28.15+0.75*2.36)*10.764</f>
        <v>322.05887999999999</v>
      </c>
      <c r="E248" s="71"/>
      <c r="F248" s="26">
        <v>0</v>
      </c>
      <c r="G248" s="26">
        <f t="shared" si="18"/>
        <v>483.08831999999995</v>
      </c>
      <c r="H248" s="26" t="s">
        <v>85</v>
      </c>
      <c r="I248" s="71"/>
      <c r="J248" s="71"/>
    </row>
    <row r="249" spans="1:13" s="24" customFormat="1" ht="15.75" customHeight="1" x14ac:dyDescent="0.25">
      <c r="A249" s="71">
        <v>406</v>
      </c>
      <c r="B249" s="71"/>
      <c r="C249" s="26" t="s">
        <v>153</v>
      </c>
      <c r="D249" s="71">
        <f>(28.15+0.75*2.36)*10.764</f>
        <v>322.05887999999999</v>
      </c>
      <c r="E249" s="71"/>
      <c r="F249" s="26">
        <v>0</v>
      </c>
      <c r="G249" s="26">
        <f t="shared" si="18"/>
        <v>483.08831999999995</v>
      </c>
      <c r="H249" s="26" t="s">
        <v>85</v>
      </c>
      <c r="I249" s="71"/>
      <c r="J249" s="71"/>
    </row>
    <row r="250" spans="1:13" s="24" customFormat="1" ht="15.75" customHeight="1" x14ac:dyDescent="0.25">
      <c r="A250" s="71">
        <v>407</v>
      </c>
      <c r="B250" s="71"/>
      <c r="C250" s="26" t="s">
        <v>153</v>
      </c>
      <c r="D250" s="71">
        <f>(28.15+0.75*2.36)*10.764</f>
        <v>322.05887999999999</v>
      </c>
      <c r="E250" s="71"/>
      <c r="F250" s="26">
        <v>0</v>
      </c>
      <c r="G250" s="26">
        <f t="shared" si="18"/>
        <v>483.08831999999995</v>
      </c>
      <c r="H250" s="26" t="s">
        <v>85</v>
      </c>
      <c r="I250" s="71"/>
      <c r="J250" s="71"/>
    </row>
    <row r="251" spans="1:13" s="24" customFormat="1" ht="15.75" customHeight="1" x14ac:dyDescent="0.25">
      <c r="A251" s="71">
        <v>408</v>
      </c>
      <c r="B251" s="71"/>
      <c r="C251" s="26" t="s">
        <v>153</v>
      </c>
      <c r="D251" s="71">
        <f>(24.68+0.75*2.36)*10.764</f>
        <v>284.70779999999996</v>
      </c>
      <c r="E251" s="71"/>
      <c r="F251" s="26">
        <v>0</v>
      </c>
      <c r="G251" s="26">
        <f t="shared" si="18"/>
        <v>427.06169999999997</v>
      </c>
      <c r="H251" s="26" t="s">
        <v>85</v>
      </c>
      <c r="I251" s="71"/>
      <c r="J251" s="71"/>
    </row>
    <row r="252" spans="1:13" s="23" customFormat="1" x14ac:dyDescent="0.25">
      <c r="A252" s="185" t="s">
        <v>95</v>
      </c>
      <c r="B252" s="185"/>
      <c r="C252" s="185"/>
      <c r="D252" s="185"/>
      <c r="E252" s="185"/>
      <c r="F252" s="185"/>
      <c r="G252" s="185"/>
      <c r="H252" s="185"/>
      <c r="I252" s="185"/>
      <c r="J252" s="185"/>
    </row>
    <row r="253" spans="1:13" s="25" customFormat="1" ht="231.75" customHeight="1" x14ac:dyDescent="0.25">
      <c r="A253" s="186" t="s">
        <v>271</v>
      </c>
      <c r="B253" s="186"/>
      <c r="C253" s="186"/>
      <c r="D253" s="186"/>
      <c r="E253" s="186"/>
      <c r="F253" s="186"/>
      <c r="G253" s="186"/>
      <c r="H253" s="186"/>
      <c r="I253" s="186"/>
      <c r="J253" s="186"/>
      <c r="M253" s="25" t="s">
        <v>270</v>
      </c>
    </row>
    <row r="254" spans="1:13" x14ac:dyDescent="0.25">
      <c r="A254" s="183" t="s">
        <v>86</v>
      </c>
      <c r="B254" s="122"/>
      <c r="C254" s="122"/>
      <c r="D254" s="122"/>
      <c r="E254" s="122"/>
      <c r="F254" s="122"/>
      <c r="G254" s="122"/>
      <c r="H254" s="122"/>
      <c r="I254" s="122"/>
      <c r="J254" s="123"/>
    </row>
    <row r="255" spans="1:13" x14ac:dyDescent="0.25">
      <c r="A255" s="103" t="s">
        <v>87</v>
      </c>
      <c r="B255" s="104"/>
      <c r="C255" s="104"/>
      <c r="D255" s="104"/>
      <c r="E255" s="104"/>
      <c r="F255" s="104"/>
      <c r="G255" s="104"/>
      <c r="H255" s="104"/>
      <c r="I255" s="104"/>
      <c r="J255" s="105"/>
    </row>
    <row r="256" spans="1:13" ht="15.75" customHeight="1" x14ac:dyDescent="0.25">
      <c r="A256" s="183" t="s">
        <v>88</v>
      </c>
      <c r="B256" s="122"/>
      <c r="C256" s="122"/>
      <c r="D256" s="122"/>
      <c r="E256" s="122"/>
      <c r="F256" s="122"/>
      <c r="G256" s="122"/>
      <c r="H256" s="122"/>
      <c r="I256" s="122"/>
      <c r="J256" s="123"/>
    </row>
    <row r="257" spans="1:10" x14ac:dyDescent="0.25">
      <c r="A257" s="103" t="s">
        <v>89</v>
      </c>
      <c r="B257" s="104"/>
      <c r="C257" s="104"/>
      <c r="D257" s="104"/>
      <c r="E257" s="104"/>
      <c r="F257" s="104"/>
      <c r="G257" s="104"/>
      <c r="H257" s="104"/>
      <c r="I257" s="104"/>
      <c r="J257" s="105"/>
    </row>
    <row r="258" spans="1:10" x14ac:dyDescent="0.25">
      <c r="A258" s="103" t="s">
        <v>90</v>
      </c>
      <c r="B258" s="104"/>
      <c r="C258" s="104"/>
      <c r="D258" s="104"/>
      <c r="E258" s="104"/>
      <c r="F258" s="104"/>
      <c r="G258" s="104"/>
      <c r="H258" s="104"/>
      <c r="I258" s="104"/>
      <c r="J258" s="105"/>
    </row>
    <row r="259" spans="1:10" x14ac:dyDescent="0.25">
      <c r="A259" s="103" t="s">
        <v>91</v>
      </c>
      <c r="B259" s="104"/>
      <c r="C259" s="104"/>
      <c r="D259" s="104"/>
      <c r="E259" s="104"/>
      <c r="F259" s="104"/>
      <c r="G259" s="104"/>
      <c r="H259" s="104"/>
      <c r="I259" s="104"/>
      <c r="J259" s="105"/>
    </row>
    <row r="260" spans="1:10" x14ac:dyDescent="0.25">
      <c r="A260" s="108" t="s">
        <v>92</v>
      </c>
      <c r="B260" s="109"/>
      <c r="C260" s="109"/>
      <c r="D260" s="109"/>
      <c r="E260" s="109"/>
      <c r="F260" s="109"/>
      <c r="G260" s="109"/>
      <c r="H260" s="109"/>
      <c r="I260" s="109"/>
      <c r="J260" s="110"/>
    </row>
    <row r="261" spans="1:10" x14ac:dyDescent="0.25">
      <c r="A261" s="181" t="s">
        <v>135</v>
      </c>
      <c r="B261" s="181"/>
      <c r="C261" s="182" t="s">
        <v>268</v>
      </c>
      <c r="D261" s="182"/>
      <c r="E261" s="181" t="s">
        <v>136</v>
      </c>
      <c r="F261" s="181"/>
      <c r="G261" s="181"/>
      <c r="H261" s="181" t="s">
        <v>269</v>
      </c>
      <c r="I261" s="181"/>
      <c r="J261" s="181"/>
    </row>
    <row r="262" spans="1:10" x14ac:dyDescent="0.25">
      <c r="A262" s="180" t="s">
        <v>138</v>
      </c>
      <c r="B262" s="180"/>
      <c r="C262" s="180"/>
      <c r="D262" s="180"/>
      <c r="E262" s="180"/>
      <c r="F262" s="180"/>
      <c r="G262" s="180"/>
      <c r="H262" s="180"/>
      <c r="I262" s="180"/>
      <c r="J262" s="180"/>
    </row>
    <row r="263" spans="1:10" ht="9.75" customHeight="1" x14ac:dyDescent="0.25">
      <c r="A263" s="180"/>
      <c r="B263" s="180"/>
      <c r="C263" s="180"/>
      <c r="D263" s="180"/>
      <c r="E263" s="180"/>
      <c r="F263" s="180"/>
      <c r="G263" s="180"/>
      <c r="H263" s="180"/>
      <c r="I263" s="180"/>
      <c r="J263" s="180"/>
    </row>
    <row r="264" spans="1:10" x14ac:dyDescent="0.25">
      <c r="A264" s="180"/>
      <c r="B264" s="180"/>
      <c r="C264" s="180"/>
      <c r="D264" s="180"/>
      <c r="E264" s="180"/>
      <c r="F264" s="180"/>
      <c r="G264" s="180"/>
      <c r="H264" s="180"/>
      <c r="I264" s="180"/>
      <c r="J264" s="180"/>
    </row>
    <row r="265" spans="1:10" ht="9" customHeight="1" x14ac:dyDescent="0.25">
      <c r="A265" s="180"/>
      <c r="B265" s="180"/>
      <c r="C265" s="180"/>
      <c r="D265" s="180"/>
      <c r="E265" s="180"/>
      <c r="F265" s="180"/>
      <c r="G265" s="180"/>
      <c r="H265" s="180"/>
      <c r="I265" s="180"/>
      <c r="J265" s="180"/>
    </row>
    <row r="266" spans="1:10" x14ac:dyDescent="0.25">
      <c r="A266" s="39" t="s">
        <v>93</v>
      </c>
      <c r="B266" s="40"/>
      <c r="C266" s="40"/>
      <c r="D266" s="39" t="str">
        <f>F8</f>
        <v>Bhawani Shankar Residency</v>
      </c>
      <c r="G266" s="40"/>
      <c r="H266" s="40"/>
      <c r="I266" s="40"/>
      <c r="J266" s="40"/>
    </row>
    <row r="267" spans="1:10" s="24" customFormat="1" x14ac:dyDescent="0.25">
      <c r="A267" s="179"/>
      <c r="B267" s="179"/>
      <c r="C267" s="30"/>
      <c r="D267" s="179"/>
      <c r="E267" s="179"/>
      <c r="F267" s="30"/>
      <c r="G267" s="30"/>
      <c r="H267" s="30"/>
      <c r="I267" s="179"/>
      <c r="J267" s="179"/>
    </row>
    <row r="268" spans="1:10" s="24" customFormat="1" x14ac:dyDescent="0.25">
      <c r="A268" s="179"/>
      <c r="B268" s="179"/>
      <c r="C268" s="30"/>
      <c r="D268" s="179"/>
      <c r="E268" s="179"/>
      <c r="F268" s="30"/>
      <c r="G268" s="30"/>
      <c r="H268" s="30"/>
      <c r="I268" s="179"/>
      <c r="J268" s="179"/>
    </row>
    <row r="269" spans="1:10" s="24" customFormat="1" x14ac:dyDescent="0.25">
      <c r="A269" s="179"/>
      <c r="B269" s="179"/>
      <c r="C269" s="30"/>
      <c r="D269" s="179"/>
      <c r="E269" s="179"/>
      <c r="F269" s="30"/>
      <c r="G269" s="30"/>
      <c r="H269" s="30"/>
      <c r="I269" s="179"/>
      <c r="J269" s="179"/>
    </row>
    <row r="270" spans="1:10" s="24" customFormat="1" x14ac:dyDescent="0.25">
      <c r="A270" s="179"/>
      <c r="B270" s="179"/>
      <c r="C270" s="30"/>
      <c r="D270" s="179"/>
      <c r="E270" s="179"/>
      <c r="F270" s="30"/>
      <c r="G270" s="30"/>
      <c r="H270" s="30"/>
      <c r="I270" s="179"/>
      <c r="J270" s="179"/>
    </row>
    <row r="271" spans="1:10" s="24" customFormat="1" x14ac:dyDescent="0.25">
      <c r="A271" s="179"/>
      <c r="B271" s="179"/>
      <c r="C271" s="30"/>
      <c r="D271" s="179"/>
      <c r="E271" s="179"/>
      <c r="F271" s="30"/>
      <c r="G271" s="30"/>
      <c r="H271" s="30"/>
      <c r="I271" s="179"/>
      <c r="J271" s="179"/>
    </row>
    <row r="272" spans="1:10" s="24" customFormat="1" x14ac:dyDescent="0.25">
      <c r="A272" s="179"/>
      <c r="B272" s="179"/>
      <c r="C272" s="30"/>
      <c r="D272" s="179"/>
      <c r="E272" s="179"/>
      <c r="F272" s="30"/>
      <c r="G272" s="30"/>
      <c r="H272" s="30"/>
      <c r="I272" s="179"/>
      <c r="J272" s="179"/>
    </row>
    <row r="273" spans="1:10" s="24" customFormat="1" x14ac:dyDescent="0.25">
      <c r="A273" s="179"/>
      <c r="B273" s="179"/>
      <c r="C273" s="30"/>
      <c r="D273" s="179"/>
      <c r="E273" s="179"/>
      <c r="F273" s="30"/>
      <c r="G273" s="30"/>
      <c r="H273" s="30"/>
      <c r="I273" s="179"/>
      <c r="J273" s="179"/>
    </row>
    <row r="274" spans="1:10" s="24" customFormat="1" x14ac:dyDescent="0.25">
      <c r="A274" s="179"/>
      <c r="B274" s="179"/>
      <c r="C274" s="30"/>
      <c r="D274" s="179"/>
      <c r="E274" s="179"/>
      <c r="F274" s="30"/>
      <c r="G274" s="30"/>
      <c r="H274" s="30"/>
      <c r="I274" s="179"/>
      <c r="J274" s="179"/>
    </row>
    <row r="275" spans="1:10" s="24" customFormat="1" x14ac:dyDescent="0.25">
      <c r="A275" s="179"/>
      <c r="B275" s="179"/>
      <c r="C275" s="30"/>
      <c r="D275" s="179"/>
      <c r="E275" s="179"/>
      <c r="F275" s="30"/>
      <c r="G275" s="30"/>
      <c r="H275" s="30"/>
      <c r="I275" s="179"/>
      <c r="J275" s="179"/>
    </row>
    <row r="276" spans="1:10" s="24" customFormat="1" x14ac:dyDescent="0.25">
      <c r="A276" s="179"/>
      <c r="B276" s="179"/>
      <c r="C276" s="30"/>
      <c r="D276" s="179"/>
      <c r="E276" s="179"/>
      <c r="F276" s="30"/>
      <c r="G276" s="30"/>
      <c r="H276" s="30"/>
      <c r="I276" s="179"/>
      <c r="J276" s="179"/>
    </row>
    <row r="277" spans="1:10" s="24" customFormat="1" x14ac:dyDescent="0.25">
      <c r="A277" s="179"/>
      <c r="B277" s="179"/>
      <c r="C277" s="30"/>
      <c r="D277" s="179"/>
      <c r="E277" s="179"/>
      <c r="F277" s="30"/>
      <c r="G277" s="30"/>
      <c r="H277" s="30"/>
      <c r="I277" s="179"/>
      <c r="J277" s="179"/>
    </row>
    <row r="278" spans="1:10" s="24" customFormat="1" x14ac:dyDescent="0.25">
      <c r="A278" s="179"/>
      <c r="B278" s="179"/>
      <c r="C278" s="30"/>
      <c r="D278" s="179"/>
      <c r="E278" s="179"/>
      <c r="F278" s="30"/>
      <c r="G278" s="30"/>
      <c r="H278" s="30"/>
      <c r="I278" s="179"/>
      <c r="J278" s="179"/>
    </row>
    <row r="279" spans="1:10" s="24" customFormat="1" x14ac:dyDescent="0.25">
      <c r="A279" s="179"/>
      <c r="B279" s="179"/>
      <c r="C279" s="30"/>
      <c r="D279" s="179"/>
      <c r="E279" s="179"/>
      <c r="F279" s="30"/>
      <c r="G279" s="30"/>
      <c r="H279" s="30"/>
      <c r="I279" s="179"/>
      <c r="J279" s="179"/>
    </row>
    <row r="280" spans="1:10" s="24" customFormat="1" x14ac:dyDescent="0.25">
      <c r="A280" s="179"/>
      <c r="B280" s="179"/>
      <c r="C280" s="30"/>
      <c r="D280" s="179"/>
      <c r="E280" s="179"/>
      <c r="F280" s="30"/>
      <c r="G280" s="30"/>
      <c r="H280" s="30"/>
      <c r="I280" s="179"/>
      <c r="J280" s="179"/>
    </row>
    <row r="281" spans="1:10" s="24" customFormat="1" x14ac:dyDescent="0.25">
      <c r="A281" s="179"/>
      <c r="B281" s="179"/>
      <c r="C281" s="30"/>
      <c r="D281" s="179"/>
      <c r="E281" s="179"/>
      <c r="F281" s="30"/>
      <c r="G281" s="30"/>
      <c r="H281" s="30"/>
      <c r="I281" s="179"/>
      <c r="J281" s="179"/>
    </row>
    <row r="282" spans="1:10" s="24" customFormat="1" x14ac:dyDescent="0.25">
      <c r="A282" s="179"/>
      <c r="B282" s="179"/>
      <c r="C282" s="30"/>
      <c r="D282" s="179"/>
      <c r="E282" s="179"/>
      <c r="F282" s="30"/>
      <c r="G282" s="30"/>
      <c r="H282" s="30"/>
      <c r="I282" s="179"/>
      <c r="J282" s="179"/>
    </row>
    <row r="283" spans="1:10" s="24" customFormat="1" x14ac:dyDescent="0.25">
      <c r="A283" s="179"/>
      <c r="B283" s="179"/>
      <c r="C283" s="30"/>
      <c r="D283" s="179"/>
      <c r="E283" s="179"/>
      <c r="F283" s="30"/>
      <c r="G283" s="30"/>
      <c r="H283" s="30"/>
      <c r="I283" s="179"/>
      <c r="J283" s="179"/>
    </row>
    <row r="284" spans="1:10" s="24" customFormat="1" x14ac:dyDescent="0.25">
      <c r="A284" s="179"/>
      <c r="B284" s="179"/>
      <c r="C284" s="30"/>
      <c r="D284" s="179"/>
      <c r="E284" s="179"/>
      <c r="F284" s="30"/>
      <c r="G284" s="30"/>
      <c r="H284" s="30"/>
      <c r="I284" s="179"/>
      <c r="J284" s="179"/>
    </row>
    <row r="285" spans="1:10" s="24" customFormat="1" x14ac:dyDescent="0.25">
      <c r="A285" s="179"/>
      <c r="B285" s="179"/>
      <c r="C285" s="30"/>
      <c r="D285" s="179"/>
      <c r="E285" s="179"/>
      <c r="F285" s="30"/>
      <c r="G285" s="30"/>
      <c r="H285" s="30"/>
      <c r="I285" s="179"/>
      <c r="J285" s="179"/>
    </row>
    <row r="286" spans="1:10" s="24" customFormat="1" x14ac:dyDescent="0.25">
      <c r="A286" s="179"/>
      <c r="B286" s="179"/>
      <c r="C286" s="30"/>
      <c r="D286" s="179"/>
      <c r="E286" s="179"/>
      <c r="F286" s="30"/>
      <c r="G286" s="30"/>
      <c r="H286" s="30"/>
      <c r="I286" s="179"/>
      <c r="J286" s="179"/>
    </row>
    <row r="287" spans="1:10" s="24" customFormat="1" x14ac:dyDescent="0.25">
      <c r="A287" s="179"/>
      <c r="B287" s="179"/>
      <c r="C287" s="30"/>
      <c r="D287" s="179"/>
      <c r="E287" s="179"/>
      <c r="F287" s="30"/>
      <c r="G287" s="30"/>
      <c r="H287" s="30"/>
      <c r="I287" s="179"/>
      <c r="J287" s="179"/>
    </row>
    <row r="288" spans="1:10" s="24" customFormat="1" x14ac:dyDescent="0.25">
      <c r="A288" s="179"/>
      <c r="B288" s="179"/>
      <c r="C288" s="30"/>
      <c r="D288" s="179"/>
      <c r="E288" s="179"/>
      <c r="F288" s="30"/>
      <c r="G288" s="30"/>
      <c r="H288" s="30"/>
      <c r="I288" s="179"/>
      <c r="J288" s="179"/>
    </row>
    <row r="289" spans="1:10" s="24" customFormat="1" x14ac:dyDescent="0.25">
      <c r="A289" s="179"/>
      <c r="B289" s="179"/>
      <c r="C289" s="30"/>
      <c r="D289" s="179"/>
      <c r="E289" s="179"/>
      <c r="F289" s="30"/>
      <c r="G289" s="30"/>
      <c r="H289" s="30"/>
      <c r="I289" s="179"/>
      <c r="J289" s="179"/>
    </row>
    <row r="290" spans="1:10" s="24" customFormat="1" x14ac:dyDescent="0.25">
      <c r="A290" s="179"/>
      <c r="B290" s="179"/>
      <c r="C290" s="30"/>
      <c r="D290" s="179"/>
      <c r="E290" s="179"/>
      <c r="F290" s="30"/>
      <c r="G290" s="30"/>
      <c r="H290" s="30"/>
      <c r="I290" s="179"/>
      <c r="J290" s="179"/>
    </row>
    <row r="291" spans="1:10" s="24" customFormat="1" x14ac:dyDescent="0.25">
      <c r="A291" s="179"/>
      <c r="B291" s="179"/>
      <c r="C291" s="30"/>
      <c r="D291" s="179"/>
      <c r="E291" s="179"/>
      <c r="F291" s="30"/>
      <c r="G291" s="30"/>
      <c r="H291" s="30"/>
      <c r="I291" s="179"/>
      <c r="J291" s="179"/>
    </row>
    <row r="292" spans="1:10" s="24" customFormat="1" x14ac:dyDescent="0.25">
      <c r="A292" s="179"/>
      <c r="B292" s="179"/>
      <c r="C292" s="30"/>
      <c r="D292" s="179"/>
      <c r="E292" s="179"/>
      <c r="F292" s="30"/>
      <c r="G292" s="30"/>
      <c r="H292" s="30"/>
      <c r="I292" s="179"/>
      <c r="J292" s="179"/>
    </row>
    <row r="293" spans="1:10" s="24" customFormat="1" x14ac:dyDescent="0.25">
      <c r="A293" s="179"/>
      <c r="B293" s="179"/>
      <c r="C293" s="30"/>
      <c r="D293" s="179"/>
      <c r="E293" s="179"/>
      <c r="F293" s="30"/>
      <c r="G293" s="30"/>
      <c r="H293" s="30"/>
      <c r="I293" s="179"/>
      <c r="J293" s="179"/>
    </row>
    <row r="294" spans="1:10" s="24" customFormat="1" x14ac:dyDescent="0.25">
      <c r="A294" s="179"/>
      <c r="B294" s="179"/>
      <c r="C294" s="30"/>
      <c r="D294" s="179"/>
      <c r="E294" s="179"/>
      <c r="F294" s="30"/>
      <c r="G294" s="30"/>
      <c r="H294" s="30"/>
      <c r="I294" s="179"/>
      <c r="J294" s="179"/>
    </row>
    <row r="295" spans="1:10" s="24" customFormat="1" x14ac:dyDescent="0.25">
      <c r="A295" s="179"/>
      <c r="B295" s="179"/>
      <c r="C295" s="30"/>
      <c r="D295" s="179"/>
      <c r="E295" s="179"/>
      <c r="F295" s="30"/>
      <c r="G295" s="30"/>
      <c r="H295" s="30"/>
      <c r="I295" s="179"/>
      <c r="J295" s="179"/>
    </row>
    <row r="296" spans="1:10" s="24" customFormat="1" x14ac:dyDescent="0.25">
      <c r="A296" s="179"/>
      <c r="B296" s="179"/>
      <c r="C296" s="30"/>
      <c r="D296" s="179"/>
      <c r="E296" s="179"/>
      <c r="F296" s="30"/>
      <c r="G296" s="30"/>
      <c r="H296" s="30"/>
      <c r="I296" s="179"/>
      <c r="J296" s="179"/>
    </row>
    <row r="297" spans="1:10" s="24" customFormat="1" x14ac:dyDescent="0.25">
      <c r="A297" s="179"/>
      <c r="B297" s="179"/>
      <c r="C297" s="30"/>
      <c r="D297" s="179"/>
      <c r="E297" s="179"/>
      <c r="F297" s="30"/>
      <c r="G297" s="30"/>
      <c r="H297" s="30"/>
      <c r="I297" s="179"/>
      <c r="J297" s="179"/>
    </row>
    <row r="298" spans="1:10" s="24" customFormat="1" x14ac:dyDescent="0.25">
      <c r="A298" s="179"/>
      <c r="B298" s="179"/>
      <c r="C298" s="30"/>
      <c r="D298" s="179"/>
      <c r="E298" s="179"/>
      <c r="F298" s="30"/>
      <c r="G298" s="30"/>
      <c r="H298" s="30"/>
      <c r="I298" s="179"/>
      <c r="J298" s="179"/>
    </row>
    <row r="299" spans="1:10" s="24" customFormat="1" x14ac:dyDescent="0.25">
      <c r="A299" s="179"/>
      <c r="B299" s="179"/>
      <c r="C299" s="30"/>
      <c r="D299" s="179"/>
      <c r="E299" s="179"/>
      <c r="F299" s="30"/>
      <c r="G299" s="30"/>
      <c r="H299" s="30"/>
      <c r="I299" s="179"/>
      <c r="J299" s="179"/>
    </row>
    <row r="300" spans="1:10" s="24" customFormat="1" x14ac:dyDescent="0.25">
      <c r="A300" s="179"/>
      <c r="B300" s="179"/>
      <c r="C300" s="30"/>
      <c r="D300" s="179"/>
      <c r="E300" s="179"/>
      <c r="F300" s="30"/>
      <c r="G300" s="30"/>
      <c r="H300" s="30"/>
      <c r="I300" s="179"/>
      <c r="J300" s="179"/>
    </row>
    <row r="301" spans="1:10" s="24" customFormat="1" x14ac:dyDescent="0.25">
      <c r="A301" s="179"/>
      <c r="B301" s="179"/>
      <c r="C301" s="30"/>
      <c r="D301" s="179"/>
      <c r="E301" s="179"/>
      <c r="F301" s="30"/>
      <c r="G301" s="30"/>
      <c r="H301" s="30"/>
      <c r="I301" s="179"/>
      <c r="J301" s="179"/>
    </row>
    <row r="302" spans="1:10" s="24" customFormat="1" x14ac:dyDescent="0.25">
      <c r="A302" s="179"/>
      <c r="B302" s="179"/>
      <c r="C302" s="30"/>
      <c r="D302" s="179"/>
      <c r="E302" s="179"/>
      <c r="F302" s="30"/>
      <c r="G302" s="30"/>
      <c r="H302" s="30"/>
      <c r="I302" s="179"/>
      <c r="J302" s="179"/>
    </row>
    <row r="303" spans="1:10" s="24" customFormat="1" x14ac:dyDescent="0.25">
      <c r="A303" s="179"/>
      <c r="B303" s="179"/>
      <c r="C303" s="30"/>
      <c r="D303" s="179"/>
      <c r="E303" s="179"/>
      <c r="F303" s="30"/>
      <c r="G303" s="30"/>
      <c r="H303" s="30"/>
      <c r="I303" s="179"/>
      <c r="J303" s="179"/>
    </row>
    <row r="304" spans="1:10" s="24" customFormat="1" x14ac:dyDescent="0.25">
      <c r="A304" s="179"/>
      <c r="B304" s="179"/>
      <c r="C304" s="30"/>
      <c r="D304" s="179"/>
      <c r="E304" s="179"/>
      <c r="F304" s="30"/>
      <c r="G304" s="30"/>
      <c r="H304" s="30"/>
      <c r="I304" s="179"/>
      <c r="J304" s="179"/>
    </row>
    <row r="305" spans="1:10" s="24" customFormat="1" x14ac:dyDescent="0.25">
      <c r="A305" s="179"/>
      <c r="B305" s="179"/>
      <c r="C305" s="30"/>
      <c r="D305" s="179"/>
      <c r="E305" s="179"/>
      <c r="F305" s="30"/>
      <c r="G305" s="30"/>
      <c r="H305" s="30"/>
      <c r="I305" s="179"/>
      <c r="J305" s="179"/>
    </row>
    <row r="306" spans="1:10" s="24" customFormat="1" x14ac:dyDescent="0.25">
      <c r="A306" s="179"/>
      <c r="B306" s="179"/>
      <c r="C306" s="30"/>
      <c r="D306" s="179"/>
      <c r="E306" s="179"/>
      <c r="F306" s="30"/>
      <c r="G306" s="30"/>
      <c r="H306" s="30"/>
      <c r="I306" s="179"/>
      <c r="J306" s="179"/>
    </row>
    <row r="307" spans="1:10" s="24" customForma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</row>
    <row r="308" spans="1:10" s="24" customForma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</row>
    <row r="309" spans="1:10" s="24" customForma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</row>
    <row r="310" spans="1:10" s="24" customForma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</row>
    <row r="311" spans="1:10" x14ac:dyDescent="0.25">
      <c r="A311" s="41" t="s">
        <v>94</v>
      </c>
      <c r="D311" s="187"/>
      <c r="E311" s="187"/>
    </row>
    <row r="312" spans="1:10" s="24" customFormat="1" x14ac:dyDescent="0.25">
      <c r="A312" s="179"/>
      <c r="B312" s="179"/>
      <c r="C312" s="30"/>
      <c r="D312" s="179"/>
      <c r="E312" s="179"/>
      <c r="F312" s="30"/>
      <c r="G312" s="30"/>
      <c r="H312" s="30"/>
      <c r="I312" s="179"/>
      <c r="J312" s="179"/>
    </row>
    <row r="313" spans="1:10" s="24" customFormat="1" x14ac:dyDescent="0.25">
      <c r="A313" s="179"/>
      <c r="B313" s="179"/>
      <c r="C313" s="30"/>
      <c r="D313" s="179"/>
      <c r="E313" s="179"/>
      <c r="F313" s="30"/>
      <c r="G313" s="30"/>
      <c r="H313" s="30"/>
      <c r="I313" s="179"/>
      <c r="J313" s="179"/>
    </row>
    <row r="314" spans="1:10" s="24" customFormat="1" x14ac:dyDescent="0.25">
      <c r="A314" s="179"/>
      <c r="B314" s="179"/>
      <c r="C314" s="30"/>
      <c r="D314" s="179"/>
      <c r="E314" s="179"/>
      <c r="F314" s="30"/>
      <c r="G314" s="30"/>
      <c r="H314" s="30"/>
      <c r="I314" s="179"/>
      <c r="J314" s="179"/>
    </row>
    <row r="315" spans="1:10" s="24" customFormat="1" x14ac:dyDescent="0.25">
      <c r="A315" s="179"/>
      <c r="B315" s="179"/>
      <c r="C315" s="30"/>
      <c r="D315" s="179"/>
      <c r="E315" s="179"/>
      <c r="F315" s="30"/>
      <c r="G315" s="30"/>
      <c r="H315" s="30"/>
      <c r="I315" s="179"/>
      <c r="J315" s="179"/>
    </row>
    <row r="316" spans="1:10" s="24" customFormat="1" x14ac:dyDescent="0.25">
      <c r="A316" s="179"/>
      <c r="B316" s="179"/>
      <c r="C316" s="30"/>
      <c r="D316" s="179"/>
      <c r="E316" s="179"/>
      <c r="F316" s="30"/>
      <c r="G316" s="30"/>
      <c r="H316" s="30"/>
      <c r="I316" s="179"/>
      <c r="J316" s="179"/>
    </row>
    <row r="317" spans="1:10" s="24" customFormat="1" x14ac:dyDescent="0.25">
      <c r="A317" s="179"/>
      <c r="B317" s="179"/>
      <c r="C317" s="30"/>
      <c r="D317" s="179"/>
      <c r="E317" s="179"/>
      <c r="F317" s="30"/>
      <c r="G317" s="30"/>
      <c r="H317" s="30"/>
      <c r="I317" s="179"/>
      <c r="J317" s="179"/>
    </row>
    <row r="318" spans="1:10" s="24" customFormat="1" x14ac:dyDescent="0.25">
      <c r="A318" s="179"/>
      <c r="B318" s="179"/>
      <c r="C318" s="30"/>
      <c r="D318" s="179"/>
      <c r="E318" s="179"/>
      <c r="F318" s="30"/>
      <c r="G318" s="30"/>
      <c r="H318" s="30"/>
      <c r="I318" s="179"/>
      <c r="J318" s="179"/>
    </row>
    <row r="319" spans="1:10" s="24" customFormat="1" x14ac:dyDescent="0.25">
      <c r="A319" s="179"/>
      <c r="B319" s="179"/>
      <c r="C319" s="30"/>
      <c r="D319" s="179"/>
      <c r="E319" s="179"/>
      <c r="F319" s="30"/>
      <c r="G319" s="30"/>
      <c r="H319" s="30"/>
      <c r="I319" s="179"/>
      <c r="J319" s="179"/>
    </row>
    <row r="320" spans="1:10" s="24" customFormat="1" x14ac:dyDescent="0.25">
      <c r="A320" s="179"/>
      <c r="B320" s="179"/>
      <c r="C320" s="30"/>
      <c r="D320" s="179"/>
      <c r="E320" s="179"/>
      <c r="F320" s="30"/>
      <c r="G320" s="30"/>
      <c r="H320" s="30"/>
      <c r="I320" s="179"/>
      <c r="J320" s="179"/>
    </row>
    <row r="321" spans="1:10" s="24" customFormat="1" x14ac:dyDescent="0.25">
      <c r="A321" s="179"/>
      <c r="B321" s="179"/>
      <c r="C321" s="30"/>
      <c r="D321" s="179"/>
      <c r="E321" s="179"/>
      <c r="F321" s="30"/>
      <c r="G321" s="30"/>
      <c r="H321" s="30"/>
      <c r="I321" s="179"/>
      <c r="J321" s="179"/>
    </row>
    <row r="322" spans="1:10" s="24" customFormat="1" x14ac:dyDescent="0.25">
      <c r="A322" s="179"/>
      <c r="B322" s="179"/>
      <c r="C322" s="30"/>
      <c r="D322" s="179"/>
      <c r="E322" s="179"/>
      <c r="F322" s="30"/>
      <c r="G322" s="30"/>
      <c r="H322" s="30"/>
      <c r="I322" s="179"/>
      <c r="J322" s="179"/>
    </row>
    <row r="323" spans="1:10" s="24" customFormat="1" x14ac:dyDescent="0.25">
      <c r="A323" s="179"/>
      <c r="B323" s="179"/>
      <c r="C323" s="30"/>
      <c r="D323" s="179"/>
      <c r="E323" s="179"/>
      <c r="F323" s="30"/>
      <c r="G323" s="30"/>
      <c r="H323" s="30"/>
      <c r="I323" s="179"/>
      <c r="J323" s="179"/>
    </row>
    <row r="324" spans="1:10" s="24" customFormat="1" x14ac:dyDescent="0.25">
      <c r="A324" s="179"/>
      <c r="B324" s="179"/>
      <c r="C324" s="30"/>
      <c r="D324" s="179"/>
      <c r="E324" s="179"/>
      <c r="F324" s="30"/>
      <c r="G324" s="30"/>
      <c r="H324" s="30"/>
      <c r="I324" s="179"/>
      <c r="J324" s="179"/>
    </row>
    <row r="325" spans="1:10" s="24" customFormat="1" x14ac:dyDescent="0.25">
      <c r="A325" s="179"/>
      <c r="B325" s="179"/>
      <c r="C325" s="30"/>
      <c r="D325" s="179"/>
      <c r="E325" s="179"/>
      <c r="F325" s="30"/>
      <c r="G325" s="30"/>
      <c r="H325" s="30"/>
      <c r="I325" s="179"/>
      <c r="J325" s="179"/>
    </row>
    <row r="326" spans="1:10" s="24" customFormat="1" x14ac:dyDescent="0.25">
      <c r="A326" s="179"/>
      <c r="B326" s="179"/>
      <c r="C326" s="30"/>
      <c r="D326" s="179"/>
      <c r="E326" s="179"/>
      <c r="F326" s="30"/>
      <c r="G326" s="30"/>
      <c r="H326" s="30"/>
      <c r="I326" s="179"/>
      <c r="J326" s="179"/>
    </row>
    <row r="327" spans="1:10" s="24" customFormat="1" x14ac:dyDescent="0.25">
      <c r="A327" s="179"/>
      <c r="B327" s="179"/>
      <c r="C327" s="30"/>
      <c r="D327" s="179"/>
      <c r="E327" s="179"/>
      <c r="F327" s="30"/>
      <c r="G327" s="30"/>
      <c r="H327" s="30"/>
      <c r="I327" s="179"/>
      <c r="J327" s="179"/>
    </row>
    <row r="328" spans="1:10" s="24" customFormat="1" x14ac:dyDescent="0.25">
      <c r="A328" s="179"/>
      <c r="B328" s="179"/>
      <c r="C328" s="30"/>
      <c r="D328" s="179"/>
      <c r="E328" s="179"/>
      <c r="F328" s="30"/>
      <c r="G328" s="30"/>
      <c r="H328" s="30"/>
      <c r="I328" s="179"/>
      <c r="J328" s="179"/>
    </row>
    <row r="329" spans="1:10" s="24" customFormat="1" x14ac:dyDescent="0.25">
      <c r="A329" s="179"/>
      <c r="B329" s="179"/>
      <c r="C329" s="30"/>
      <c r="D329" s="179"/>
      <c r="E329" s="179"/>
      <c r="F329" s="30"/>
      <c r="G329" s="30"/>
      <c r="H329" s="30"/>
      <c r="I329" s="179"/>
      <c r="J329" s="179"/>
    </row>
    <row r="330" spans="1:10" s="24" customFormat="1" x14ac:dyDescent="0.25">
      <c r="A330" s="179"/>
      <c r="B330" s="179"/>
      <c r="C330" s="30"/>
      <c r="D330" s="179"/>
      <c r="E330" s="179"/>
      <c r="F330" s="30"/>
      <c r="G330" s="30"/>
      <c r="H330" s="30"/>
      <c r="I330" s="179"/>
      <c r="J330" s="179"/>
    </row>
    <row r="331" spans="1:10" s="24" customFormat="1" x14ac:dyDescent="0.25">
      <c r="A331" s="179"/>
      <c r="B331" s="179"/>
      <c r="C331" s="30"/>
      <c r="D331" s="179"/>
      <c r="E331" s="179"/>
      <c r="F331" s="30"/>
      <c r="G331" s="30"/>
      <c r="H331" s="30"/>
      <c r="I331" s="179"/>
      <c r="J331" s="179"/>
    </row>
    <row r="332" spans="1:10" s="24" customFormat="1" x14ac:dyDescent="0.25">
      <c r="A332" s="179"/>
      <c r="B332" s="179"/>
      <c r="C332" s="30"/>
      <c r="D332" s="179"/>
      <c r="E332" s="179"/>
      <c r="F332" s="30"/>
      <c r="G332" s="30"/>
      <c r="H332" s="30"/>
      <c r="I332" s="179"/>
      <c r="J332" s="179"/>
    </row>
    <row r="333" spans="1:10" s="24" customFormat="1" x14ac:dyDescent="0.25">
      <c r="A333" s="179"/>
      <c r="B333" s="179"/>
      <c r="C333" s="30"/>
      <c r="D333" s="179"/>
      <c r="E333" s="179"/>
      <c r="F333" s="30"/>
      <c r="G333" s="30"/>
      <c r="H333" s="30"/>
      <c r="I333" s="179"/>
      <c r="J333" s="179"/>
    </row>
    <row r="334" spans="1:10" s="24" customFormat="1" x14ac:dyDescent="0.25">
      <c r="A334" s="179"/>
      <c r="B334" s="179"/>
      <c r="C334" s="30"/>
      <c r="D334" s="179"/>
      <c r="E334" s="179"/>
      <c r="F334" s="30"/>
      <c r="G334" s="30"/>
      <c r="H334" s="30"/>
      <c r="I334" s="179"/>
      <c r="J334" s="179"/>
    </row>
    <row r="335" spans="1:10" s="24" customFormat="1" x14ac:dyDescent="0.25">
      <c r="A335" s="179"/>
      <c r="B335" s="179"/>
      <c r="C335" s="30"/>
      <c r="D335" s="179"/>
      <c r="E335" s="179"/>
      <c r="F335" s="30"/>
      <c r="G335" s="30"/>
      <c r="H335" s="30"/>
      <c r="I335" s="179"/>
      <c r="J335" s="179"/>
    </row>
    <row r="336" spans="1:10" s="24" customFormat="1" x14ac:dyDescent="0.25">
      <c r="A336" s="179"/>
      <c r="B336" s="179"/>
      <c r="C336" s="30"/>
      <c r="D336" s="179"/>
      <c r="E336" s="179"/>
      <c r="F336" s="30"/>
      <c r="G336" s="30"/>
      <c r="H336" s="30"/>
      <c r="I336" s="179"/>
      <c r="J336" s="179"/>
    </row>
    <row r="337" spans="1:10" s="24" customFormat="1" x14ac:dyDescent="0.25">
      <c r="A337" s="179"/>
      <c r="B337" s="179"/>
      <c r="C337" s="30"/>
      <c r="D337" s="179"/>
      <c r="E337" s="179"/>
      <c r="F337" s="30"/>
      <c r="G337" s="30"/>
      <c r="H337" s="30"/>
      <c r="I337" s="179"/>
      <c r="J337" s="179"/>
    </row>
    <row r="338" spans="1:10" s="24" customFormat="1" x14ac:dyDescent="0.25">
      <c r="A338" s="179"/>
      <c r="B338" s="179"/>
      <c r="C338" s="30"/>
      <c r="D338" s="179"/>
      <c r="E338" s="179"/>
      <c r="F338" s="30"/>
      <c r="G338" s="30"/>
      <c r="H338" s="30"/>
      <c r="I338" s="179"/>
      <c r="J338" s="179"/>
    </row>
    <row r="339" spans="1:10" s="24" customFormat="1" x14ac:dyDescent="0.25">
      <c r="A339" s="179"/>
      <c r="B339" s="179"/>
      <c r="C339" s="30"/>
      <c r="D339" s="179"/>
      <c r="E339" s="179"/>
      <c r="F339" s="30"/>
      <c r="G339" s="30"/>
      <c r="H339" s="30"/>
      <c r="I339" s="179"/>
      <c r="J339" s="179"/>
    </row>
    <row r="340" spans="1:10" s="24" customFormat="1" x14ac:dyDescent="0.25">
      <c r="A340" s="179"/>
      <c r="B340" s="179"/>
      <c r="C340" s="30"/>
      <c r="D340" s="179"/>
      <c r="E340" s="179"/>
      <c r="F340" s="30"/>
      <c r="G340" s="30"/>
      <c r="H340" s="30"/>
      <c r="I340" s="179"/>
      <c r="J340" s="179"/>
    </row>
    <row r="341" spans="1:10" s="24" customFormat="1" x14ac:dyDescent="0.25">
      <c r="A341" s="179"/>
      <c r="B341" s="179"/>
      <c r="C341" s="30"/>
      <c r="D341" s="179"/>
      <c r="E341" s="179"/>
      <c r="F341" s="30"/>
      <c r="G341" s="30"/>
      <c r="H341" s="30"/>
      <c r="I341" s="179"/>
      <c r="J341" s="179"/>
    </row>
    <row r="342" spans="1:10" s="24" customFormat="1" x14ac:dyDescent="0.25">
      <c r="A342" s="179"/>
      <c r="B342" s="179"/>
      <c r="C342" s="30"/>
      <c r="D342" s="179"/>
      <c r="E342" s="179"/>
      <c r="F342" s="30"/>
      <c r="G342" s="30"/>
      <c r="H342" s="30"/>
      <c r="I342" s="179"/>
      <c r="J342" s="179"/>
    </row>
    <row r="343" spans="1:10" s="24" customFormat="1" x14ac:dyDescent="0.25">
      <c r="A343" s="179"/>
      <c r="B343" s="179"/>
      <c r="C343" s="30"/>
      <c r="D343" s="179"/>
      <c r="E343" s="179"/>
      <c r="F343" s="30"/>
      <c r="G343" s="30"/>
      <c r="H343" s="30"/>
      <c r="I343" s="179"/>
      <c r="J343" s="179"/>
    </row>
    <row r="344" spans="1:10" s="24" customFormat="1" x14ac:dyDescent="0.25">
      <c r="A344" s="179"/>
      <c r="B344" s="179"/>
      <c r="C344" s="30"/>
      <c r="D344" s="179"/>
      <c r="E344" s="179"/>
      <c r="F344" s="30"/>
      <c r="G344" s="30"/>
      <c r="H344" s="30"/>
      <c r="I344" s="179"/>
      <c r="J344" s="179"/>
    </row>
    <row r="345" spans="1:10" s="24" customFormat="1" x14ac:dyDescent="0.25">
      <c r="A345" s="179"/>
      <c r="B345" s="179"/>
      <c r="C345" s="30"/>
      <c r="D345" s="179"/>
      <c r="E345" s="179"/>
      <c r="F345" s="30"/>
      <c r="G345" s="30"/>
      <c r="H345" s="30"/>
      <c r="I345" s="179"/>
      <c r="J345" s="179"/>
    </row>
    <row r="346" spans="1:10" s="24" customFormat="1" x14ac:dyDescent="0.25">
      <c r="A346" s="179"/>
      <c r="B346" s="179"/>
      <c r="C346" s="30"/>
      <c r="D346" s="179"/>
      <c r="E346" s="179"/>
      <c r="F346" s="30"/>
      <c r="G346" s="30"/>
      <c r="H346" s="30"/>
      <c r="I346" s="179"/>
      <c r="J346" s="179"/>
    </row>
    <row r="347" spans="1:10" s="24" customFormat="1" x14ac:dyDescent="0.25">
      <c r="A347" s="179"/>
      <c r="B347" s="179"/>
      <c r="C347" s="30"/>
      <c r="D347" s="179"/>
      <c r="E347" s="179"/>
      <c r="F347" s="30"/>
      <c r="G347" s="30"/>
      <c r="H347" s="30"/>
      <c r="I347" s="179"/>
      <c r="J347" s="179"/>
    </row>
    <row r="348" spans="1:10" s="24" customFormat="1" x14ac:dyDescent="0.25">
      <c r="A348" s="179"/>
      <c r="B348" s="179"/>
      <c r="C348" s="30"/>
      <c r="D348" s="179"/>
      <c r="E348" s="179"/>
      <c r="F348" s="30"/>
      <c r="G348" s="30"/>
      <c r="H348" s="30"/>
      <c r="I348" s="179"/>
      <c r="J348" s="179"/>
    </row>
    <row r="349" spans="1:10" ht="15" customHeight="1" x14ac:dyDescent="0.25">
      <c r="A349" s="39"/>
      <c r="B349" s="40"/>
      <c r="C349" s="40"/>
      <c r="D349" s="40"/>
      <c r="E349" s="40"/>
      <c r="F349" s="40"/>
      <c r="G349" s="40"/>
      <c r="H349" s="40"/>
      <c r="I349" s="40"/>
      <c r="J349" s="40"/>
    </row>
    <row r="350" spans="1:10" ht="15" customHeight="1" x14ac:dyDescent="0.25">
      <c r="A350" s="39"/>
      <c r="B350" s="40"/>
      <c r="C350" s="40"/>
      <c r="D350" s="40"/>
      <c r="E350" s="40"/>
      <c r="F350" s="40"/>
      <c r="G350" s="40"/>
      <c r="H350" s="40"/>
      <c r="I350" s="40"/>
      <c r="J350" s="40"/>
    </row>
    <row r="351" spans="1:10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</row>
    <row r="352" spans="1:10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</row>
    <row r="353" ht="15" customHeight="1" x14ac:dyDescent="0.25"/>
  </sheetData>
  <mergeCells count="784">
    <mergeCell ref="A114:B114"/>
    <mergeCell ref="C114:E114"/>
    <mergeCell ref="F114:G114"/>
    <mergeCell ref="H114:J114"/>
    <mergeCell ref="A99:B99"/>
    <mergeCell ref="C99:E99"/>
    <mergeCell ref="F99:G99"/>
    <mergeCell ref="H99:J99"/>
    <mergeCell ref="L140:Q140"/>
    <mergeCell ref="D129:F129"/>
    <mergeCell ref="G129:J129"/>
    <mergeCell ref="D130:F130"/>
    <mergeCell ref="G130:J130"/>
    <mergeCell ref="A132:B132"/>
    <mergeCell ref="A133:B133"/>
    <mergeCell ref="D133:F133"/>
    <mergeCell ref="G133:J133"/>
    <mergeCell ref="A115:J115"/>
    <mergeCell ref="A116:J116"/>
    <mergeCell ref="A100:B100"/>
    <mergeCell ref="C100:J100"/>
    <mergeCell ref="E101:F101"/>
    <mergeCell ref="I101:J101"/>
    <mergeCell ref="A102:B102"/>
    <mergeCell ref="A84:B84"/>
    <mergeCell ref="D84:E84"/>
    <mergeCell ref="D91:E91"/>
    <mergeCell ref="A92:B92"/>
    <mergeCell ref="D92:E92"/>
    <mergeCell ref="A93:B93"/>
    <mergeCell ref="D93:E93"/>
    <mergeCell ref="A55:J55"/>
    <mergeCell ref="A56:J56"/>
    <mergeCell ref="E58:F58"/>
    <mergeCell ref="I58:J58"/>
    <mergeCell ref="A59:B59"/>
    <mergeCell ref="C59:J59"/>
    <mergeCell ref="A60:B60"/>
    <mergeCell ref="D60:E60"/>
    <mergeCell ref="F60:G60"/>
    <mergeCell ref="H60:J60"/>
    <mergeCell ref="A61:B61"/>
    <mergeCell ref="D61:E61"/>
    <mergeCell ref="F61:G70"/>
    <mergeCell ref="H61:J70"/>
    <mergeCell ref="D80:E80"/>
    <mergeCell ref="A81:B81"/>
    <mergeCell ref="D81:E81"/>
    <mergeCell ref="A82:B82"/>
    <mergeCell ref="D82:E82"/>
    <mergeCell ref="A83:B83"/>
    <mergeCell ref="D83:E83"/>
    <mergeCell ref="A53:B53"/>
    <mergeCell ref="C52:J52"/>
    <mergeCell ref="C53:J53"/>
    <mergeCell ref="I348:J348"/>
    <mergeCell ref="A345:B345"/>
    <mergeCell ref="D345:E345"/>
    <mergeCell ref="A258:J258"/>
    <mergeCell ref="A259:J259"/>
    <mergeCell ref="A260:J260"/>
    <mergeCell ref="A126:B126"/>
    <mergeCell ref="D126:F126"/>
    <mergeCell ref="G126:J126"/>
    <mergeCell ref="A252:J252"/>
    <mergeCell ref="A253:J253"/>
    <mergeCell ref="A254:J254"/>
    <mergeCell ref="A255:J255"/>
    <mergeCell ref="A348:B348"/>
    <mergeCell ref="D348:E348"/>
    <mergeCell ref="I345:J345"/>
    <mergeCell ref="A346:B346"/>
    <mergeCell ref="D311:E311"/>
    <mergeCell ref="A341:B341"/>
    <mergeCell ref="D341:E341"/>
    <mergeCell ref="I341:J341"/>
    <mergeCell ref="A342:B342"/>
    <mergeCell ref="D342:E342"/>
    <mergeCell ref="I342:J342"/>
    <mergeCell ref="A256:J256"/>
    <mergeCell ref="A257:J257"/>
    <mergeCell ref="A52:B52"/>
    <mergeCell ref="A54:C54"/>
    <mergeCell ref="D54:J54"/>
    <mergeCell ref="A235:B235"/>
    <mergeCell ref="D235:E235"/>
    <mergeCell ref="A225:B225"/>
    <mergeCell ref="D225:E225"/>
    <mergeCell ref="A226:B226"/>
    <mergeCell ref="D226:E226"/>
    <mergeCell ref="A234:J234"/>
    <mergeCell ref="D238:E238"/>
    <mergeCell ref="A228:J228"/>
    <mergeCell ref="A229:J229"/>
    <mergeCell ref="D233:E233"/>
    <mergeCell ref="A230:B230"/>
    <mergeCell ref="D230:E230"/>
    <mergeCell ref="A219:B219"/>
    <mergeCell ref="A71:B71"/>
    <mergeCell ref="C71:J71"/>
    <mergeCell ref="E72:F72"/>
    <mergeCell ref="I72:J72"/>
    <mergeCell ref="A73:B73"/>
    <mergeCell ref="D343:E343"/>
    <mergeCell ref="I343:J343"/>
    <mergeCell ref="A344:B344"/>
    <mergeCell ref="D344:E344"/>
    <mergeCell ref="I344:J344"/>
    <mergeCell ref="A333:B333"/>
    <mergeCell ref="D333:E333"/>
    <mergeCell ref="I333:J333"/>
    <mergeCell ref="A334:B334"/>
    <mergeCell ref="D334:E334"/>
    <mergeCell ref="I334:J334"/>
    <mergeCell ref="A331:B331"/>
    <mergeCell ref="D331:E331"/>
    <mergeCell ref="I331:J331"/>
    <mergeCell ref="A332:B332"/>
    <mergeCell ref="D332:E332"/>
    <mergeCell ref="I332:J332"/>
    <mergeCell ref="A329:B329"/>
    <mergeCell ref="D329:E329"/>
    <mergeCell ref="I329:J329"/>
    <mergeCell ref="A330:B330"/>
    <mergeCell ref="D330:E330"/>
    <mergeCell ref="I330:J330"/>
    <mergeCell ref="A347:B347"/>
    <mergeCell ref="D347:E347"/>
    <mergeCell ref="I347:J347"/>
    <mergeCell ref="D337:E337"/>
    <mergeCell ref="I337:J337"/>
    <mergeCell ref="A338:B338"/>
    <mergeCell ref="D338:E338"/>
    <mergeCell ref="I338:J338"/>
    <mergeCell ref="A335:B335"/>
    <mergeCell ref="D335:E335"/>
    <mergeCell ref="I335:J335"/>
    <mergeCell ref="A336:B336"/>
    <mergeCell ref="D336:E336"/>
    <mergeCell ref="I336:J336"/>
    <mergeCell ref="A337:B337"/>
    <mergeCell ref="A339:B339"/>
    <mergeCell ref="D339:E339"/>
    <mergeCell ref="I339:J339"/>
    <mergeCell ref="A340:B340"/>
    <mergeCell ref="D340:E340"/>
    <mergeCell ref="I340:J340"/>
    <mergeCell ref="D346:E346"/>
    <mergeCell ref="I346:J346"/>
    <mergeCell ref="A343:B343"/>
    <mergeCell ref="A327:B327"/>
    <mergeCell ref="D327:E327"/>
    <mergeCell ref="I327:J327"/>
    <mergeCell ref="A328:B328"/>
    <mergeCell ref="D328:E328"/>
    <mergeCell ref="I328:J328"/>
    <mergeCell ref="A325:B325"/>
    <mergeCell ref="D325:E325"/>
    <mergeCell ref="I325:J325"/>
    <mergeCell ref="A326:B326"/>
    <mergeCell ref="D326:E326"/>
    <mergeCell ref="I326:J326"/>
    <mergeCell ref="A323:B323"/>
    <mergeCell ref="D323:E323"/>
    <mergeCell ref="I323:J323"/>
    <mergeCell ref="A324:B324"/>
    <mergeCell ref="D324:E324"/>
    <mergeCell ref="I324:J324"/>
    <mergeCell ref="A321:B321"/>
    <mergeCell ref="D321:E321"/>
    <mergeCell ref="I321:J321"/>
    <mergeCell ref="A322:B322"/>
    <mergeCell ref="D322:E322"/>
    <mergeCell ref="I322:J322"/>
    <mergeCell ref="A319:B319"/>
    <mergeCell ref="D319:E319"/>
    <mergeCell ref="I319:J319"/>
    <mergeCell ref="A320:B320"/>
    <mergeCell ref="D320:E320"/>
    <mergeCell ref="I320:J320"/>
    <mergeCell ref="A317:B317"/>
    <mergeCell ref="D317:E317"/>
    <mergeCell ref="I317:J317"/>
    <mergeCell ref="A318:B318"/>
    <mergeCell ref="D318:E318"/>
    <mergeCell ref="I318:J318"/>
    <mergeCell ref="A315:B315"/>
    <mergeCell ref="D315:E315"/>
    <mergeCell ref="I315:J315"/>
    <mergeCell ref="A316:B316"/>
    <mergeCell ref="D316:E316"/>
    <mergeCell ref="I316:J316"/>
    <mergeCell ref="A313:B313"/>
    <mergeCell ref="D313:E313"/>
    <mergeCell ref="I313:J313"/>
    <mergeCell ref="A314:B314"/>
    <mergeCell ref="D314:E314"/>
    <mergeCell ref="I314:J314"/>
    <mergeCell ref="A312:B312"/>
    <mergeCell ref="D312:E312"/>
    <mergeCell ref="I312:J312"/>
    <mergeCell ref="A305:B305"/>
    <mergeCell ref="D305:E305"/>
    <mergeCell ref="I305:J305"/>
    <mergeCell ref="A306:B306"/>
    <mergeCell ref="D306:E306"/>
    <mergeCell ref="I306:J306"/>
    <mergeCell ref="A303:B303"/>
    <mergeCell ref="D303:E303"/>
    <mergeCell ref="I303:J303"/>
    <mergeCell ref="A304:B304"/>
    <mergeCell ref="D304:E304"/>
    <mergeCell ref="I304:J304"/>
    <mergeCell ref="A301:B301"/>
    <mergeCell ref="D301:E301"/>
    <mergeCell ref="I301:J301"/>
    <mergeCell ref="A302:B302"/>
    <mergeCell ref="D302:E302"/>
    <mergeCell ref="I302:J302"/>
    <mergeCell ref="A299:B299"/>
    <mergeCell ref="D299:E299"/>
    <mergeCell ref="I299:J299"/>
    <mergeCell ref="A300:B300"/>
    <mergeCell ref="D300:E300"/>
    <mergeCell ref="I300:J300"/>
    <mergeCell ref="A297:B297"/>
    <mergeCell ref="D297:E297"/>
    <mergeCell ref="I297:J297"/>
    <mergeCell ref="A298:B298"/>
    <mergeCell ref="D298:E298"/>
    <mergeCell ref="I298:J298"/>
    <mergeCell ref="A295:B295"/>
    <mergeCell ref="D295:E295"/>
    <mergeCell ref="I295:J295"/>
    <mergeCell ref="A296:B296"/>
    <mergeCell ref="D296:E296"/>
    <mergeCell ref="I296:J296"/>
    <mergeCell ref="A293:B293"/>
    <mergeCell ref="D293:E293"/>
    <mergeCell ref="I293:J293"/>
    <mergeCell ref="A294:B294"/>
    <mergeCell ref="D294:E294"/>
    <mergeCell ref="I294:J294"/>
    <mergeCell ref="A291:B291"/>
    <mergeCell ref="D291:E291"/>
    <mergeCell ref="I291:J291"/>
    <mergeCell ref="A292:B292"/>
    <mergeCell ref="D292:E292"/>
    <mergeCell ref="I292:J292"/>
    <mergeCell ref="A289:B289"/>
    <mergeCell ref="D289:E289"/>
    <mergeCell ref="I289:J289"/>
    <mergeCell ref="A290:B290"/>
    <mergeCell ref="D290:E290"/>
    <mergeCell ref="I290:J290"/>
    <mergeCell ref="A287:B287"/>
    <mergeCell ref="D287:E287"/>
    <mergeCell ref="I287:J287"/>
    <mergeCell ref="A288:B288"/>
    <mergeCell ref="D288:E288"/>
    <mergeCell ref="I288:J288"/>
    <mergeCell ref="A285:B285"/>
    <mergeCell ref="D285:E285"/>
    <mergeCell ref="I285:J285"/>
    <mergeCell ref="A286:B286"/>
    <mergeCell ref="D286:E286"/>
    <mergeCell ref="I286:J286"/>
    <mergeCell ref="A283:B283"/>
    <mergeCell ref="D283:E283"/>
    <mergeCell ref="I283:J283"/>
    <mergeCell ref="A284:B284"/>
    <mergeCell ref="D284:E284"/>
    <mergeCell ref="I284:J284"/>
    <mergeCell ref="A281:B281"/>
    <mergeCell ref="D281:E281"/>
    <mergeCell ref="I281:J281"/>
    <mergeCell ref="A282:B282"/>
    <mergeCell ref="D282:E282"/>
    <mergeCell ref="I282:J282"/>
    <mergeCell ref="A279:B279"/>
    <mergeCell ref="D279:E279"/>
    <mergeCell ref="I279:J279"/>
    <mergeCell ref="A280:B280"/>
    <mergeCell ref="D280:E280"/>
    <mergeCell ref="I280:J280"/>
    <mergeCell ref="A277:B277"/>
    <mergeCell ref="D277:E277"/>
    <mergeCell ref="I277:J277"/>
    <mergeCell ref="A278:B278"/>
    <mergeCell ref="D278:E278"/>
    <mergeCell ref="I278:J278"/>
    <mergeCell ref="A275:B275"/>
    <mergeCell ref="D275:E275"/>
    <mergeCell ref="I275:J275"/>
    <mergeCell ref="A276:B276"/>
    <mergeCell ref="D276:E276"/>
    <mergeCell ref="I276:J276"/>
    <mergeCell ref="A273:B273"/>
    <mergeCell ref="D273:E273"/>
    <mergeCell ref="I273:J273"/>
    <mergeCell ref="A274:B274"/>
    <mergeCell ref="D274:E274"/>
    <mergeCell ref="I274:J274"/>
    <mergeCell ref="A271:B271"/>
    <mergeCell ref="D271:E271"/>
    <mergeCell ref="I271:J271"/>
    <mergeCell ref="A272:B272"/>
    <mergeCell ref="D272:E272"/>
    <mergeCell ref="I272:J272"/>
    <mergeCell ref="A269:B269"/>
    <mergeCell ref="D269:E269"/>
    <mergeCell ref="I269:J269"/>
    <mergeCell ref="A270:B270"/>
    <mergeCell ref="D270:E270"/>
    <mergeCell ref="I270:J270"/>
    <mergeCell ref="A267:B267"/>
    <mergeCell ref="D267:E267"/>
    <mergeCell ref="I267:J267"/>
    <mergeCell ref="A268:B268"/>
    <mergeCell ref="D268:E268"/>
    <mergeCell ref="I268:J268"/>
    <mergeCell ref="A239:B239"/>
    <mergeCell ref="D239:E239"/>
    <mergeCell ref="A236:B236"/>
    <mergeCell ref="D236:E236"/>
    <mergeCell ref="A237:B237"/>
    <mergeCell ref="D237:E237"/>
    <mergeCell ref="A242:B242"/>
    <mergeCell ref="D242:E242"/>
    <mergeCell ref="A240:B240"/>
    <mergeCell ref="D240:E240"/>
    <mergeCell ref="A241:B241"/>
    <mergeCell ref="D241:E241"/>
    <mergeCell ref="A262:J265"/>
    <mergeCell ref="A261:B261"/>
    <mergeCell ref="E261:G261"/>
    <mergeCell ref="C261:D261"/>
    <mergeCell ref="H261:J261"/>
    <mergeCell ref="A238:B238"/>
    <mergeCell ref="D219:E219"/>
    <mergeCell ref="A220:B220"/>
    <mergeCell ref="D220:E220"/>
    <mergeCell ref="A227:B227"/>
    <mergeCell ref="D227:E227"/>
    <mergeCell ref="A217:B217"/>
    <mergeCell ref="D217:E217"/>
    <mergeCell ref="A218:B218"/>
    <mergeCell ref="D218:E218"/>
    <mergeCell ref="A223:B223"/>
    <mergeCell ref="D223:E223"/>
    <mergeCell ref="A224:B224"/>
    <mergeCell ref="D224:E224"/>
    <mergeCell ref="A221:B221"/>
    <mergeCell ref="D221:E221"/>
    <mergeCell ref="A222:B222"/>
    <mergeCell ref="D222:E222"/>
    <mergeCell ref="D209:E209"/>
    <mergeCell ref="A207:J207"/>
    <mergeCell ref="A145:B145"/>
    <mergeCell ref="D145:E145"/>
    <mergeCell ref="A144:B144"/>
    <mergeCell ref="D144:E144"/>
    <mergeCell ref="A142:B142"/>
    <mergeCell ref="D142:E142"/>
    <mergeCell ref="A143:B143"/>
    <mergeCell ref="D143:E143"/>
    <mergeCell ref="A146:B146"/>
    <mergeCell ref="D146:E146"/>
    <mergeCell ref="A166:B166"/>
    <mergeCell ref="D166:E166"/>
    <mergeCell ref="A157:J157"/>
    <mergeCell ref="A158:J158"/>
    <mergeCell ref="A159:B159"/>
    <mergeCell ref="D159:E159"/>
    <mergeCell ref="A160:B160"/>
    <mergeCell ref="D160:E160"/>
    <mergeCell ref="A161:B161"/>
    <mergeCell ref="D161:E161"/>
    <mergeCell ref="A162:B162"/>
    <mergeCell ref="A148:B148"/>
    <mergeCell ref="A57:B57"/>
    <mergeCell ref="C57:J57"/>
    <mergeCell ref="A50:J50"/>
    <mergeCell ref="A51:C51"/>
    <mergeCell ref="D51:E51"/>
    <mergeCell ref="F51:G51"/>
    <mergeCell ref="H51:J51"/>
    <mergeCell ref="A141:B141"/>
    <mergeCell ref="D141:E141"/>
    <mergeCell ref="A134:B134"/>
    <mergeCell ref="D134:F134"/>
    <mergeCell ref="G134:J134"/>
    <mergeCell ref="A135:J135"/>
    <mergeCell ref="A136:J136"/>
    <mergeCell ref="A140:B140"/>
    <mergeCell ref="D140:E140"/>
    <mergeCell ref="I140:J148"/>
    <mergeCell ref="A139:J139"/>
    <mergeCell ref="A137:B137"/>
    <mergeCell ref="D137:E137"/>
    <mergeCell ref="I137:J137"/>
    <mergeCell ref="A138:J138"/>
    <mergeCell ref="A94:B94"/>
    <mergeCell ref="D94:E94"/>
    <mergeCell ref="H47:J47"/>
    <mergeCell ref="A39:E39"/>
    <mergeCell ref="F39:J39"/>
    <mergeCell ref="H48:J48"/>
    <mergeCell ref="A48:B48"/>
    <mergeCell ref="C48:F48"/>
    <mergeCell ref="A49:C49"/>
    <mergeCell ref="D49:E49"/>
    <mergeCell ref="F49:G49"/>
    <mergeCell ref="H49:J49"/>
    <mergeCell ref="A40:E40"/>
    <mergeCell ref="F40:J40"/>
    <mergeCell ref="A41:E41"/>
    <mergeCell ref="F41:J41"/>
    <mergeCell ref="A42:E42"/>
    <mergeCell ref="F42:J42"/>
    <mergeCell ref="A43:E43"/>
    <mergeCell ref="F43:J43"/>
    <mergeCell ref="A44:J44"/>
    <mergeCell ref="A16:B16"/>
    <mergeCell ref="C16:E16"/>
    <mergeCell ref="F16:G16"/>
    <mergeCell ref="H16:J16"/>
    <mergeCell ref="A24:E24"/>
    <mergeCell ref="A25:E25"/>
    <mergeCell ref="F25:J25"/>
    <mergeCell ref="F24:J24"/>
    <mergeCell ref="A26:E26"/>
    <mergeCell ref="F26:J26"/>
    <mergeCell ref="A23:E23"/>
    <mergeCell ref="F23:J23"/>
    <mergeCell ref="A18:B18"/>
    <mergeCell ref="C18:E18"/>
    <mergeCell ref="F18:G18"/>
    <mergeCell ref="H18:J18"/>
    <mergeCell ref="A19:B19"/>
    <mergeCell ref="C19:E19"/>
    <mergeCell ref="F19:G19"/>
    <mergeCell ref="H19:J19"/>
    <mergeCell ref="A20:E21"/>
    <mergeCell ref="F20:J21"/>
    <mergeCell ref="A22:E22"/>
    <mergeCell ref="F22:J22"/>
    <mergeCell ref="A11:E11"/>
    <mergeCell ref="F11:J11"/>
    <mergeCell ref="A5:E5"/>
    <mergeCell ref="F5:J5"/>
    <mergeCell ref="A6:E6"/>
    <mergeCell ref="F6:J6"/>
    <mergeCell ref="A7:E7"/>
    <mergeCell ref="F7:J7"/>
    <mergeCell ref="A15:B15"/>
    <mergeCell ref="C15:E15"/>
    <mergeCell ref="A12:E12"/>
    <mergeCell ref="F12:J12"/>
    <mergeCell ref="A13:E13"/>
    <mergeCell ref="F13:J13"/>
    <mergeCell ref="A14:B14"/>
    <mergeCell ref="C14:J14"/>
    <mergeCell ref="F15:G15"/>
    <mergeCell ref="H15:J15"/>
    <mergeCell ref="A1:J1"/>
    <mergeCell ref="A2:J2"/>
    <mergeCell ref="A3:E3"/>
    <mergeCell ref="F3:J3"/>
    <mergeCell ref="A4:E4"/>
    <mergeCell ref="A8:E8"/>
    <mergeCell ref="F8:J8"/>
    <mergeCell ref="A10:E10"/>
    <mergeCell ref="F10:J10"/>
    <mergeCell ref="F4:J4"/>
    <mergeCell ref="A9:E9"/>
    <mergeCell ref="F9:J9"/>
    <mergeCell ref="A28:B28"/>
    <mergeCell ref="C28:D28"/>
    <mergeCell ref="E28:F28"/>
    <mergeCell ref="A33:B33"/>
    <mergeCell ref="C33:J33"/>
    <mergeCell ref="C32:J32"/>
    <mergeCell ref="G28:H28"/>
    <mergeCell ref="I28:J28"/>
    <mergeCell ref="A35:E35"/>
    <mergeCell ref="F35:J35"/>
    <mergeCell ref="A30:J30"/>
    <mergeCell ref="A29:B29"/>
    <mergeCell ref="A17:B17"/>
    <mergeCell ref="C17:E17"/>
    <mergeCell ref="F17:G17"/>
    <mergeCell ref="H17:J17"/>
    <mergeCell ref="A27:B27"/>
    <mergeCell ref="C27:D27"/>
    <mergeCell ref="E27:F27"/>
    <mergeCell ref="G27:H27"/>
    <mergeCell ref="I27:J27"/>
    <mergeCell ref="C29:D29"/>
    <mergeCell ref="E29:F29"/>
    <mergeCell ref="G29:H29"/>
    <mergeCell ref="I29:J29"/>
    <mergeCell ref="A31:J31"/>
    <mergeCell ref="A32:B32"/>
    <mergeCell ref="A62:B62"/>
    <mergeCell ref="D62:E62"/>
    <mergeCell ref="A63:B63"/>
    <mergeCell ref="A34:J34"/>
    <mergeCell ref="D63:E63"/>
    <mergeCell ref="A36:E36"/>
    <mergeCell ref="F36:J36"/>
    <mergeCell ref="A37:J37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I235:J242"/>
    <mergeCell ref="I230:J233"/>
    <mergeCell ref="I217:J227"/>
    <mergeCell ref="I209:J215"/>
    <mergeCell ref="A213:B213"/>
    <mergeCell ref="D213:E213"/>
    <mergeCell ref="A208:J208"/>
    <mergeCell ref="A210:B210"/>
    <mergeCell ref="D210:E210"/>
    <mergeCell ref="A211:B211"/>
    <mergeCell ref="D211:E211"/>
    <mergeCell ref="A212:B212"/>
    <mergeCell ref="D212:E212"/>
    <mergeCell ref="A231:B231"/>
    <mergeCell ref="D231:E231"/>
    <mergeCell ref="A232:B232"/>
    <mergeCell ref="D232:E232"/>
    <mergeCell ref="A233:B233"/>
    <mergeCell ref="A216:J216"/>
    <mergeCell ref="A215:B215"/>
    <mergeCell ref="D215:E215"/>
    <mergeCell ref="A214:B214"/>
    <mergeCell ref="D214:E214"/>
    <mergeCell ref="A209:B209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69:B69"/>
    <mergeCell ref="D69:E69"/>
    <mergeCell ref="A70:B70"/>
    <mergeCell ref="D70:E70"/>
    <mergeCell ref="A85:B85"/>
    <mergeCell ref="C85:J85"/>
    <mergeCell ref="C73:J73"/>
    <mergeCell ref="A74:B74"/>
    <mergeCell ref="D74:E74"/>
    <mergeCell ref="F74:G74"/>
    <mergeCell ref="H74:J74"/>
    <mergeCell ref="A75:B75"/>
    <mergeCell ref="D75:E75"/>
    <mergeCell ref="F75:G84"/>
    <mergeCell ref="H75:J84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I86:J86"/>
    <mergeCell ref="A87:B87"/>
    <mergeCell ref="C87:J87"/>
    <mergeCell ref="A88:B88"/>
    <mergeCell ref="D88:E88"/>
    <mergeCell ref="F88:G88"/>
    <mergeCell ref="H88:J88"/>
    <mergeCell ref="A89:B89"/>
    <mergeCell ref="D89:E89"/>
    <mergeCell ref="F89:G98"/>
    <mergeCell ref="H89:J98"/>
    <mergeCell ref="A90:B90"/>
    <mergeCell ref="D90:E90"/>
    <mergeCell ref="A91:B91"/>
    <mergeCell ref="A95:B95"/>
    <mergeCell ref="D95:E95"/>
    <mergeCell ref="E86:F86"/>
    <mergeCell ref="D168:E168"/>
    <mergeCell ref="A169:B169"/>
    <mergeCell ref="D169:E169"/>
    <mergeCell ref="A117:B117"/>
    <mergeCell ref="C117:J117"/>
    <mergeCell ref="A151:B151"/>
    <mergeCell ref="D151:E151"/>
    <mergeCell ref="D148:E148"/>
    <mergeCell ref="A125:B125"/>
    <mergeCell ref="D125:F125"/>
    <mergeCell ref="G125:J125"/>
    <mergeCell ref="A127:B127"/>
    <mergeCell ref="D127:F127"/>
    <mergeCell ref="G127:J127"/>
    <mergeCell ref="A147:B147"/>
    <mergeCell ref="D147:E147"/>
    <mergeCell ref="A123:J123"/>
    <mergeCell ref="A121:F121"/>
    <mergeCell ref="G121:J121"/>
    <mergeCell ref="A122:F122"/>
    <mergeCell ref="G122:J122"/>
    <mergeCell ref="A120:F120"/>
    <mergeCell ref="G120:J120"/>
    <mergeCell ref="A118:J118"/>
    <mergeCell ref="A149:J149"/>
    <mergeCell ref="A150:B150"/>
    <mergeCell ref="D150:E150"/>
    <mergeCell ref="I150:J156"/>
    <mergeCell ref="A96:B96"/>
    <mergeCell ref="D96:E96"/>
    <mergeCell ref="A97:B97"/>
    <mergeCell ref="D97:E97"/>
    <mergeCell ref="A98:B98"/>
    <mergeCell ref="D98:E98"/>
    <mergeCell ref="A119:F119"/>
    <mergeCell ref="G119:J119"/>
    <mergeCell ref="A131:B131"/>
    <mergeCell ref="D131:F131"/>
    <mergeCell ref="G131:J131"/>
    <mergeCell ref="D132:F132"/>
    <mergeCell ref="G132:J132"/>
    <mergeCell ref="A124:B124"/>
    <mergeCell ref="D124:F124"/>
    <mergeCell ref="G124:J124"/>
    <mergeCell ref="A128:J128"/>
    <mergeCell ref="A130:B130"/>
    <mergeCell ref="A129:B129"/>
    <mergeCell ref="A152:B152"/>
    <mergeCell ref="D152:E152"/>
    <mergeCell ref="A153:B153"/>
    <mergeCell ref="D153:E153"/>
    <mergeCell ref="A154:B154"/>
    <mergeCell ref="D154:E154"/>
    <mergeCell ref="A155:B155"/>
    <mergeCell ref="D155:E155"/>
    <mergeCell ref="A156:B156"/>
    <mergeCell ref="D156:E156"/>
    <mergeCell ref="D162:E162"/>
    <mergeCell ref="A163:B163"/>
    <mergeCell ref="D163:E163"/>
    <mergeCell ref="A164:B164"/>
    <mergeCell ref="D164:E164"/>
    <mergeCell ref="A179:B179"/>
    <mergeCell ref="D179:E179"/>
    <mergeCell ref="A180:B180"/>
    <mergeCell ref="D180:E180"/>
    <mergeCell ref="A171:J171"/>
    <mergeCell ref="A172:B172"/>
    <mergeCell ref="D172:E172"/>
    <mergeCell ref="A173:B173"/>
    <mergeCell ref="D173:E173"/>
    <mergeCell ref="A174:B174"/>
    <mergeCell ref="D174:E174"/>
    <mergeCell ref="A170:B170"/>
    <mergeCell ref="D170:E170"/>
    <mergeCell ref="I159:J170"/>
    <mergeCell ref="A165:B165"/>
    <mergeCell ref="D165:E165"/>
    <mergeCell ref="A167:B167"/>
    <mergeCell ref="D167:E167"/>
    <mergeCell ref="A168:B168"/>
    <mergeCell ref="A181:B181"/>
    <mergeCell ref="D181:E181"/>
    <mergeCell ref="A182:B182"/>
    <mergeCell ref="D182:E182"/>
    <mergeCell ref="I172:J182"/>
    <mergeCell ref="A175:B175"/>
    <mergeCell ref="D175:E175"/>
    <mergeCell ref="A176:B176"/>
    <mergeCell ref="D176:E176"/>
    <mergeCell ref="A177:B177"/>
    <mergeCell ref="D177:E177"/>
    <mergeCell ref="A178:B178"/>
    <mergeCell ref="D178:E178"/>
    <mergeCell ref="A192:B192"/>
    <mergeCell ref="D192:E192"/>
    <mergeCell ref="A193:B193"/>
    <mergeCell ref="D193:E193"/>
    <mergeCell ref="A194:B194"/>
    <mergeCell ref="D194:E194"/>
    <mergeCell ref="I184:J194"/>
    <mergeCell ref="A183:J183"/>
    <mergeCell ref="A184:B184"/>
    <mergeCell ref="D184:E184"/>
    <mergeCell ref="A185:B185"/>
    <mergeCell ref="D185:E185"/>
    <mergeCell ref="A186:B186"/>
    <mergeCell ref="D186:E186"/>
    <mergeCell ref="A187:B187"/>
    <mergeCell ref="D187:E187"/>
    <mergeCell ref="A188:B188"/>
    <mergeCell ref="D188:E188"/>
    <mergeCell ref="A189:B189"/>
    <mergeCell ref="D189:E189"/>
    <mergeCell ref="A190:B190"/>
    <mergeCell ref="D190:E190"/>
    <mergeCell ref="A191:B191"/>
    <mergeCell ref="D191:E191"/>
    <mergeCell ref="I196:J206"/>
    <mergeCell ref="A197:B197"/>
    <mergeCell ref="D197:E197"/>
    <mergeCell ref="A198:B198"/>
    <mergeCell ref="D198:E198"/>
    <mergeCell ref="A199:B199"/>
    <mergeCell ref="D199:E199"/>
    <mergeCell ref="A200:B200"/>
    <mergeCell ref="D200:E200"/>
    <mergeCell ref="A201:B201"/>
    <mergeCell ref="D201:E201"/>
    <mergeCell ref="A202:B202"/>
    <mergeCell ref="D202:E202"/>
    <mergeCell ref="A203:B203"/>
    <mergeCell ref="D203:E203"/>
    <mergeCell ref="A204:B204"/>
    <mergeCell ref="D204:E204"/>
    <mergeCell ref="A205:B205"/>
    <mergeCell ref="D205:E205"/>
    <mergeCell ref="A206:B206"/>
    <mergeCell ref="D206:E206"/>
    <mergeCell ref="A111:B111"/>
    <mergeCell ref="D111:E111"/>
    <mergeCell ref="A112:B112"/>
    <mergeCell ref="A243:J243"/>
    <mergeCell ref="A244:B244"/>
    <mergeCell ref="D244:E244"/>
    <mergeCell ref="I244:J251"/>
    <mergeCell ref="A245:B245"/>
    <mergeCell ref="D245:E245"/>
    <mergeCell ref="A246:B246"/>
    <mergeCell ref="D246:E246"/>
    <mergeCell ref="A247:B247"/>
    <mergeCell ref="D247:E247"/>
    <mergeCell ref="A248:B248"/>
    <mergeCell ref="D248:E248"/>
    <mergeCell ref="A249:B249"/>
    <mergeCell ref="D249:E249"/>
    <mergeCell ref="A250:B250"/>
    <mergeCell ref="D250:E250"/>
    <mergeCell ref="A251:B251"/>
    <mergeCell ref="D251:E251"/>
    <mergeCell ref="A195:J195"/>
    <mergeCell ref="A196:B196"/>
    <mergeCell ref="D196:E196"/>
    <mergeCell ref="D112:E112"/>
    <mergeCell ref="A113:B113"/>
    <mergeCell ref="D113:E113"/>
    <mergeCell ref="C102:J102"/>
    <mergeCell ref="A103:B103"/>
    <mergeCell ref="D103:E103"/>
    <mergeCell ref="F103:G103"/>
    <mergeCell ref="H103:J103"/>
    <mergeCell ref="A104:B104"/>
    <mergeCell ref="D104:E104"/>
    <mergeCell ref="F104:G113"/>
    <mergeCell ref="H104:J113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</mergeCells>
  <hyperlinks>
    <hyperlink ref="C33" r:id="rId1"/>
  </hyperlinks>
  <printOptions horizontalCentered="1"/>
  <pageMargins left="0.39370078740157483" right="0.39370078740157483" top="0.98425196850393704" bottom="0.59055118110236227" header="0.19685039370078741" footer="0.19685039370078741"/>
  <pageSetup paperSize="9" fitToHeight="0" orientation="portrait" r:id="rId2"/>
  <headerFooter>
    <oddHeader>&amp;C&amp;"Times New Roman,Bold"&amp;20&amp;G</oddHeader>
    <oddFooter>&amp;L&amp;"Times New Roman,Bold"&amp;12Ref No: &amp;F&amp;C&amp;G&amp;R&amp;"Times New Roman,Bold"&amp;12&amp;P</oddFooter>
  </headerFooter>
  <rowBreaks count="4" manualBreakCount="4">
    <brk id="70" max="16383" man="1"/>
    <brk id="134" max="9" man="1"/>
    <brk id="265" max="16383" man="1"/>
    <brk id="31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16" workbookViewId="0">
      <selection activeCell="C23" sqref="C23"/>
    </sheetView>
  </sheetViews>
  <sheetFormatPr defaultRowHeight="15" x14ac:dyDescent="0.25"/>
  <cols>
    <col min="1" max="1" width="10.7109375" bestFit="1" customWidth="1"/>
  </cols>
  <sheetData>
    <row r="2" spans="1:2" x14ac:dyDescent="0.25">
      <c r="A2" s="6">
        <v>44181</v>
      </c>
      <c r="B2" s="7" t="s">
        <v>169</v>
      </c>
    </row>
    <row r="23" spans="1:2" x14ac:dyDescent="0.25">
      <c r="A23" t="s">
        <v>170</v>
      </c>
      <c r="B23" s="7" t="s">
        <v>169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70" workbookViewId="0">
      <selection activeCell="A78" sqref="A78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96</v>
      </c>
      <c r="C2" s="199"/>
      <c r="D2" s="199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97</v>
      </c>
      <c r="B4" s="3" t="s">
        <v>98</v>
      </c>
      <c r="C4" s="200" t="s">
        <v>99</v>
      </c>
      <c r="D4" s="200"/>
      <c r="E4" s="200"/>
      <c r="F4" s="4"/>
      <c r="G4" s="200" t="s">
        <v>100</v>
      </c>
      <c r="H4" s="200"/>
      <c r="I4" s="200"/>
      <c r="J4" s="200" t="s">
        <v>101</v>
      </c>
      <c r="K4" s="200"/>
      <c r="L4" s="200"/>
    </row>
    <row r="5" spans="1:12" x14ac:dyDescent="0.25">
      <c r="A5" s="1">
        <v>1</v>
      </c>
      <c r="B5" s="3"/>
      <c r="C5" s="3" t="s">
        <v>102</v>
      </c>
      <c r="D5" s="3" t="s">
        <v>103</v>
      </c>
      <c r="E5" s="3" t="s">
        <v>76</v>
      </c>
      <c r="F5" s="3"/>
      <c r="G5" s="3" t="s">
        <v>102</v>
      </c>
      <c r="H5" s="3" t="s">
        <v>103</v>
      </c>
      <c r="I5" s="3" t="s">
        <v>76</v>
      </c>
      <c r="J5" s="3" t="s">
        <v>102</v>
      </c>
      <c r="K5" s="3" t="s">
        <v>103</v>
      </c>
      <c r="L5" s="3" t="s">
        <v>76</v>
      </c>
    </row>
    <row r="6" spans="1:12" x14ac:dyDescent="0.25">
      <c r="B6" s="5" t="s">
        <v>104</v>
      </c>
      <c r="C6" s="5">
        <v>2.9</v>
      </c>
      <c r="D6" s="5">
        <v>2.59</v>
      </c>
      <c r="E6" s="5">
        <f>C6*D6</f>
        <v>7.5109999999999992</v>
      </c>
      <c r="F6" s="5" t="s">
        <v>105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/>
      <c r="D7" s="5"/>
      <c r="E7" s="5">
        <f t="shared" ref="E7:E33" si="0">C7*D7</f>
        <v>0</v>
      </c>
      <c r="F7" s="5" t="s">
        <v>106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107</v>
      </c>
      <c r="C9" s="5">
        <v>2.36</v>
      </c>
      <c r="D9" s="5">
        <v>2.89</v>
      </c>
      <c r="E9" s="5">
        <f t="shared" si="0"/>
        <v>6.8204000000000002</v>
      </c>
      <c r="F9" s="5" t="s">
        <v>105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/>
      <c r="D10" s="5"/>
      <c r="E10" s="5">
        <f t="shared" si="0"/>
        <v>0</v>
      </c>
      <c r="F10" s="5" t="s">
        <v>106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108</v>
      </c>
      <c r="C13" s="5">
        <v>1.75</v>
      </c>
      <c r="D13" s="5">
        <v>1.53</v>
      </c>
      <c r="E13" s="5">
        <f t="shared" si="0"/>
        <v>2.6775000000000002</v>
      </c>
      <c r="F13" s="5" t="s">
        <v>105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106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109</v>
      </c>
      <c r="C17" s="5"/>
      <c r="D17" s="5"/>
      <c r="E17" s="5">
        <f t="shared" si="0"/>
        <v>0</v>
      </c>
      <c r="F17" s="5" t="s">
        <v>105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106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109</v>
      </c>
      <c r="C20" s="5"/>
      <c r="D20" s="5"/>
      <c r="E20" s="5">
        <f t="shared" si="0"/>
        <v>0</v>
      </c>
      <c r="F20" s="5" t="s">
        <v>105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106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110</v>
      </c>
      <c r="C23" s="5"/>
      <c r="D23" s="5"/>
      <c r="E23" s="5">
        <f t="shared" si="0"/>
        <v>0</v>
      </c>
      <c r="F23" s="5" t="s">
        <v>111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112</v>
      </c>
      <c r="C24" s="5"/>
      <c r="D24" s="5"/>
      <c r="E24" s="5">
        <f t="shared" si="0"/>
        <v>0</v>
      </c>
      <c r="F24" s="5" t="s">
        <v>111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113</v>
      </c>
      <c r="C25" s="5"/>
      <c r="D25" s="5"/>
      <c r="E25" s="5">
        <f t="shared" si="0"/>
        <v>0</v>
      </c>
      <c r="F25" s="5" t="s">
        <v>111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114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115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116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117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77</v>
      </c>
      <c r="C34" s="5"/>
      <c r="D34" s="5">
        <f>E34*10.764</f>
        <v>183.08379959999996</v>
      </c>
      <c r="E34" s="5">
        <f>SUM(E6:E33)</f>
        <v>17.008899999999997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183.08379959999996</v>
      </c>
      <c r="E36">
        <f>E34+I34</f>
        <v>17.008899999999997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 (2)</vt:lpstr>
      <vt:lpstr>Note</vt:lpstr>
      <vt:lpstr>Flat detail</vt:lpstr>
      <vt:lpstr>'Report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2025-10-06T07:19:02Z</cp:lastPrinted>
  <dcterms:created xsi:type="dcterms:W3CDTF">2019-07-16T09:29:46Z</dcterms:created>
  <dcterms:modified xsi:type="dcterms:W3CDTF">2025-10-06T07:19:04Z</dcterms:modified>
</cp:coreProperties>
</file>