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Oct 2025\01-10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D410" i="1"/>
  <c r="F410" i="1" s="1"/>
  <c r="H410" i="1" s="1"/>
  <c r="D409" i="1"/>
  <c r="F409" i="1" s="1"/>
  <c r="H409" i="1" s="1"/>
  <c r="J409" i="1" s="1"/>
  <c r="D407" i="1"/>
  <c r="F407" i="1" s="1"/>
  <c r="H407" i="1" s="1"/>
  <c r="D406" i="1"/>
  <c r="F406" i="1" s="1"/>
  <c r="H406" i="1" s="1"/>
  <c r="D405" i="1"/>
  <c r="F405" i="1" s="1"/>
  <c r="H405" i="1" s="1"/>
  <c r="D403" i="1"/>
  <c r="F403" i="1" s="1"/>
  <c r="H403" i="1" s="1"/>
  <c r="D402" i="1"/>
  <c r="F402" i="1" s="1"/>
  <c r="H402" i="1" s="1"/>
  <c r="D400" i="1"/>
  <c r="F400" i="1" s="1"/>
  <c r="H400" i="1" s="1"/>
  <c r="D399" i="1"/>
  <c r="F399" i="1" s="1"/>
  <c r="H399" i="1" s="1"/>
  <c r="D398" i="1"/>
  <c r="F398" i="1" s="1"/>
  <c r="H398" i="1" s="1"/>
  <c r="D396" i="1"/>
  <c r="F396" i="1" s="1"/>
  <c r="H396" i="1" s="1"/>
  <c r="D395" i="1"/>
  <c r="F395" i="1" s="1"/>
  <c r="H395" i="1" s="1"/>
  <c r="D394" i="1"/>
  <c r="F394" i="1" s="1"/>
  <c r="H394" i="1" s="1"/>
  <c r="D393" i="1"/>
  <c r="F393" i="1" s="1"/>
  <c r="H393" i="1" s="1"/>
  <c r="D392" i="1"/>
  <c r="F392" i="1" s="1"/>
  <c r="H392" i="1" s="1"/>
  <c r="D391" i="1"/>
  <c r="F391" i="1" s="1"/>
  <c r="H391" i="1" s="1"/>
  <c r="D389" i="1"/>
  <c r="F389" i="1" s="1"/>
  <c r="H389" i="1" s="1"/>
  <c r="D387" i="1"/>
  <c r="F387" i="1" s="1"/>
  <c r="H387" i="1" s="1"/>
  <c r="D386" i="1"/>
  <c r="F386" i="1" s="1"/>
  <c r="H386" i="1" s="1"/>
  <c r="D385" i="1"/>
  <c r="F385" i="1" s="1"/>
  <c r="H385" i="1" s="1"/>
  <c r="D384" i="1"/>
  <c r="F384" i="1" s="1"/>
  <c r="H384" i="1" s="1"/>
  <c r="D381" i="1"/>
  <c r="F381" i="1" s="1"/>
  <c r="H381" i="1" s="1"/>
  <c r="D380" i="1"/>
  <c r="F380" i="1" s="1"/>
  <c r="H380" i="1" s="1"/>
  <c r="D379" i="1"/>
  <c r="F379" i="1" s="1"/>
  <c r="H379" i="1" s="1"/>
  <c r="D378" i="1"/>
  <c r="F378" i="1" s="1"/>
  <c r="H378" i="1" s="1"/>
  <c r="D377" i="1"/>
  <c r="F377" i="1" s="1"/>
  <c r="H377" i="1" s="1"/>
  <c r="D374" i="1"/>
  <c r="F374" i="1" s="1"/>
  <c r="H374" i="1" s="1"/>
  <c r="D373" i="1"/>
  <c r="F373" i="1" s="1"/>
  <c r="H373" i="1" s="1"/>
  <c r="D372" i="1"/>
  <c r="F372" i="1" s="1"/>
  <c r="H372" i="1" s="1"/>
  <c r="D371" i="1"/>
  <c r="F371" i="1" s="1"/>
  <c r="H371" i="1" s="1"/>
  <c r="D367" i="1"/>
  <c r="F367" i="1" s="1"/>
  <c r="H367" i="1" s="1"/>
  <c r="D366" i="1"/>
  <c r="F366" i="1" s="1"/>
  <c r="H366" i="1" s="1"/>
  <c r="D365" i="1"/>
  <c r="F365" i="1" s="1"/>
  <c r="H365" i="1" s="1"/>
  <c r="D364" i="1"/>
  <c r="F364" i="1" s="1"/>
  <c r="H364" i="1" s="1"/>
  <c r="D363" i="1"/>
  <c r="F363" i="1" s="1"/>
  <c r="H363" i="1" s="1"/>
  <c r="D362" i="1"/>
  <c r="F362" i="1" s="1"/>
  <c r="H362" i="1" s="1"/>
  <c r="D360" i="1"/>
  <c r="F360" i="1" s="1"/>
  <c r="H360" i="1" s="1"/>
  <c r="D359" i="1"/>
  <c r="F359" i="1" s="1"/>
  <c r="H359" i="1" s="1"/>
  <c r="D358" i="1"/>
  <c r="F358" i="1" s="1"/>
  <c r="H358" i="1" s="1"/>
  <c r="D357" i="1"/>
  <c r="F357" i="1" s="1"/>
  <c r="H357" i="1" s="1"/>
  <c r="D356" i="1"/>
  <c r="F356" i="1" s="1"/>
  <c r="H356" i="1" s="1"/>
  <c r="D355" i="1"/>
  <c r="F355" i="1" s="1"/>
  <c r="H355" i="1" s="1"/>
  <c r="D351" i="1"/>
  <c r="F351" i="1" s="1"/>
  <c r="H351" i="1" s="1"/>
  <c r="D350" i="1"/>
  <c r="F350" i="1" s="1"/>
  <c r="H350" i="1" s="1"/>
  <c r="D349" i="1"/>
  <c r="F349" i="1" s="1"/>
  <c r="H349" i="1" s="1"/>
  <c r="D348" i="1"/>
  <c r="F348" i="1" s="1"/>
  <c r="H348" i="1" s="1"/>
  <c r="D347" i="1"/>
  <c r="F347" i="1" s="1"/>
  <c r="H347" i="1" s="1"/>
  <c r="D346" i="1"/>
  <c r="F346" i="1" s="1"/>
  <c r="H346" i="1" s="1"/>
  <c r="D345" i="1"/>
  <c r="D342" i="1"/>
  <c r="F342" i="1" s="1"/>
  <c r="H342" i="1" s="1"/>
  <c r="D341" i="1"/>
  <c r="F341" i="1" s="1"/>
  <c r="H341" i="1" s="1"/>
  <c r="D340" i="1"/>
  <c r="D339" i="1"/>
  <c r="F339" i="1" s="1"/>
  <c r="H339" i="1" s="1"/>
  <c r="D338" i="1"/>
  <c r="F338" i="1" s="1"/>
  <c r="H338" i="1" s="1"/>
  <c r="D336" i="1"/>
  <c r="F336" i="1" s="1"/>
  <c r="H336" i="1" s="1"/>
  <c r="D335" i="1"/>
  <c r="F335" i="1" s="1"/>
  <c r="H335" i="1" s="1"/>
  <c r="D334" i="1"/>
  <c r="F334" i="1" s="1"/>
  <c r="H334" i="1" s="1"/>
  <c r="D333" i="1"/>
  <c r="F333" i="1" s="1"/>
  <c r="H333" i="1" s="1"/>
  <c r="D332" i="1"/>
  <c r="F332" i="1" s="1"/>
  <c r="H332" i="1" s="1"/>
  <c r="D331" i="1"/>
  <c r="F331" i="1" s="1"/>
  <c r="H331" i="1" s="1"/>
  <c r="D326" i="1"/>
  <c r="F326" i="1" s="1"/>
  <c r="H326" i="1" s="1"/>
  <c r="D325" i="1"/>
  <c r="F325" i="1" s="1"/>
  <c r="H325" i="1" s="1"/>
  <c r="D324" i="1"/>
  <c r="F324" i="1" s="1"/>
  <c r="H324" i="1" s="1"/>
  <c r="D323" i="1"/>
  <c r="F323" i="1" s="1"/>
  <c r="H323" i="1" s="1"/>
  <c r="D321" i="1"/>
  <c r="F321" i="1" s="1"/>
  <c r="H321" i="1" s="1"/>
  <c r="D320" i="1"/>
  <c r="F320" i="1" s="1"/>
  <c r="H320" i="1" s="1"/>
  <c r="K316" i="1" s="1"/>
  <c r="D319" i="1"/>
  <c r="F319" i="1" s="1"/>
  <c r="H319" i="1" s="1"/>
  <c r="D318" i="1"/>
  <c r="F318" i="1" s="1"/>
  <c r="H318" i="1" s="1"/>
  <c r="D317" i="1"/>
  <c r="F317" i="1" s="1"/>
  <c r="H317" i="1" s="1"/>
  <c r="D316" i="1"/>
  <c r="F316" i="1" s="1"/>
  <c r="H316" i="1" s="1"/>
  <c r="D315" i="1"/>
  <c r="F315" i="1" s="1"/>
  <c r="H315" i="1" s="1"/>
  <c r="D314" i="1"/>
  <c r="F314" i="1" s="1"/>
  <c r="H314" i="1" s="1"/>
  <c r="D313" i="1"/>
  <c r="F313" i="1" s="1"/>
  <c r="H313" i="1" s="1"/>
  <c r="D312" i="1"/>
  <c r="F312" i="1" s="1"/>
  <c r="H312" i="1" s="1"/>
  <c r="D311" i="1"/>
  <c r="F311" i="1" s="1"/>
  <c r="H311" i="1" s="1"/>
  <c r="D310" i="1"/>
  <c r="F310" i="1" s="1"/>
  <c r="H310" i="1" s="1"/>
  <c r="D309" i="1"/>
  <c r="F309" i="1" s="1"/>
  <c r="H309" i="1" s="1"/>
  <c r="D308" i="1"/>
  <c r="F308" i="1" s="1"/>
  <c r="H308" i="1" s="1"/>
  <c r="D305" i="1"/>
  <c r="F305" i="1" s="1"/>
  <c r="H305" i="1" s="1"/>
  <c r="D304" i="1"/>
  <c r="D303" i="1"/>
  <c r="F303" i="1" s="1"/>
  <c r="H303" i="1" s="1"/>
  <c r="D302" i="1"/>
  <c r="F302" i="1" s="1"/>
  <c r="H302" i="1" s="1"/>
  <c r="D301" i="1"/>
  <c r="F301" i="1" s="1"/>
  <c r="H301" i="1" s="1"/>
  <c r="D300" i="1"/>
  <c r="F300" i="1" s="1"/>
  <c r="H300" i="1" s="1"/>
  <c r="D299" i="1"/>
  <c r="F299" i="1" s="1"/>
  <c r="H299" i="1" s="1"/>
  <c r="D298" i="1"/>
  <c r="F298" i="1" s="1"/>
  <c r="H298" i="1" s="1"/>
  <c r="D297" i="1"/>
  <c r="F297" i="1" s="1"/>
  <c r="H297" i="1" s="1"/>
  <c r="D296" i="1"/>
  <c r="F296" i="1" s="1"/>
  <c r="H296" i="1" s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4" i="1"/>
  <c r="D274" i="1"/>
  <c r="E273" i="1"/>
  <c r="D273" i="1"/>
  <c r="E272" i="1"/>
  <c r="D272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29" i="1"/>
  <c r="D229" i="1"/>
  <c r="E228" i="1"/>
  <c r="D228" i="1"/>
  <c r="E223" i="1"/>
  <c r="E222" i="1"/>
  <c r="E221" i="1"/>
  <c r="E220" i="1"/>
  <c r="E219" i="1"/>
  <c r="E218" i="1"/>
  <c r="E217" i="1"/>
  <c r="E216" i="1"/>
  <c r="D223" i="1"/>
  <c r="D222" i="1"/>
  <c r="D221" i="1"/>
  <c r="D220" i="1"/>
  <c r="D219" i="1"/>
  <c r="D218" i="1"/>
  <c r="D217" i="1"/>
  <c r="D216" i="1"/>
  <c r="D195" i="1"/>
  <c r="F195" i="1" s="1"/>
  <c r="H195" i="1" s="1"/>
  <c r="D194" i="1"/>
  <c r="D193" i="1"/>
  <c r="F193" i="1" s="1"/>
  <c r="H193" i="1" s="1"/>
  <c r="D192" i="1"/>
  <c r="F192" i="1" s="1"/>
  <c r="D191" i="1"/>
  <c r="F191" i="1" s="1"/>
  <c r="H191" i="1" s="1"/>
  <c r="D190" i="1"/>
  <c r="F190" i="1" s="1"/>
  <c r="H190" i="1" s="1"/>
  <c r="D189" i="1"/>
  <c r="F189" i="1" s="1"/>
  <c r="H189" i="1" s="1"/>
  <c r="D188" i="1"/>
  <c r="F188" i="1" s="1"/>
  <c r="H188" i="1" s="1"/>
  <c r="D187" i="1"/>
  <c r="F187" i="1" s="1"/>
  <c r="H187" i="1" s="1"/>
  <c r="D186" i="1"/>
  <c r="F186" i="1" s="1"/>
  <c r="H186" i="1" s="1"/>
  <c r="D185" i="1"/>
  <c r="F185" i="1" s="1"/>
  <c r="H185" i="1" s="1"/>
  <c r="D184" i="1"/>
  <c r="F184" i="1" s="1"/>
  <c r="H184" i="1" s="1"/>
  <c r="D180" i="1"/>
  <c r="D179" i="1"/>
  <c r="D178" i="1"/>
  <c r="D177" i="1"/>
  <c r="D176" i="1"/>
  <c r="D175" i="1"/>
  <c r="D174" i="1"/>
  <c r="D173" i="1"/>
  <c r="D172" i="1"/>
  <c r="D171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K156" i="1"/>
  <c r="A406" i="1"/>
  <c r="A407" i="1" s="1"/>
  <c r="A408" i="1" s="1"/>
  <c r="A409" i="1" s="1"/>
  <c r="A410" i="1" s="1"/>
  <c r="A399" i="1"/>
  <c r="A400" i="1" s="1"/>
  <c r="A401" i="1" s="1"/>
  <c r="A402" i="1" s="1"/>
  <c r="A403" i="1" s="1"/>
  <c r="A392" i="1"/>
  <c r="A393" i="1" s="1"/>
  <c r="A394" i="1" s="1"/>
  <c r="A395" i="1" s="1"/>
  <c r="A396" i="1" s="1"/>
  <c r="A385" i="1"/>
  <c r="A386" i="1" s="1"/>
  <c r="A387" i="1" s="1"/>
  <c r="A388" i="1" s="1"/>
  <c r="A389" i="1" s="1"/>
  <c r="A377" i="1"/>
  <c r="A378" i="1" s="1"/>
  <c r="A379" i="1" s="1"/>
  <c r="A380" i="1" s="1"/>
  <c r="A381" i="1" s="1"/>
  <c r="A370" i="1"/>
  <c r="A371" i="1" s="1"/>
  <c r="A372" i="1" s="1"/>
  <c r="A373" i="1" s="1"/>
  <c r="A374" i="1" s="1"/>
  <c r="A363" i="1"/>
  <c r="A364" i="1" s="1"/>
  <c r="A365" i="1" s="1"/>
  <c r="A366" i="1" s="1"/>
  <c r="A367" i="1" s="1"/>
  <c r="A356" i="1"/>
  <c r="A357" i="1" s="1"/>
  <c r="A358" i="1" s="1"/>
  <c r="A359" i="1" s="1"/>
  <c r="A360" i="1" s="1"/>
  <c r="F194" i="1"/>
  <c r="H194" i="1" s="1"/>
  <c r="A193" i="1"/>
  <c r="A194" i="1" s="1"/>
  <c r="A195" i="1" s="1"/>
  <c r="A185" i="1"/>
  <c r="A186" i="1" s="1"/>
  <c r="A187" i="1" s="1"/>
  <c r="A188" i="1" s="1"/>
  <c r="A189" i="1" s="1"/>
  <c r="A190" i="1" s="1"/>
  <c r="A191" i="1" s="1"/>
  <c r="F345" i="1"/>
  <c r="H345" i="1" s="1"/>
  <c r="F340" i="1"/>
  <c r="H340" i="1" s="1"/>
  <c r="A339" i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09" i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F304" i="1"/>
  <c r="H304" i="1" s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C136" i="1" l="1"/>
  <c r="C135" i="1"/>
  <c r="C137" i="1"/>
  <c r="C130" i="1"/>
  <c r="C129" i="1"/>
  <c r="G129" i="1"/>
  <c r="G135" i="1"/>
  <c r="G136" i="1"/>
  <c r="G137" i="1"/>
  <c r="E129" i="1"/>
  <c r="E136" i="1"/>
  <c r="E137" i="1"/>
  <c r="E135" i="1"/>
  <c r="H192" i="1"/>
  <c r="G130" i="1" s="1"/>
  <c r="E130" i="1"/>
  <c r="F180" i="1"/>
  <c r="H180" i="1" s="1"/>
  <c r="F179" i="1"/>
  <c r="H179" i="1" s="1"/>
  <c r="F178" i="1"/>
  <c r="H178" i="1" s="1"/>
  <c r="F176" i="1"/>
  <c r="H176" i="1" s="1"/>
  <c r="F177" i="1"/>
  <c r="H177" i="1" s="1"/>
  <c r="F174" i="1"/>
  <c r="H174" i="1" s="1"/>
  <c r="F173" i="1"/>
  <c r="H173" i="1" s="1"/>
  <c r="F172" i="1"/>
  <c r="F171" i="1"/>
  <c r="F175" i="1"/>
  <c r="H175" i="1" s="1"/>
  <c r="A172" i="1"/>
  <c r="A173" i="1" s="1"/>
  <c r="A174" i="1" s="1"/>
  <c r="A175" i="1" s="1"/>
  <c r="A176" i="1" s="1"/>
  <c r="A177" i="1" s="1"/>
  <c r="A178" i="1" s="1"/>
  <c r="A179" i="1" s="1"/>
  <c r="A180" i="1" s="1"/>
  <c r="H172" i="1" l="1"/>
  <c r="C128" i="1"/>
  <c r="E128" i="1"/>
  <c r="H171" i="1"/>
  <c r="F201" i="1"/>
  <c r="H201" i="1" s="1"/>
  <c r="F200" i="1"/>
  <c r="H200" i="1" s="1"/>
  <c r="F199" i="1"/>
  <c r="H199" i="1" s="1"/>
  <c r="A199" i="1"/>
  <c r="A200" i="1" s="1"/>
  <c r="A201" i="1" s="1"/>
  <c r="F198" i="1"/>
  <c r="H198" i="1" s="1"/>
  <c r="F168" i="1"/>
  <c r="H168" i="1" s="1"/>
  <c r="F167" i="1"/>
  <c r="H167" i="1" s="1"/>
  <c r="F166" i="1"/>
  <c r="H166" i="1" s="1"/>
  <c r="F165" i="1"/>
  <c r="H165" i="1" s="1"/>
  <c r="F164" i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F156" i="1"/>
  <c r="A157" i="1"/>
  <c r="A158" i="1" s="1"/>
  <c r="A159" i="1" s="1"/>
  <c r="A160" i="1" s="1"/>
  <c r="A161" i="1" s="1"/>
  <c r="A162" i="1" s="1"/>
  <c r="A163" i="1" s="1"/>
  <c r="A165" i="1" s="1"/>
  <c r="A166" i="1" s="1"/>
  <c r="A167" i="1" s="1"/>
  <c r="A168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F273" i="1"/>
  <c r="H273" i="1" s="1"/>
  <c r="F266" i="1"/>
  <c r="H266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F248" i="1"/>
  <c r="H248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F242" i="1"/>
  <c r="H242" i="1" s="1"/>
  <c r="F236" i="1"/>
  <c r="H236" i="1" s="1"/>
  <c r="J232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J217" i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418" i="1"/>
  <c r="H418" i="1" s="1"/>
  <c r="F417" i="1"/>
  <c r="H417" i="1" s="1"/>
  <c r="F416" i="1"/>
  <c r="H416" i="1" s="1"/>
  <c r="F415" i="1"/>
  <c r="H415" i="1" s="1"/>
  <c r="F414" i="1"/>
  <c r="H414" i="1" s="1"/>
  <c r="F413" i="1"/>
  <c r="H413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F412" i="1"/>
  <c r="H412" i="1" s="1"/>
  <c r="C141" i="1" l="1"/>
  <c r="C142" i="1" s="1"/>
  <c r="H157" i="1"/>
  <c r="C127" i="1"/>
  <c r="C131" i="1" s="1"/>
  <c r="G128" i="1"/>
  <c r="H164" i="1"/>
  <c r="G141" i="1" s="1"/>
  <c r="G142" i="1" s="1"/>
  <c r="E141" i="1"/>
  <c r="E142" i="1" s="1"/>
  <c r="H156" i="1"/>
  <c r="E127" i="1"/>
  <c r="E131" i="1" s="1"/>
  <c r="F244" i="1"/>
  <c r="H244" i="1" s="1"/>
  <c r="F252" i="1"/>
  <c r="H252" i="1" s="1"/>
  <c r="F278" i="1"/>
  <c r="H278" i="1" s="1"/>
  <c r="F261" i="1"/>
  <c r="H261" i="1" s="1"/>
  <c r="F279" i="1"/>
  <c r="H279" i="1" s="1"/>
  <c r="F263" i="1"/>
  <c r="H263" i="1" s="1"/>
  <c r="F282" i="1"/>
  <c r="H282" i="1" s="1"/>
  <c r="F262" i="1"/>
  <c r="H262" i="1" s="1"/>
  <c r="F268" i="1"/>
  <c r="H268" i="1" s="1"/>
  <c r="F253" i="1"/>
  <c r="H253" i="1" s="1"/>
  <c r="F264" i="1"/>
  <c r="H264" i="1" s="1"/>
  <c r="F232" i="1"/>
  <c r="H232" i="1" s="1"/>
  <c r="F280" i="1"/>
  <c r="F243" i="1"/>
  <c r="H243" i="1" s="1"/>
  <c r="F241" i="1"/>
  <c r="H241" i="1" s="1"/>
  <c r="F255" i="1"/>
  <c r="H255" i="1" s="1"/>
  <c r="F287" i="1"/>
  <c r="H287" i="1" s="1"/>
  <c r="F247" i="1"/>
  <c r="H247" i="1" s="1"/>
  <c r="F277" i="1"/>
  <c r="H277" i="1" s="1"/>
  <c r="F284" i="1"/>
  <c r="H284" i="1" s="1"/>
  <c r="F288" i="1"/>
  <c r="H288" i="1" s="1"/>
  <c r="F274" i="1"/>
  <c r="H274" i="1" s="1"/>
  <c r="F285" i="1"/>
  <c r="H285" i="1" s="1"/>
  <c r="F289" i="1"/>
  <c r="H289" i="1" s="1"/>
  <c r="F231" i="1"/>
  <c r="H231" i="1" s="1"/>
  <c r="F234" i="1"/>
  <c r="H234" i="1" s="1"/>
  <c r="F240" i="1"/>
  <c r="H240" i="1" s="1"/>
  <c r="F254" i="1"/>
  <c r="H254" i="1" s="1"/>
  <c r="F233" i="1"/>
  <c r="H233" i="1" s="1"/>
  <c r="F237" i="1"/>
  <c r="H237" i="1" s="1"/>
  <c r="F239" i="1"/>
  <c r="H239" i="1" s="1"/>
  <c r="F246" i="1"/>
  <c r="H246" i="1" s="1"/>
  <c r="F265" i="1"/>
  <c r="H265" i="1" s="1"/>
  <c r="F281" i="1"/>
  <c r="H281" i="1" s="1"/>
  <c r="F269" i="1"/>
  <c r="H269" i="1" s="1"/>
  <c r="F238" i="1"/>
  <c r="H238" i="1" s="1"/>
  <c r="F270" i="1"/>
  <c r="H270" i="1" s="1"/>
  <c r="F286" i="1"/>
  <c r="H286" i="1" s="1"/>
  <c r="F267" i="1"/>
  <c r="H267" i="1" s="1"/>
  <c r="F272" i="1"/>
  <c r="H272" i="1" s="1"/>
  <c r="F276" i="1"/>
  <c r="H276" i="1" s="1"/>
  <c r="F283" i="1"/>
  <c r="H283" i="1" s="1"/>
  <c r="F235" i="1"/>
  <c r="H235" i="1" s="1"/>
  <c r="F250" i="1"/>
  <c r="H250" i="1" s="1"/>
  <c r="F251" i="1"/>
  <c r="H251" i="1" s="1"/>
  <c r="F249" i="1"/>
  <c r="H249" i="1" s="1"/>
  <c r="F229" i="1"/>
  <c r="H229" i="1" s="1"/>
  <c r="F228" i="1"/>
  <c r="H228" i="1" s="1"/>
  <c r="F223" i="1"/>
  <c r="H223" i="1" s="1"/>
  <c r="F222" i="1"/>
  <c r="H222" i="1" s="1"/>
  <c r="F221" i="1"/>
  <c r="H221" i="1" s="1"/>
  <c r="F220" i="1"/>
  <c r="H220" i="1" s="1"/>
  <c r="B453" i="1"/>
  <c r="B452" i="1"/>
  <c r="F216" i="1"/>
  <c r="F217" i="1"/>
  <c r="H217" i="1" s="1"/>
  <c r="F449" i="1"/>
  <c r="H449" i="1" s="1"/>
  <c r="F448" i="1"/>
  <c r="H448" i="1" s="1"/>
  <c r="F447" i="1"/>
  <c r="H447" i="1" s="1"/>
  <c r="F446" i="1"/>
  <c r="H446" i="1" s="1"/>
  <c r="F445" i="1"/>
  <c r="H445" i="1" s="1"/>
  <c r="F443" i="1"/>
  <c r="H443" i="1" s="1"/>
  <c r="F442" i="1"/>
  <c r="H442" i="1" s="1"/>
  <c r="F441" i="1"/>
  <c r="H441" i="1" s="1"/>
  <c r="F440" i="1"/>
  <c r="H440" i="1" s="1"/>
  <c r="F439" i="1"/>
  <c r="H439" i="1" s="1"/>
  <c r="F437" i="1"/>
  <c r="H437" i="1" s="1"/>
  <c r="F436" i="1"/>
  <c r="H436" i="1" s="1"/>
  <c r="F435" i="1"/>
  <c r="H435" i="1" s="1"/>
  <c r="F434" i="1"/>
  <c r="H434" i="1" s="1"/>
  <c r="F433" i="1"/>
  <c r="H433" i="1" s="1"/>
  <c r="F431" i="1"/>
  <c r="H431" i="1" s="1"/>
  <c r="F430" i="1"/>
  <c r="H430" i="1" s="1"/>
  <c r="F429" i="1"/>
  <c r="H429" i="1" s="1"/>
  <c r="F428" i="1"/>
  <c r="H428" i="1" s="1"/>
  <c r="F427" i="1"/>
  <c r="H427" i="1" s="1"/>
  <c r="A427" i="1"/>
  <c r="A428" i="1" s="1"/>
  <c r="A429" i="1" s="1"/>
  <c r="A430" i="1" s="1"/>
  <c r="A431" i="1" s="1"/>
  <c r="F219" i="1"/>
  <c r="H219" i="1" s="1"/>
  <c r="F218" i="1"/>
  <c r="H218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F206" i="1"/>
  <c r="H206" i="1" s="1"/>
  <c r="F205" i="1"/>
  <c r="H205" i="1" s="1"/>
  <c r="F204" i="1"/>
  <c r="H204" i="1" s="1"/>
  <c r="A204" i="1"/>
  <c r="A205" i="1" s="1"/>
  <c r="A206" i="1" s="1"/>
  <c r="F203" i="1"/>
  <c r="H203" i="1" s="1"/>
  <c r="A433" i="1"/>
  <c r="A445" i="1"/>
  <c r="A439" i="1"/>
  <c r="C134" i="1" l="1"/>
  <c r="C138" i="1" s="1"/>
  <c r="H216" i="1"/>
  <c r="G145" i="1" s="1"/>
  <c r="G146" i="1" s="1"/>
  <c r="C145" i="1"/>
  <c r="C146" i="1" s="1"/>
  <c r="E145" i="1"/>
  <c r="E146" i="1" s="1"/>
  <c r="E147" i="1" s="1"/>
  <c r="G127" i="1"/>
  <c r="G131" i="1" s="1"/>
  <c r="H280" i="1"/>
  <c r="G134" i="1" s="1"/>
  <c r="G138" i="1" s="1"/>
  <c r="E134" i="1"/>
  <c r="E138" i="1" s="1"/>
  <c r="C52" i="1"/>
  <c r="A446" i="1"/>
  <c r="A434" i="1"/>
  <c r="A440" i="1"/>
  <c r="C147" i="1" l="1"/>
  <c r="G147" i="1"/>
  <c r="C14" i="1"/>
  <c r="A441" i="1"/>
  <c r="A447" i="1"/>
  <c r="A435" i="1"/>
  <c r="E29" i="1" l="1"/>
  <c r="A436" i="1"/>
  <c r="A442" i="1"/>
  <c r="A448" i="1"/>
  <c r="F124" i="1" l="1"/>
  <c r="A437" i="1"/>
  <c r="A449" i="1"/>
  <c r="A44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76" i="1"/>
  <c r="J108" i="1"/>
  <c r="J107" i="1"/>
  <c r="J106" i="1"/>
  <c r="J105" i="1"/>
  <c r="C97" i="1"/>
  <c r="J94" i="1"/>
  <c r="J93" i="1"/>
  <c r="J92" i="1"/>
  <c r="J91" i="1"/>
  <c r="C83" i="1"/>
  <c r="J80" i="1"/>
  <c r="J79" i="1"/>
  <c r="J78" i="1"/>
  <c r="J77" i="1"/>
  <c r="C69" i="1"/>
  <c r="D56" i="1"/>
  <c r="G49" i="1"/>
  <c r="C49" i="1"/>
  <c r="E42" i="1"/>
  <c r="E43" i="1" s="1"/>
  <c r="E26" i="1"/>
  <c r="E24" i="1"/>
  <c r="E3" i="1"/>
  <c r="H98" i="1"/>
  <c r="H70" i="1"/>
  <c r="H84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2" i="1" s="1"/>
  <c r="C74" i="1" s="1"/>
  <c r="J97" i="1"/>
  <c r="J99" i="1" s="1"/>
  <c r="J101" i="1"/>
  <c r="D110" i="1"/>
  <c r="D108" i="1"/>
  <c r="D106" i="1"/>
  <c r="D104" i="1"/>
  <c r="J102" i="1"/>
  <c r="C101" i="1" s="1"/>
  <c r="J100" i="1"/>
  <c r="J103" i="1"/>
  <c r="J104" i="1" s="1"/>
  <c r="J109" i="1" s="1"/>
  <c r="J110" i="1" s="1"/>
  <c r="C102" i="1" s="1"/>
  <c r="D109" i="1"/>
  <c r="D107" i="1"/>
  <c r="D105" i="1"/>
  <c r="J89" i="1"/>
  <c r="J90" i="1" s="1"/>
  <c r="J95" i="1" s="1"/>
  <c r="J96" i="1" s="1"/>
  <c r="C88" i="1" s="1"/>
  <c r="J87" i="1"/>
  <c r="J88" i="1"/>
  <c r="C87" i="1" s="1"/>
  <c r="J86" i="1"/>
  <c r="D103" i="1" l="1"/>
  <c r="D101" i="1"/>
  <c r="D89" i="1"/>
  <c r="D75" i="1"/>
  <c r="J71" i="1"/>
  <c r="E73" i="1"/>
  <c r="D74" i="1"/>
  <c r="G73" i="1"/>
  <c r="D67" i="1" s="1"/>
  <c r="D68" i="1" s="1"/>
  <c r="D73" i="1"/>
  <c r="E87" i="1"/>
  <c r="D88" i="1"/>
  <c r="G87" i="1"/>
  <c r="D87" i="1"/>
  <c r="J84" i="1" s="1"/>
  <c r="E101" i="1"/>
  <c r="D102" i="1"/>
  <c r="G101" i="1"/>
  <c r="I70" i="1" l="1"/>
  <c r="J70" i="1"/>
  <c r="I98" i="1"/>
  <c r="J98" i="1"/>
  <c r="I84" i="1"/>
  <c r="F68" i="1"/>
  <c r="I71" i="1" l="1"/>
  <c r="I69" i="1" s="1"/>
  <c r="C71" i="1" s="1"/>
  <c r="I99" i="1"/>
  <c r="I97" i="1" s="1"/>
  <c r="C99" i="1" s="1"/>
  <c r="I85" i="1"/>
  <c r="I83" i="1" s="1"/>
  <c r="C85" i="1" s="1"/>
</calcChain>
</file>

<file path=xl/comments1.xml><?xml version="1.0" encoding="utf-8"?>
<comments xmlns="http://schemas.openxmlformats.org/spreadsheetml/2006/main">
  <authors>
    <author>SACHIN</author>
  </authors>
  <commentList>
    <comment ref="H20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<sst xmlns="http://schemas.openxmlformats.org/spreadsheetml/2006/main" count="827" uniqueCount="276">
  <si>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</si>
  <si>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</si>
  <si>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</si>
  <si>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</si>
  <si>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</si>
  <si>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</si>
  <si>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</si>
  <si>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</si>
  <si>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</si>
  <si>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</si>
  <si>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</si>
  <si>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</si>
  <si>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</si>
  <si>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</si>
  <si>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</si>
  <si>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</si>
  <si>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</si>
  <si>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</si>
  <si>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</si>
  <si>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</si>
  <si>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</si>
  <si>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</si>
  <si>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</si>
  <si>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</si>
  <si>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</si>
  <si>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</si>
  <si>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</si>
  <si>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</si>
  <si>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</si>
  <si>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</si>
  <si>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</si>
  <si>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</si>
  <si>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</si>
  <si>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</si>
  <si>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</si>
  <si>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</si>
  <si>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</si>
  <si>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</si>
  <si>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</si>
  <si>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</si>
  <si>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</si>
  <si>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</si>
  <si>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</si>
  <si>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</si>
  <si>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</si>
  <si>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</si>
  <si>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</si>
  <si>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</si>
  <si>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</si>
  <si>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</si>
  <si>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</si>
  <si>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</si>
  <si>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</si>
  <si>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</si>
  <si>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</si>
  <si>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</si>
  <si>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</si>
  <si>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</si>
  <si>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</si>
  <si>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</si>
  <si>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</si>
  <si>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</si>
  <si>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</si>
  <si>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</si>
  <si>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</si>
  <si>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</si>
  <si>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</si>
  <si>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</si>
  <si>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</si>
  <si>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</si>
  <si>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</si>
  <si>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</si>
  <si>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</si>
  <si>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</si>
  <si>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</si>
  <si>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</si>
  <si>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</si>
  <si>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</si>
  <si>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</si>
  <si>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</si>
  <si>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</si>
  <si>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</si>
  <si>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</si>
  <si>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</si>
  <si>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</si>
  <si>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</si>
  <si>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</si>
  <si>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</si>
  <si>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</si>
  <si>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</si>
  <si>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</si>
  <si>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</si>
  <si>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</si>
  <si>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</si>
  <si>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</si>
  <si>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</si>
  <si>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</si>
  <si>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</si>
  <si>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</si>
  <si>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</si>
  <si>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</si>
  <si>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</si>
  <si>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</si>
  <si>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</si>
  <si>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</si>
  <si>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</si>
  <si>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</si>
  <si>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</si>
  <si>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</si>
  <si>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</si>
  <si>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</si>
  <si>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</si>
  <si>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</si>
  <si>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</si>
  <si>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</si>
  <si>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</si>
  <si>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</si>
  <si>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</si>
  <si>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</si>
  <si>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</si>
  <si>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</si>
  <si>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</si>
  <si>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</si>
  <si>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</si>
  <si>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</si>
  <si>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</si>
  <si>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</si>
  <si>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</si>
  <si>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</si>
  <si>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</si>
  <si>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</si>
  <si>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</si>
  <si>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</si>
  <si>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</si>
  <si>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</si>
  <si>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</si>
  <si>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</si>
  <si>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</si>
  <si>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</si>
  <si>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</si>
  <si>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</si>
  <si>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</si>
  <si>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</si>
  <si>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</si>
  <si>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</si>
  <si>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</si>
  <si>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</si>
  <si>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</si>
  <si>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</si>
  <si>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</si>
  <si>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</si>
  <si>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</si>
  <si>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</si>
  <si>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</si>
  <si>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</si>
  <si>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</si>
  <si>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</si>
  <si>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</si>
  <si>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</si>
  <si>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</si>
  <si>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</si>
  <si>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</si>
  <si>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</si>
  <si>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</si>
  <si>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</si>
  <si>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</si>
  <si>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</si>
  <si>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</si>
  <si>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</si>
  <si>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</si>
  <si>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</si>
  <si>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</si>
  <si>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</si>
  <si>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</si>
  <si>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</si>
  <si>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Name of the builder</t>
  </si>
  <si>
    <t>Mr.Nilesh Laxmikant Kudalkar</t>
  </si>
  <si>
    <t>Kings Builders &amp; Developers</t>
  </si>
  <si>
    <t>Kings My Homes</t>
  </si>
  <si>
    <t>Kalpesh Rahate 9967057220</t>
  </si>
  <si>
    <t>P51800031220</t>
  </si>
  <si>
    <t>https://goo.gl/maps/r1AJhVcPXVkX36b96</t>
  </si>
  <si>
    <t>Jeevan Umang Chs</t>
  </si>
  <si>
    <t>Internal Road.</t>
  </si>
  <si>
    <t>Slum</t>
  </si>
  <si>
    <t>Slum Rehabilitation Authority</t>
  </si>
  <si>
    <t>295 &amp; 373 &amp; Existing Building Name- Sion Chunabhatti Shri Gurudatta Krupa Chs</t>
  </si>
  <si>
    <t>CTS No</t>
  </si>
  <si>
    <t>Panchsheel Nagar</t>
  </si>
  <si>
    <t>Chunabhatti East</t>
  </si>
  <si>
    <t>Kurla</t>
  </si>
  <si>
    <t>Mumbai</t>
  </si>
  <si>
    <t>Sion Chunabhatti</t>
  </si>
  <si>
    <t>Hill Road</t>
  </si>
  <si>
    <t>Muktadevi Recreation Garden</t>
  </si>
  <si>
    <t>1KM from Chunabhatti Railway Station</t>
  </si>
  <si>
    <t>L/STGOVT/0027/20190404/AP</t>
  </si>
  <si>
    <t>Office No. 1031, Wing J, Akshar Business Park, Plot No. 03 Sector 25, Near APMC Market, 
Vashi, Navi Mumbai, Maharashtra 400703 TEL: 022-46090378/79/8
E mail : vsjcapf@gmail.com. Web site : www.vsjadon.com</t>
  </si>
  <si>
    <t>As per RERA - 31/12/2029</t>
  </si>
  <si>
    <t xml:space="preserve">Commencement-CC No
Valid Up to: </t>
  </si>
  <si>
    <t>Building No.2 (Vishnu) - Composite Wing B &amp; C = B + G + 1st to 23rd Floor</t>
  </si>
  <si>
    <t>Building No.1 (Brahma) - Rehab Wing A = B + G + 1st to 23rd Floor</t>
  </si>
  <si>
    <t>Grand Total</t>
  </si>
  <si>
    <t xml:space="preserve">Details of Residential &amp; Commercials in Building   </t>
  </si>
  <si>
    <t>Carpet area</t>
  </si>
  <si>
    <t>Fungible area</t>
  </si>
  <si>
    <t>Wing A</t>
  </si>
  <si>
    <t>Basement Floor For Parking</t>
  </si>
  <si>
    <t>Ground Floor For Stack Parking, Entrance Lobby &amp; Balwadi</t>
  </si>
  <si>
    <t xml:space="preserve">1st Floor For Gymnasium, Welfare Center &amp; Community Hall </t>
  </si>
  <si>
    <t>2nd Floor For Residential</t>
  </si>
  <si>
    <t>1BHK</t>
  </si>
  <si>
    <t>Society Office 1</t>
  </si>
  <si>
    <t>Society Office 2</t>
  </si>
  <si>
    <t>Library</t>
  </si>
  <si>
    <t>Skill Development</t>
  </si>
  <si>
    <t>3rd to 7th, 9th to 14th &amp; 16th to 21st Floor</t>
  </si>
  <si>
    <t>8th &amp; 15th Floor (Part Refuge Area)</t>
  </si>
  <si>
    <t>Refuge Area</t>
  </si>
  <si>
    <t>22nd Floor (Part Refuge Area)</t>
  </si>
  <si>
    <t>Sale / Rehab</t>
  </si>
  <si>
    <t>Rehab</t>
  </si>
  <si>
    <t>-</t>
  </si>
  <si>
    <t>23rd Floor</t>
  </si>
  <si>
    <t>Sale</t>
  </si>
  <si>
    <t>Shop</t>
  </si>
  <si>
    <t>Wing B + C</t>
  </si>
  <si>
    <t>1st Floor For Nursing Home</t>
  </si>
  <si>
    <t>2nd Floor For Offices</t>
  </si>
  <si>
    <t>Office</t>
  </si>
  <si>
    <t>3rd Floor For Residential</t>
  </si>
  <si>
    <t>Fitness Center</t>
  </si>
  <si>
    <t>4th to 7th, 9th to 14th, 16th to 21st &amp; 23rd Floor</t>
  </si>
  <si>
    <t>Shop Duplex With 1st Floor</t>
  </si>
  <si>
    <t>cross mark</t>
  </si>
  <si>
    <t>sale rehab issue</t>
  </si>
  <si>
    <t>Wing D + E</t>
  </si>
  <si>
    <t>Ground Floor For Commercial, Parking, Entrance Lobby &amp; Meter Room</t>
  </si>
  <si>
    <t>1st Floor For Lower Duplex Shop No. 13, Fitness Center &amp; Society Office</t>
  </si>
  <si>
    <t>Wing D</t>
  </si>
  <si>
    <t>3rd to 7th, 9th to 14th, 16th to 21st &amp; 23rd Floor</t>
  </si>
  <si>
    <t>Wing E</t>
  </si>
  <si>
    <t>1RK</t>
  </si>
  <si>
    <t>Building No.3 (Mahesh) - Composite Wing D &amp; E = B + G + 1st to 23rd Floor</t>
  </si>
  <si>
    <t>Wing B &amp; C (Shops)</t>
  </si>
  <si>
    <t>Shops</t>
  </si>
  <si>
    <t>Offices</t>
  </si>
  <si>
    <t xml:space="preserve">Wing
D &amp; E </t>
  </si>
  <si>
    <t xml:space="preserve">Wing
B &amp; C </t>
  </si>
  <si>
    <t>Commercial Area Details (Rehab) :</t>
  </si>
  <si>
    <t>Residential Area Details (Rehab) :</t>
  </si>
  <si>
    <t>Residential Area Details (Sale) :</t>
  </si>
  <si>
    <t>Commercial Area Details (Sale) :</t>
  </si>
  <si>
    <t>5 Wings</t>
  </si>
  <si>
    <t>Building No.1 (Brahma) - Rehab Wing A
Building No.2 (Vishnu) - Composite Wing B &amp; C
Building No.3 (Mahesh) - Composite Wing D &amp; E</t>
  </si>
  <si>
    <t>Approved Plans, CC, Sale Plans</t>
  </si>
  <si>
    <t>We considered Gross carpet area = Net carpet + F.B Area.</t>
  </si>
  <si>
    <t>Visitor</t>
  </si>
  <si>
    <t>online</t>
  </si>
  <si>
    <t>Wing B + C (Shops)</t>
  </si>
  <si>
    <t>Sale Shops - 16, Sale Offices - 14, Sale Flats - 545,
Rehab Shop - 5, Rehab  Flats - 285</t>
  </si>
  <si>
    <t>We have updated approved layout plan,  floor plans &amp; CC of Building No.1, 2 &amp; 3 (on 19/01/2024).</t>
  </si>
  <si>
    <t>Building No. 2</t>
  </si>
  <si>
    <t>Building No. 3</t>
  </si>
  <si>
    <t>Building No. 1</t>
  </si>
  <si>
    <t>Building No.1 (Brahma) - Rehab Wing A = B + G + 1st to 23rd Floor
Building No.2 (Vishnu) - Composite Wing B &amp; C = B + G + 1st to 23rd Floor
Building No.3 (Mahesh) - Composite Wing D &amp; E = B + G + 1st to 23rd Floor</t>
  </si>
  <si>
    <t>Provision For Fitness Center, Indoor Games Room, Yoga, and Meditation Center, Branded C.P Fitting &amp; Sanitary Wares, Intercom Facility In Each Flat</t>
  </si>
  <si>
    <t>Rate 14500 + DC 250000 Rushikesh verbal</t>
  </si>
  <si>
    <t>Recommended Rates/Other Charges of the Property have been revised on 12/08/2024.</t>
  </si>
  <si>
    <t>We have updated CC of Building No.1, 2 &amp; 3 (on 24/08/2024).</t>
  </si>
  <si>
    <t>Please provide revised approved CC, As the construction work goes beyond the CC permission.</t>
  </si>
  <si>
    <r>
      <t xml:space="preserve">This CC is further extended for rehab </t>
    </r>
    <r>
      <rPr>
        <b/>
        <sz val="12"/>
        <color indexed="8"/>
        <rFont val="Times New Roman"/>
        <family val="1"/>
      </rPr>
      <t>wing ' A '</t>
    </r>
    <r>
      <rPr>
        <sz val="12"/>
        <color indexed="8"/>
        <rFont val="Times New Roman"/>
        <family val="1"/>
      </rPr>
      <t xml:space="preserve"> from Gr. + Stilt + 1st to 11th upper floor including brick work &amp; plaster and RCC frame work only from 12th to 23rd upper floor including LMR &amp; OHWT of the sale </t>
    </r>
    <r>
      <rPr>
        <b/>
        <sz val="12"/>
        <color indexed="8"/>
        <rFont val="Times New Roman"/>
        <family val="1"/>
      </rPr>
      <t>wing ' D ' &amp; ' E'</t>
    </r>
    <r>
      <rPr>
        <sz val="12"/>
        <color indexed="8"/>
        <rFont val="Times New Roman"/>
        <family val="1"/>
      </rPr>
      <t xml:space="preserve"> of non composite building as per approved amended plans dated 28/07/2023.</t>
    </r>
  </si>
  <si>
    <r>
      <t xml:space="preserve">This CC is further extended for RCC frame work only from Gr.(pt.) + stilt (p.t) +1st to 15th upper floorsof sale </t>
    </r>
    <r>
      <rPr>
        <b/>
        <sz val="12"/>
        <color indexed="8"/>
        <rFont val="Times New Roman"/>
        <family val="1"/>
      </rPr>
      <t>wing B &amp; C</t>
    </r>
    <r>
      <rPr>
        <sz val="12"/>
        <color indexed="8"/>
        <rFont val="Times New Roman"/>
        <family val="1"/>
      </rPr>
      <t xml:space="preserve"> of Non-composite building as per approved amended plans dated 28/07/2023</t>
    </r>
  </si>
  <si>
    <t>Construction work is in process at the time of Visit. Internal photographs was not allowed.</t>
  </si>
  <si>
    <t>Pooja</t>
  </si>
  <si>
    <t>Akash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</si>
</sst>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5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1" fontId="13" fillId="3" borderId="21" xfId="0" applyNumberFormat="1" applyFont="1" applyFill="1" applyBorder="1" applyAlignment="1" applyProtection="1">
      <alignment vertical="top" wrapText="1"/>
      <protection locked="0"/>
    </xf>
    <xf numFmtId="1" fontId="13" fillId="3" borderId="9" xfId="0" applyNumberFormat="1" applyFont="1" applyFill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32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3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" fontId="8" fillId="0" borderId="21" xfId="0" applyNumberFormat="1" applyFont="1" applyFill="1" applyBorder="1" applyAlignment="1" applyProtection="1">
      <alignment horizontal="left" vertical="center" wrapText="1"/>
      <protection locked="0"/>
    </xf>
    <xf numFmtId="1" fontId="8" fillId="0" borderId="9" xfId="0" applyNumberFormat="1" applyFont="1" applyFill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593916</xdr:colOff>
      <xdr:row>562</xdr:row>
      <xdr:rowOff>190500</xdr:rowOff>
    </xdr:from>
    <xdr:to>
      <xdr:col>7</xdr:col>
      <xdr:colOff>331698</xdr:colOff>
      <xdr:row>581</xdr:row>
      <xdr:rowOff>91890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16" y="50280794"/>
          <a:ext cx="5867400" cy="3733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593916</xdr:colOff>
      <xdr:row>582</xdr:row>
      <xdr:rowOff>118782</xdr:rowOff>
    </xdr:from>
    <xdr:to>
      <xdr:col>7</xdr:col>
      <xdr:colOff>331698</xdr:colOff>
      <xdr:row>601</xdr:row>
      <xdr:rowOff>20171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16" y="54243194"/>
          <a:ext cx="5867400" cy="3733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223631</xdr:colOff>
      <xdr:row>529</xdr:row>
      <xdr:rowOff>16565</xdr:rowOff>
    </xdr:from>
    <xdr:ext cx="270139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63609" y="97254391"/>
          <a:ext cx="27013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A</a:t>
          </a:r>
        </a:p>
      </xdr:txBody>
    </xdr:sp>
    <xdr:clientData/>
  </xdr:oneCellAnchor>
  <xdr:oneCellAnchor>
    <xdr:from>
      <xdr:col>10</xdr:col>
      <xdr:colOff>309770</xdr:colOff>
      <xdr:row>535</xdr:row>
      <xdr:rowOff>44725</xdr:rowOff>
    </xdr:from>
    <xdr:ext cx="50148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749748" y="98475247"/>
          <a:ext cx="50148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 &amp; C</a:t>
          </a:r>
        </a:p>
      </xdr:txBody>
    </xdr:sp>
    <xdr:clientData/>
  </xdr:oneCellAnchor>
  <xdr:oneCellAnchor>
    <xdr:from>
      <xdr:col>9</xdr:col>
      <xdr:colOff>611257</xdr:colOff>
      <xdr:row>522</xdr:row>
      <xdr:rowOff>172279</xdr:rowOff>
    </xdr:from>
    <xdr:ext cx="505523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289235" y="96018627"/>
          <a:ext cx="50552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D &amp; E</a:t>
          </a:r>
        </a:p>
      </xdr:txBody>
    </xdr:sp>
    <xdr:clientData/>
  </xdr:oneCellAnchor>
  <xdr:twoCellAnchor editAs="oneCell">
    <xdr:from>
      <xdr:col>0</xdr:col>
      <xdr:colOff>381000</xdr:colOff>
      <xdr:row>520</xdr:row>
      <xdr:rowOff>82826</xdr:rowOff>
    </xdr:from>
    <xdr:to>
      <xdr:col>7</xdr:col>
      <xdr:colOff>450848</xdr:colOff>
      <xdr:row>549</xdr:row>
      <xdr:rowOff>78131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5531609"/>
          <a:ext cx="5760000" cy="57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</xdr:col>
      <xdr:colOff>434009</xdr:colOff>
      <xdr:row>523</xdr:row>
      <xdr:rowOff>3312</xdr:rowOff>
    </xdr:from>
    <xdr:ext cx="308995" cy="34278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96009" y="96048442"/>
          <a:ext cx="308995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A</a:t>
          </a:r>
        </a:p>
      </xdr:txBody>
    </xdr:sp>
    <xdr:clientData/>
  </xdr:oneCellAnchor>
  <xdr:oneCellAnchor>
    <xdr:from>
      <xdr:col>0</xdr:col>
      <xdr:colOff>611256</xdr:colOff>
      <xdr:row>535</xdr:row>
      <xdr:rowOff>48038</xdr:rowOff>
    </xdr:from>
    <xdr:ext cx="184731" cy="342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1256" y="98478560"/>
          <a:ext cx="184731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600" b="1"/>
        </a:p>
      </xdr:txBody>
    </xdr:sp>
    <xdr:clientData/>
  </xdr:oneCellAnchor>
  <xdr:oneCellAnchor>
    <xdr:from>
      <xdr:col>0</xdr:col>
      <xdr:colOff>611256</xdr:colOff>
      <xdr:row>535</xdr:row>
      <xdr:rowOff>48038</xdr:rowOff>
    </xdr:from>
    <xdr:ext cx="645626" cy="34278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1256" y="98478560"/>
          <a:ext cx="645626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B</a:t>
          </a:r>
          <a:r>
            <a:rPr lang="en-IN" sz="1600" b="1" baseline="0"/>
            <a:t> &amp; C</a:t>
          </a:r>
          <a:endParaRPr lang="en-IN" sz="1600" b="1"/>
        </a:p>
      </xdr:txBody>
    </xdr:sp>
    <xdr:clientData/>
  </xdr:oneCellAnchor>
  <xdr:oneCellAnchor>
    <xdr:from>
      <xdr:col>3</xdr:col>
      <xdr:colOff>805070</xdr:colOff>
      <xdr:row>521</xdr:row>
      <xdr:rowOff>76199</xdr:rowOff>
    </xdr:from>
    <xdr:ext cx="651397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215309" y="95723764"/>
          <a:ext cx="651397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D &amp; E</a:t>
          </a:r>
        </a:p>
      </xdr:txBody>
    </xdr:sp>
    <xdr:clientData/>
  </xdr:oneCellAnchor>
  <xdr:twoCellAnchor editAs="oneCell">
    <xdr:from>
      <xdr:col>8</xdr:col>
      <xdr:colOff>352425</xdr:colOff>
      <xdr:row>42</xdr:row>
      <xdr:rowOff>104775</xdr:rowOff>
    </xdr:from>
    <xdr:to>
      <xdr:col>15</xdr:col>
      <xdr:colOff>485056</xdr:colOff>
      <xdr:row>52</xdr:row>
      <xdr:rowOff>256801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CB5642-0448-4D0E-8184-91BCBA918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7050" y="9944100"/>
          <a:ext cx="5752381" cy="29904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501650</xdr:colOff>
      <xdr:row>497</xdr:row>
      <xdr:rowOff>0</xdr:rowOff>
    </xdr:from>
    <xdr:ext cx="590162" cy="264560"/>
    <xdr:sp macro="" textlink="">
      <xdr:nvSpPr>
        <xdr:cNvPr id="5" name="TextBox 4"/>
        <xdr:cNvSpPr txBox="1"/>
      </xdr:nvSpPr>
      <xdr:spPr>
        <a:xfrm>
          <a:off x="8566150" y="9482455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oneCellAnchor>
    <xdr:from>
      <xdr:col>9</xdr:col>
      <xdr:colOff>0</xdr:colOff>
      <xdr:row>476</xdr:row>
      <xdr:rowOff>0</xdr:rowOff>
    </xdr:from>
    <xdr:ext cx="590162" cy="264560"/>
    <xdr:sp macro="" textlink="">
      <xdr:nvSpPr>
        <xdr:cNvPr id="26" name="TextBox 25"/>
        <xdr:cNvSpPr txBox="1"/>
      </xdr:nvSpPr>
      <xdr:spPr>
        <a:xfrm>
          <a:off x="8064500" y="9065895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twoCellAnchor>
    <xdr:from>
      <xdr:col>0</xdr:col>
      <xdr:colOff>215900</xdr:colOff>
      <xdr:row>476</xdr:row>
      <xdr:rowOff>82550</xdr:rowOff>
    </xdr:from>
    <xdr:to>
      <xdr:col>7</xdr:col>
      <xdr:colOff>694932</xdr:colOff>
      <xdr:row>516</xdr:row>
      <xdr:rowOff>101040</xdr:rowOff>
    </xdr:to>
    <xdr:grpSp>
      <xdr:nvGrpSpPr>
        <xdr:cNvPr id="6" name="Group 5"/>
        <xdr:cNvGrpSpPr/>
      </xdr:nvGrpSpPr>
      <xdr:grpSpPr>
        <a:xfrm>
          <a:off x="215900" y="90741500"/>
          <a:ext cx="6454382" cy="7886140"/>
          <a:chOff x="215900" y="90741500"/>
          <a:chExt cx="6454382" cy="7886140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7091" y="9074150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8282" y="9360457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3091" y="9646764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9074150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9360457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8282" y="9074150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7091" y="9360457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33"/>
          <xdr:cNvSpPr txBox="1"/>
        </xdr:nvSpPr>
        <xdr:spPr>
          <a:xfrm>
            <a:off x="1568450" y="908939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42" name="TextBox 41"/>
          <xdr:cNvSpPr txBox="1"/>
        </xdr:nvSpPr>
        <xdr:spPr>
          <a:xfrm rot="922922">
            <a:off x="736601" y="90779600"/>
            <a:ext cx="83061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E &amp; D</a:t>
            </a: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1041400" y="93649020"/>
            <a:ext cx="83061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 &amp; E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5145332" y="9079865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24</xdr:col>
      <xdr:colOff>137024</xdr:colOff>
      <xdr:row>74</xdr:row>
      <xdr:rowOff>1436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821206"/>
          <a:ext cx="18290553" cy="102884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24</xdr:col>
      <xdr:colOff>137024</xdr:colOff>
      <xdr:row>130</xdr:row>
      <xdr:rowOff>1436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14489206"/>
          <a:ext cx="18290553" cy="1028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1AJhVcPXVkX36b9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56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60" t="s">
        <v>197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35">
      <c r="A2" s="161" t="s">
        <v>0</v>
      </c>
      <c r="B2" s="161"/>
      <c r="C2" s="161"/>
      <c r="D2" s="161"/>
      <c r="E2" s="161"/>
      <c r="F2" s="161"/>
      <c r="G2" s="161"/>
      <c r="H2" s="161"/>
    </row>
    <row r="3" spans="1:8" x14ac:dyDescent="0.35">
      <c r="A3" s="136" t="s">
        <v>1</v>
      </c>
      <c r="B3" s="136"/>
      <c r="C3" s="136"/>
      <c r="D3" s="136"/>
      <c r="E3" s="136" t="str">
        <f ca="1">TEXT(TODAY(),"DD/MM/YYYY")</f>
        <v>06/10/2025</v>
      </c>
      <c r="F3" s="136"/>
      <c r="G3" s="136"/>
      <c r="H3" s="136"/>
    </row>
    <row r="4" spans="1:8" ht="15" customHeight="1" x14ac:dyDescent="0.35">
      <c r="A4" s="136" t="s">
        <v>2</v>
      </c>
      <c r="B4" s="136"/>
      <c r="C4" s="136"/>
      <c r="D4" s="136"/>
      <c r="E4" s="136" t="s">
        <v>174</v>
      </c>
      <c r="F4" s="136"/>
      <c r="G4" s="136"/>
      <c r="H4" s="136"/>
    </row>
    <row r="5" spans="1:8" x14ac:dyDescent="0.35">
      <c r="A5" s="136" t="s">
        <v>3</v>
      </c>
      <c r="B5" s="136"/>
      <c r="C5" s="136"/>
      <c r="D5" s="136"/>
      <c r="E5" s="162">
        <v>45936</v>
      </c>
      <c r="F5" s="136"/>
      <c r="G5" s="136"/>
      <c r="H5" s="136"/>
    </row>
    <row r="6" spans="1:8" ht="16.5" customHeight="1" x14ac:dyDescent="0.35">
      <c r="A6" s="136" t="s">
        <v>175</v>
      </c>
      <c r="B6" s="136"/>
      <c r="C6" s="136"/>
      <c r="D6" s="136"/>
      <c r="E6" s="136" t="s">
        <v>176</v>
      </c>
      <c r="F6" s="136"/>
      <c r="G6" s="136"/>
      <c r="H6" s="136"/>
    </row>
    <row r="7" spans="1:8" ht="15" customHeight="1" x14ac:dyDescent="0.35">
      <c r="A7" s="136" t="s">
        <v>4</v>
      </c>
      <c r="B7" s="136"/>
      <c r="C7" s="136"/>
      <c r="D7" s="136"/>
      <c r="E7" s="136" t="s">
        <v>177</v>
      </c>
      <c r="F7" s="136"/>
      <c r="G7" s="136"/>
      <c r="H7" s="136"/>
    </row>
    <row r="8" spans="1:8" x14ac:dyDescent="0.35">
      <c r="A8" s="136" t="s">
        <v>5</v>
      </c>
      <c r="B8" s="136"/>
      <c r="C8" s="136"/>
      <c r="D8" s="136"/>
      <c r="E8" s="149" t="s">
        <v>178</v>
      </c>
      <c r="F8" s="149"/>
      <c r="G8" s="149"/>
      <c r="H8" s="149"/>
    </row>
    <row r="9" spans="1:8" x14ac:dyDescent="0.35">
      <c r="A9" s="136" t="s">
        <v>171</v>
      </c>
      <c r="B9" s="136"/>
      <c r="C9" s="136"/>
      <c r="D9" s="136"/>
      <c r="E9" s="136" t="s">
        <v>179</v>
      </c>
      <c r="F9" s="136"/>
      <c r="G9" s="136"/>
      <c r="H9" s="136"/>
    </row>
    <row r="10" spans="1:8" x14ac:dyDescent="0.35">
      <c r="A10" s="136" t="s">
        <v>172</v>
      </c>
      <c r="B10" s="136"/>
      <c r="C10" s="136"/>
      <c r="D10" s="136"/>
      <c r="E10" s="136" t="s">
        <v>179</v>
      </c>
      <c r="F10" s="136"/>
      <c r="G10" s="136"/>
      <c r="H10" s="136"/>
    </row>
    <row r="11" spans="1:8" ht="48.75" customHeight="1" x14ac:dyDescent="0.35">
      <c r="A11" s="136" t="s">
        <v>6</v>
      </c>
      <c r="B11" s="136"/>
      <c r="C11" s="136"/>
      <c r="D11" s="136"/>
      <c r="E11" s="115" t="s">
        <v>254</v>
      </c>
      <c r="F11" s="136"/>
      <c r="G11" s="136"/>
      <c r="H11" s="136"/>
    </row>
    <row r="12" spans="1:8" x14ac:dyDescent="0.35">
      <c r="A12" s="117" t="s">
        <v>7</v>
      </c>
      <c r="B12" s="117"/>
      <c r="C12" s="117"/>
      <c r="D12" s="117"/>
      <c r="E12" s="115" t="s">
        <v>255</v>
      </c>
      <c r="F12" s="115"/>
      <c r="G12" s="115"/>
      <c r="H12" s="115"/>
    </row>
    <row r="13" spans="1:8" x14ac:dyDescent="0.35">
      <c r="A13" s="117" t="s">
        <v>8</v>
      </c>
      <c r="B13" s="117"/>
      <c r="C13" s="117"/>
      <c r="D13" s="117"/>
      <c r="E13" s="115" t="s">
        <v>180</v>
      </c>
      <c r="F13" s="136"/>
      <c r="G13" s="136"/>
      <c r="H13" s="136"/>
    </row>
    <row r="14" spans="1:8" ht="49" customHeight="1" x14ac:dyDescent="0.35">
      <c r="A14" s="133" t="s">
        <v>9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Kings My Homes, CTS No.295 &amp; 373 &amp; Existing Building Name- Sion Chunabhatti Shri Gurudatta Krupa Chs, near Muktadevi Recreation Garden, Hill Road, Panchsheel Nagar, Sion Chunabhatti, Chunabhatti East, Kurla, Mumbai - 400022.</v>
      </c>
      <c r="D14" s="133"/>
      <c r="E14" s="133"/>
      <c r="F14" s="133"/>
      <c r="G14" s="133"/>
      <c r="H14" s="133"/>
    </row>
    <row r="15" spans="1:8" x14ac:dyDescent="0.35">
      <c r="A15" s="115" t="s">
        <v>187</v>
      </c>
      <c r="B15" s="115"/>
      <c r="C15" s="115" t="s">
        <v>186</v>
      </c>
      <c r="D15" s="115"/>
      <c r="E15" s="115"/>
      <c r="F15" s="115"/>
      <c r="G15" s="115"/>
      <c r="H15" s="115"/>
    </row>
    <row r="16" spans="1:8" ht="15.75" customHeight="1" x14ac:dyDescent="0.35">
      <c r="A16" s="115" t="s">
        <v>170</v>
      </c>
      <c r="B16" s="115"/>
      <c r="C16" s="115" t="s">
        <v>188</v>
      </c>
      <c r="D16" s="115"/>
      <c r="E16" s="115"/>
      <c r="F16" s="115"/>
      <c r="G16" s="115"/>
      <c r="H16" s="115"/>
    </row>
    <row r="17" spans="1:8" ht="15.75" customHeight="1" x14ac:dyDescent="0.35">
      <c r="A17" s="133" t="s">
        <v>10</v>
      </c>
      <c r="B17" s="133"/>
      <c r="C17" s="136" t="s">
        <v>193</v>
      </c>
      <c r="D17" s="136"/>
      <c r="E17" s="133" t="s">
        <v>73</v>
      </c>
      <c r="F17" s="133"/>
      <c r="G17" s="115" t="s">
        <v>192</v>
      </c>
      <c r="H17" s="115"/>
    </row>
    <row r="18" spans="1:8" x14ac:dyDescent="0.35">
      <c r="A18" s="117" t="s">
        <v>12</v>
      </c>
      <c r="B18" s="117"/>
      <c r="C18" s="115" t="s">
        <v>189</v>
      </c>
      <c r="D18" s="115"/>
      <c r="E18" s="133" t="s">
        <v>11</v>
      </c>
      <c r="F18" s="133"/>
      <c r="G18" s="163" t="s">
        <v>191</v>
      </c>
      <c r="H18" s="163"/>
    </row>
    <row r="19" spans="1:8" x14ac:dyDescent="0.35">
      <c r="A19" s="117" t="s">
        <v>74</v>
      </c>
      <c r="B19" s="117"/>
      <c r="C19" s="115" t="s">
        <v>190</v>
      </c>
      <c r="D19" s="115"/>
      <c r="E19" s="133" t="s">
        <v>13</v>
      </c>
      <c r="F19" s="133"/>
      <c r="G19" s="115">
        <v>400022</v>
      </c>
      <c r="H19" s="115"/>
    </row>
    <row r="20" spans="1:8" ht="32.25" customHeight="1" x14ac:dyDescent="0.35">
      <c r="A20" s="117" t="s">
        <v>125</v>
      </c>
      <c r="B20" s="117"/>
      <c r="C20" s="115" t="s">
        <v>194</v>
      </c>
      <c r="D20" s="115"/>
      <c r="E20" s="133" t="s">
        <v>14</v>
      </c>
      <c r="F20" s="133"/>
      <c r="G20" s="115" t="s">
        <v>195</v>
      </c>
      <c r="H20" s="115"/>
    </row>
    <row r="21" spans="1:8" ht="15" customHeight="1" x14ac:dyDescent="0.35">
      <c r="A21" s="133" t="s">
        <v>76</v>
      </c>
      <c r="B21" s="133"/>
      <c r="C21" s="133"/>
      <c r="D21" s="133"/>
      <c r="E21" s="136" t="s">
        <v>15</v>
      </c>
      <c r="F21" s="136"/>
      <c r="G21" s="136"/>
      <c r="H21" s="136"/>
    </row>
    <row r="22" spans="1:8" ht="18.75" customHeight="1" x14ac:dyDescent="0.35">
      <c r="A22" s="133"/>
      <c r="B22" s="133"/>
      <c r="C22" s="133"/>
      <c r="D22" s="133"/>
      <c r="E22" s="136"/>
      <c r="F22" s="136"/>
      <c r="G22" s="136"/>
      <c r="H22" s="136"/>
    </row>
    <row r="23" spans="1:8" ht="15" customHeight="1" x14ac:dyDescent="0.35">
      <c r="A23" s="133" t="s">
        <v>16</v>
      </c>
      <c r="B23" s="133"/>
      <c r="C23" s="133"/>
      <c r="D23" s="133"/>
      <c r="E23" s="115" t="s">
        <v>17</v>
      </c>
      <c r="F23" s="115"/>
      <c r="G23" s="115"/>
      <c r="H23" s="115"/>
    </row>
    <row r="24" spans="1:8" ht="15" customHeight="1" x14ac:dyDescent="0.35">
      <c r="A24" s="117" t="s">
        <v>18</v>
      </c>
      <c r="B24" s="117"/>
      <c r="C24" s="117"/>
      <c r="D24" s="117"/>
      <c r="E24" s="115" t="str">
        <f>IF(AND(G18="Mumbai"),"Upper Class","Middle Class")</f>
        <v>Upper Class</v>
      </c>
      <c r="F24" s="115"/>
      <c r="G24" s="115"/>
      <c r="H24" s="115"/>
    </row>
    <row r="25" spans="1:8" x14ac:dyDescent="0.35">
      <c r="A25" s="117" t="s">
        <v>19</v>
      </c>
      <c r="B25" s="117"/>
      <c r="C25" s="117"/>
      <c r="D25" s="117"/>
      <c r="E25" s="115" t="s">
        <v>20</v>
      </c>
      <c r="F25" s="115"/>
      <c r="G25" s="115"/>
      <c r="H25" s="115"/>
    </row>
    <row r="26" spans="1:8" ht="15.75" customHeight="1" x14ac:dyDescent="0.35">
      <c r="A26" s="117" t="s">
        <v>21</v>
      </c>
      <c r="B26" s="117"/>
      <c r="C26" s="117"/>
      <c r="D26" s="117"/>
      <c r="E26" s="115" t="str">
        <f>IF(AND(G18="Mumbai"),"Developed","Developing")</f>
        <v>Developed</v>
      </c>
      <c r="F26" s="115"/>
      <c r="G26" s="115"/>
      <c r="H26" s="115"/>
    </row>
    <row r="27" spans="1:8" x14ac:dyDescent="0.35">
      <c r="A27" s="117" t="s">
        <v>22</v>
      </c>
      <c r="B27" s="117"/>
      <c r="C27" s="117"/>
      <c r="D27" s="117"/>
      <c r="E27" s="115" t="s">
        <v>23</v>
      </c>
      <c r="F27" s="115"/>
      <c r="G27" s="115"/>
      <c r="H27" s="115"/>
    </row>
    <row r="28" spans="1:8" ht="15.75" customHeight="1" x14ac:dyDescent="0.35">
      <c r="A28" s="117" t="s">
        <v>81</v>
      </c>
      <c r="B28" s="117"/>
      <c r="C28" s="117"/>
      <c r="D28" s="117"/>
      <c r="E28" s="115" t="s">
        <v>82</v>
      </c>
      <c r="F28" s="115"/>
      <c r="G28" s="115"/>
      <c r="H28" s="115"/>
    </row>
    <row r="29" spans="1:8" ht="15" hidden="1" customHeight="1" x14ac:dyDescent="0.35">
      <c r="A29" s="117" t="s">
        <v>34</v>
      </c>
      <c r="B29" s="117"/>
      <c r="C29" s="117"/>
      <c r="D29" s="117"/>
      <c r="E29" s="11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15"/>
      <c r="G29" s="115"/>
      <c r="H29" s="115"/>
    </row>
    <row r="30" spans="1:8" ht="15.75" customHeight="1" x14ac:dyDescent="0.35">
      <c r="A30" s="117" t="s">
        <v>93</v>
      </c>
      <c r="B30" s="117"/>
      <c r="C30" s="117"/>
      <c r="D30" s="117"/>
      <c r="E30" s="115" t="s">
        <v>35</v>
      </c>
      <c r="F30" s="115"/>
      <c r="G30" s="115"/>
      <c r="H30" s="115"/>
    </row>
    <row r="31" spans="1:8" s="23" customFormat="1" x14ac:dyDescent="0.35">
      <c r="A31" s="167" t="s">
        <v>94</v>
      </c>
      <c r="B31" s="167"/>
      <c r="C31" s="166" t="s">
        <v>28</v>
      </c>
      <c r="D31" s="166"/>
      <c r="E31" s="166"/>
      <c r="F31" s="166" t="s">
        <v>30</v>
      </c>
      <c r="G31" s="166"/>
      <c r="H31" s="166"/>
    </row>
    <row r="32" spans="1:8" s="23" customFormat="1" x14ac:dyDescent="0.35">
      <c r="A32" s="164" t="s">
        <v>24</v>
      </c>
      <c r="B32" s="164" t="s">
        <v>29</v>
      </c>
      <c r="C32" s="165" t="s">
        <v>29</v>
      </c>
      <c r="D32" s="165"/>
      <c r="E32" s="165"/>
      <c r="F32" s="165" t="s">
        <v>184</v>
      </c>
      <c r="G32" s="165"/>
      <c r="H32" s="165"/>
    </row>
    <row r="33" spans="1:8" x14ac:dyDescent="0.35">
      <c r="A33" s="164" t="s">
        <v>25</v>
      </c>
      <c r="B33" s="164" t="s">
        <v>29</v>
      </c>
      <c r="C33" s="165" t="s">
        <v>29</v>
      </c>
      <c r="D33" s="165"/>
      <c r="E33" s="165"/>
      <c r="F33" s="165" t="s">
        <v>183</v>
      </c>
      <c r="G33" s="165"/>
      <c r="H33" s="165"/>
    </row>
    <row r="34" spans="1:8" s="23" customFormat="1" x14ac:dyDescent="0.35">
      <c r="A34" s="164" t="s">
        <v>27</v>
      </c>
      <c r="B34" s="164" t="s">
        <v>29</v>
      </c>
      <c r="C34" s="165" t="s">
        <v>29</v>
      </c>
      <c r="D34" s="165"/>
      <c r="E34" s="165"/>
      <c r="F34" s="165" t="s">
        <v>182</v>
      </c>
      <c r="G34" s="165"/>
      <c r="H34" s="165"/>
    </row>
    <row r="35" spans="1:8" x14ac:dyDescent="0.35">
      <c r="A35" s="164" t="s">
        <v>26</v>
      </c>
      <c r="B35" s="164" t="s">
        <v>29</v>
      </c>
      <c r="C35" s="165" t="s">
        <v>29</v>
      </c>
      <c r="D35" s="165"/>
      <c r="E35" s="165"/>
      <c r="F35" s="165" t="s">
        <v>184</v>
      </c>
      <c r="G35" s="165"/>
      <c r="H35" s="165"/>
    </row>
    <row r="36" spans="1:8" x14ac:dyDescent="0.35">
      <c r="A36" s="117" t="s">
        <v>31</v>
      </c>
      <c r="B36" s="117"/>
      <c r="C36" s="117"/>
      <c r="D36" s="117"/>
      <c r="E36" s="117"/>
      <c r="F36" s="117"/>
      <c r="G36" s="117"/>
      <c r="H36" s="117"/>
    </row>
    <row r="37" spans="1:8" ht="15.75" customHeight="1" x14ac:dyDescent="0.35">
      <c r="A37" s="161" t="s">
        <v>32</v>
      </c>
      <c r="B37" s="161"/>
      <c r="C37" s="169">
        <v>19.055406399999999</v>
      </c>
      <c r="D37" s="169"/>
      <c r="E37" s="161" t="s">
        <v>33</v>
      </c>
      <c r="F37" s="161"/>
      <c r="G37" s="170">
        <v>72.8753028</v>
      </c>
      <c r="H37" s="170"/>
    </row>
    <row r="38" spans="1:8" x14ac:dyDescent="0.35">
      <c r="A38" s="161" t="s">
        <v>169</v>
      </c>
      <c r="B38" s="161"/>
      <c r="C38" s="171" t="s">
        <v>181</v>
      </c>
      <c r="D38" s="115"/>
      <c r="E38" s="115"/>
      <c r="F38" s="115"/>
      <c r="G38" s="115"/>
      <c r="H38" s="115"/>
    </row>
    <row r="39" spans="1:8" x14ac:dyDescent="0.35">
      <c r="A39" s="152" t="s">
        <v>36</v>
      </c>
      <c r="B39" s="152"/>
      <c r="C39" s="152"/>
      <c r="D39" s="152"/>
      <c r="E39" s="152"/>
      <c r="F39" s="152"/>
      <c r="G39" s="152"/>
      <c r="H39" s="152"/>
    </row>
    <row r="40" spans="1:8" x14ac:dyDescent="0.35">
      <c r="A40" s="117" t="s">
        <v>37</v>
      </c>
      <c r="B40" s="117"/>
      <c r="C40" s="117"/>
      <c r="D40" s="117"/>
      <c r="E40" s="168">
        <v>4201.2299999999996</v>
      </c>
      <c r="F40" s="168"/>
      <c r="G40" s="168"/>
      <c r="H40" s="168"/>
    </row>
    <row r="41" spans="1:8" x14ac:dyDescent="0.35">
      <c r="A41" s="117" t="s">
        <v>38</v>
      </c>
      <c r="B41" s="117"/>
      <c r="C41" s="117"/>
      <c r="D41" s="117"/>
      <c r="E41" s="116">
        <v>4</v>
      </c>
      <c r="F41" s="116"/>
      <c r="G41" s="116"/>
      <c r="H41" s="116"/>
    </row>
    <row r="42" spans="1:8" x14ac:dyDescent="0.35">
      <c r="A42" s="117" t="s">
        <v>39</v>
      </c>
      <c r="B42" s="117"/>
      <c r="C42" s="117"/>
      <c r="D42" s="117"/>
      <c r="E42" s="116">
        <f>E44/E40-E41</f>
        <v>3.3346186711986734</v>
      </c>
      <c r="F42" s="116"/>
      <c r="G42" s="116"/>
      <c r="H42" s="116"/>
    </row>
    <row r="43" spans="1:8" x14ac:dyDescent="0.35">
      <c r="A43" s="117" t="s">
        <v>40</v>
      </c>
      <c r="B43" s="117"/>
      <c r="C43" s="117"/>
      <c r="D43" s="117"/>
      <c r="E43" s="116">
        <f>E41+E42</f>
        <v>7.3346186711986734</v>
      </c>
      <c r="F43" s="116"/>
      <c r="G43" s="116"/>
      <c r="H43" s="116"/>
    </row>
    <row r="44" spans="1:8" x14ac:dyDescent="0.35">
      <c r="A44" s="117" t="s">
        <v>92</v>
      </c>
      <c r="B44" s="117"/>
      <c r="C44" s="117"/>
      <c r="D44" s="117"/>
      <c r="E44" s="177">
        <v>30814.42</v>
      </c>
      <c r="F44" s="177"/>
      <c r="G44" s="177"/>
      <c r="H44" s="177"/>
    </row>
    <row r="45" spans="1:8" x14ac:dyDescent="0.35">
      <c r="A45" s="136" t="s">
        <v>41</v>
      </c>
      <c r="B45" s="136"/>
      <c r="C45" s="136"/>
      <c r="D45" s="136"/>
      <c r="E45" s="136" t="s">
        <v>253</v>
      </c>
      <c r="F45" s="136"/>
      <c r="G45" s="136"/>
      <c r="H45" s="136"/>
    </row>
    <row r="46" spans="1:8" x14ac:dyDescent="0.35">
      <c r="A46" s="149" t="s">
        <v>42</v>
      </c>
      <c r="B46" s="149"/>
      <c r="C46" s="149"/>
      <c r="D46" s="149"/>
      <c r="E46" s="149"/>
      <c r="F46" s="149"/>
      <c r="G46" s="149"/>
      <c r="H46" s="149"/>
    </row>
    <row r="47" spans="1:8" ht="33.75" customHeight="1" x14ac:dyDescent="0.35">
      <c r="A47" s="185" t="s">
        <v>157</v>
      </c>
      <c r="B47" s="186"/>
      <c r="C47" s="187" t="s">
        <v>185</v>
      </c>
      <c r="D47" s="188"/>
      <c r="E47" s="188"/>
      <c r="F47" s="188"/>
      <c r="G47" s="188"/>
      <c r="H47" s="189"/>
    </row>
    <row r="48" spans="1:8" ht="15.75" customHeight="1" x14ac:dyDescent="0.35">
      <c r="A48" s="104" t="s">
        <v>43</v>
      </c>
      <c r="B48" s="106"/>
      <c r="C48" s="104" t="s">
        <v>196</v>
      </c>
      <c r="D48" s="105"/>
      <c r="E48" s="106"/>
      <c r="F48" s="19" t="s">
        <v>44</v>
      </c>
      <c r="G48" s="107">
        <v>45135</v>
      </c>
      <c r="H48" s="106"/>
    </row>
    <row r="49" spans="1:14" x14ac:dyDescent="0.35">
      <c r="A49" s="104" t="s">
        <v>45</v>
      </c>
      <c r="B49" s="106"/>
      <c r="C49" s="104" t="str">
        <f>C48</f>
        <v>L/STGOVT/0027/20190404/AP</v>
      </c>
      <c r="D49" s="105"/>
      <c r="E49" s="106"/>
      <c r="F49" s="19" t="s">
        <v>44</v>
      </c>
      <c r="G49" s="107">
        <f>G48</f>
        <v>45135</v>
      </c>
      <c r="H49" s="108"/>
    </row>
    <row r="50" spans="1:14" s="24" customFormat="1" ht="15.75" customHeight="1" x14ac:dyDescent="0.35">
      <c r="A50" s="100" t="s">
        <v>199</v>
      </c>
      <c r="B50" s="101"/>
      <c r="C50" s="104" t="s">
        <v>196</v>
      </c>
      <c r="D50" s="105"/>
      <c r="E50" s="106"/>
      <c r="F50" s="19" t="s">
        <v>44</v>
      </c>
      <c r="G50" s="107">
        <v>45251</v>
      </c>
      <c r="H50" s="108"/>
    </row>
    <row r="51" spans="1:14" s="24" customFormat="1" ht="63.75" customHeight="1" x14ac:dyDescent="0.35">
      <c r="A51" s="102"/>
      <c r="B51" s="103"/>
      <c r="C51" s="104" t="s">
        <v>271</v>
      </c>
      <c r="D51" s="105"/>
      <c r="E51" s="105"/>
      <c r="F51" s="105" t="s">
        <v>124</v>
      </c>
      <c r="G51" s="105"/>
      <c r="H51" s="106"/>
    </row>
    <row r="52" spans="1:14" s="24" customFormat="1" ht="15.75" customHeight="1" x14ac:dyDescent="0.35">
      <c r="A52" s="100" t="s">
        <v>199</v>
      </c>
      <c r="B52" s="101"/>
      <c r="C52" s="104" t="str">
        <f>C48</f>
        <v>L/STGOVT/0027/20190404/AP</v>
      </c>
      <c r="D52" s="105"/>
      <c r="E52" s="106"/>
      <c r="F52" s="19" t="s">
        <v>44</v>
      </c>
      <c r="G52" s="107">
        <v>45327</v>
      </c>
      <c r="H52" s="108"/>
    </row>
    <row r="53" spans="1:14" s="24" customFormat="1" ht="50.25" customHeight="1" x14ac:dyDescent="0.35">
      <c r="A53" s="102"/>
      <c r="B53" s="103"/>
      <c r="C53" s="104" t="s">
        <v>272</v>
      </c>
      <c r="D53" s="105"/>
      <c r="E53" s="105"/>
      <c r="F53" s="105" t="s">
        <v>124</v>
      </c>
      <c r="G53" s="105"/>
      <c r="H53" s="106"/>
    </row>
    <row r="54" spans="1:14" x14ac:dyDescent="0.35">
      <c r="A54" s="129" t="s">
        <v>46</v>
      </c>
      <c r="B54" s="130"/>
      <c r="C54" s="129" t="s">
        <v>106</v>
      </c>
      <c r="D54" s="131"/>
      <c r="E54" s="130"/>
      <c r="F54" s="44" t="s">
        <v>44</v>
      </c>
      <c r="G54" s="137" t="s">
        <v>29</v>
      </c>
      <c r="H54" s="138"/>
    </row>
    <row r="55" spans="1:14" x14ac:dyDescent="0.35">
      <c r="A55" s="132" t="s">
        <v>48</v>
      </c>
      <c r="B55" s="132"/>
      <c r="C55" s="132"/>
      <c r="D55" s="132"/>
      <c r="E55" s="132"/>
      <c r="F55" s="132"/>
      <c r="G55" s="132"/>
      <c r="H55" s="132"/>
    </row>
    <row r="56" spans="1:14" x14ac:dyDescent="0.35">
      <c r="A56" s="133" t="s">
        <v>91</v>
      </c>
      <c r="B56" s="133"/>
      <c r="C56" s="133"/>
      <c r="D56" s="117">
        <f>E44</f>
        <v>30814.42</v>
      </c>
      <c r="E56" s="117"/>
      <c r="F56" s="117"/>
      <c r="G56" s="117"/>
      <c r="H56" s="117"/>
    </row>
    <row r="57" spans="1:14" ht="34.5" customHeight="1" x14ac:dyDescent="0.35">
      <c r="A57" s="115" t="s">
        <v>49</v>
      </c>
      <c r="B57" s="136"/>
      <c r="C57" s="136"/>
      <c r="D57" s="115" t="s">
        <v>260</v>
      </c>
      <c r="E57" s="136"/>
      <c r="F57" s="136"/>
      <c r="G57" s="136"/>
      <c r="H57" s="136"/>
      <c r="I57" s="25"/>
    </row>
    <row r="58" spans="1:14" ht="81" customHeight="1" x14ac:dyDescent="0.35">
      <c r="A58" s="174" t="s">
        <v>50</v>
      </c>
      <c r="B58" s="175"/>
      <c r="C58" s="176"/>
      <c r="D58" s="172" t="s">
        <v>265</v>
      </c>
      <c r="E58" s="173"/>
      <c r="F58" s="173"/>
      <c r="G58" s="173"/>
      <c r="H58" s="173"/>
      <c r="I58" s="26"/>
    </row>
    <row r="59" spans="1:14" ht="15.75" customHeight="1" x14ac:dyDescent="0.35">
      <c r="A59" s="115" t="s">
        <v>89</v>
      </c>
      <c r="B59" s="115"/>
      <c r="C59" s="115"/>
      <c r="D59" s="136" t="s">
        <v>201</v>
      </c>
      <c r="E59" s="136"/>
      <c r="F59" s="136"/>
      <c r="G59" s="136"/>
      <c r="H59" s="136"/>
      <c r="I59" s="26"/>
    </row>
    <row r="60" spans="1:14" ht="31.5" customHeight="1" x14ac:dyDescent="0.35">
      <c r="A60" s="115"/>
      <c r="B60" s="115"/>
      <c r="C60" s="115"/>
      <c r="D60" s="115" t="s">
        <v>200</v>
      </c>
      <c r="E60" s="115"/>
      <c r="F60" s="115"/>
      <c r="G60" s="115"/>
      <c r="H60" s="115"/>
      <c r="I60" s="26"/>
    </row>
    <row r="61" spans="1:14" ht="30.75" customHeight="1" x14ac:dyDescent="0.35">
      <c r="A61" s="115"/>
      <c r="B61" s="115"/>
      <c r="C61" s="115"/>
      <c r="D61" s="115" t="s">
        <v>243</v>
      </c>
      <c r="E61" s="115"/>
      <c r="F61" s="115"/>
      <c r="G61" s="115"/>
      <c r="H61" s="115"/>
      <c r="I61" s="26"/>
    </row>
    <row r="62" spans="1:14" ht="15.75" customHeight="1" x14ac:dyDescent="0.35">
      <c r="A62" s="117" t="s">
        <v>47</v>
      </c>
      <c r="B62" s="117"/>
      <c r="C62" s="117"/>
      <c r="D62" s="133" t="s">
        <v>198</v>
      </c>
      <c r="E62" s="133"/>
      <c r="F62" s="133"/>
      <c r="G62" s="133"/>
      <c r="H62" s="133"/>
      <c r="J62" s="27"/>
      <c r="K62" s="25"/>
      <c r="N62" s="25"/>
    </row>
    <row r="63" spans="1:14" ht="15.75" customHeight="1" x14ac:dyDescent="0.35">
      <c r="A63" s="117" t="s">
        <v>87</v>
      </c>
      <c r="B63" s="117"/>
      <c r="C63" s="117"/>
      <c r="D63" s="139" t="str">
        <f>(IF(G54="NA","60 Years After Completion",IF(G54&lt;&gt;"NA",""&amp;60-ROUNDDOWN((E3-G54)/360,0)&amp;" Years"," ")))</f>
        <v>60 Years After Completion</v>
      </c>
      <c r="E63" s="139"/>
      <c r="F63" s="139"/>
      <c r="G63" s="139"/>
      <c r="H63" s="139"/>
      <c r="N63" s="25"/>
    </row>
    <row r="64" spans="1:14" ht="15.75" customHeight="1" x14ac:dyDescent="0.35">
      <c r="A64" s="117" t="s">
        <v>88</v>
      </c>
      <c r="B64" s="117"/>
      <c r="C64" s="117"/>
      <c r="D64" s="133" t="s">
        <v>23</v>
      </c>
      <c r="E64" s="133"/>
      <c r="F64" s="133"/>
      <c r="G64" s="133"/>
      <c r="H64" s="133"/>
      <c r="J64" s="28"/>
      <c r="K64" s="28"/>
    </row>
    <row r="65" spans="1:14" ht="48.75" customHeight="1" x14ac:dyDescent="0.35">
      <c r="A65" s="117" t="s">
        <v>75</v>
      </c>
      <c r="B65" s="117"/>
      <c r="C65" s="117"/>
      <c r="D65" s="115" t="s">
        <v>266</v>
      </c>
      <c r="E65" s="115"/>
      <c r="F65" s="115"/>
      <c r="G65" s="115"/>
      <c r="H65" s="115"/>
    </row>
    <row r="66" spans="1:14" x14ac:dyDescent="0.35">
      <c r="A66" s="133" t="s">
        <v>153</v>
      </c>
      <c r="B66" s="133"/>
      <c r="C66" s="133"/>
      <c r="D66" s="133" t="s">
        <v>29</v>
      </c>
      <c r="E66" s="133"/>
      <c r="F66" s="133"/>
      <c r="G66" s="133"/>
      <c r="H66" s="133"/>
      <c r="I66" s="29"/>
      <c r="J66" s="29"/>
      <c r="K66" s="29"/>
      <c r="L66" s="29"/>
      <c r="M66" s="29"/>
      <c r="N66" s="29"/>
    </row>
    <row r="67" spans="1:14" ht="15.75" customHeight="1" x14ac:dyDescent="0.35">
      <c r="A67" s="117" t="s">
        <v>86</v>
      </c>
      <c r="B67" s="117"/>
      <c r="C67" s="117"/>
      <c r="D67" s="115" t="str">
        <f ca="1">(IF(G73&gt;95%,"Nothing",IF(G73&gt;0%,"Cement, Aggregate, Steel, etc",IF(G73=0%,"Work not yet Started"))))</f>
        <v>Cement, Aggregate, Steel, etc</v>
      </c>
      <c r="E67" s="115"/>
      <c r="F67" s="115"/>
      <c r="G67" s="115"/>
      <c r="H67" s="115"/>
      <c r="J67" s="28"/>
    </row>
    <row r="68" spans="1:14" ht="33.75" customHeight="1" thickBot="1" x14ac:dyDescent="0.4">
      <c r="A68" s="133" t="s">
        <v>119</v>
      </c>
      <c r="B68" s="133"/>
      <c r="C68" s="133"/>
      <c r="D68" s="115" t="str">
        <f ca="1">(IF(D67="Nothing","Yes",IF(D67="Cement, Aggregate, Steel, etc","Under Construction",IF(D67="Work not yet Started","Work not yet Started"))))</f>
        <v>Under Construction</v>
      </c>
      <c r="E68" s="115"/>
      <c r="F68" s="115" t="str">
        <f ca="1">(IF(D67="Nothing","Yes",IF(D67="Cement, Aggregate, Steel, etc","Under Construction",IF(D67="Work not yet Started","Work not yet Started"))))</f>
        <v>Under Construction</v>
      </c>
      <c r="G68" s="115"/>
      <c r="H68" s="115"/>
    </row>
    <row r="69" spans="1:14" ht="15.75" customHeight="1" x14ac:dyDescent="0.35">
      <c r="A69" s="179" t="s">
        <v>143</v>
      </c>
      <c r="B69" s="180"/>
      <c r="C69" s="181" t="str">
        <f>D59</f>
        <v>Building No.1 (Brahma) - Rehab Wing A = B + G + 1st to 23rd Floor</v>
      </c>
      <c r="D69" s="182"/>
      <c r="E69" s="182"/>
      <c r="F69" s="182"/>
      <c r="G69" s="182"/>
      <c r="H69" s="183"/>
      <c r="I69" s="46" t="str">
        <f ca="1">IF(D82=100%,"All work Completed. Possession granted to the Building.",IF(D81=100%,"All work Completed, Waiting for OC",I70&amp;""&amp;I71&amp;""&amp;J70&amp;""&amp;J69&amp;" "&amp;J71))</f>
        <v>Excavation, Plinth, RCC Slab, Brickwork Completed, Internal Plaster upto 22 Floor, External Plaster upto 10 Floor, Flooring upto 9 Floor, Painting upto 8 Floor Completed</v>
      </c>
      <c r="J69" s="47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Internal Plaster upto 22 Floor, External Plaster upto 10 Floor, Flooring upto 9 Floor, Painting upto 8 Floor</v>
      </c>
    </row>
    <row r="70" spans="1:14" x14ac:dyDescent="0.35">
      <c r="A70" s="17" t="s">
        <v>145</v>
      </c>
      <c r="B70" s="51">
        <v>1</v>
      </c>
      <c r="C70" s="51" t="s">
        <v>72</v>
      </c>
      <c r="D70" s="51">
        <v>1</v>
      </c>
      <c r="E70" s="51" t="s">
        <v>71</v>
      </c>
      <c r="F70" s="51">
        <v>0</v>
      </c>
      <c r="G70" s="51" t="s">
        <v>80</v>
      </c>
      <c r="H70" s="18">
        <f ca="1">--TRIM(RIGHT(SUBSTITUTE(LEFT(C69,_xlfn.AGGREGATE(16,6,FIND({0,1,2,3,4,5,6,7,8,9},C69,ROW(INDIRECT("1:"&amp;LEN(C69)))),1))," ",REPT(" ",LEN(C69))),LEN(C69)))</f>
        <v>23</v>
      </c>
      <c r="I70" s="48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</v>
      </c>
      <c r="J70" s="49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48" customHeight="1" x14ac:dyDescent="0.35">
      <c r="A71" s="178" t="s">
        <v>90</v>
      </c>
      <c r="B71" s="149"/>
      <c r="C71" s="146" t="str">
        <f ca="1">I69</f>
        <v>Excavation, Plinth, RCC Slab, Brickwork Completed, Internal Plaster upto 22 Floor, External Plaster upto 10 Floor, Flooring upto 9 Floor, Painting upto 8 Floor Completed</v>
      </c>
      <c r="D71" s="146"/>
      <c r="E71" s="146"/>
      <c r="F71" s="146"/>
      <c r="G71" s="146"/>
      <c r="H71" s="184"/>
      <c r="I71" s="48" t="str">
        <f ca="1">IF(I70&lt;&gt;""," Completed","")</f>
        <v xml:space="preserve"> Completed</v>
      </c>
      <c r="J71" s="49" t="str">
        <f ca="1">IF(J69&lt;&gt;"","Completed","")</f>
        <v>Completed</v>
      </c>
    </row>
    <row r="72" spans="1:14" ht="15.75" customHeight="1" x14ac:dyDescent="0.35">
      <c r="A72" s="125" t="s">
        <v>51</v>
      </c>
      <c r="B72" s="119"/>
      <c r="C72" s="42" t="s">
        <v>142</v>
      </c>
      <c r="D72" s="42" t="s">
        <v>83</v>
      </c>
      <c r="E72" s="119" t="s">
        <v>85</v>
      </c>
      <c r="F72" s="119"/>
      <c r="G72" s="119" t="s">
        <v>84</v>
      </c>
      <c r="H72" s="190"/>
      <c r="I72" s="15" t="s">
        <v>144</v>
      </c>
      <c r="J72" s="30">
        <f ca="1">H70*25%</f>
        <v>5.75</v>
      </c>
    </row>
    <row r="73" spans="1:14" x14ac:dyDescent="0.35">
      <c r="A73" s="125" t="s">
        <v>131</v>
      </c>
      <c r="B73" s="119"/>
      <c r="C73" s="42">
        <f ca="1">J74</f>
        <v>23</v>
      </c>
      <c r="D73" s="20">
        <f ca="1">((100/H70)*C73)/100</f>
        <v>1</v>
      </c>
      <c r="E73" s="140">
        <f ca="1">(((C74/H70*10)+(40/(D70+F70+H70)*C75)+(7.5/(H70)*C76)+(7.5/(H70)*C77)+(10/H70*C78)+(10/H70*C79)+(5/H70*C80)+(5/H70*C81)+(5/H70*C82))/100)</f>
        <v>0.74673913043478268</v>
      </c>
      <c r="F73" s="191"/>
      <c r="G73" s="140">
        <f ca="1">((((C73/H70)*20)+((C74/H70)*25)+(30/(H70+F70+D70)*C75)+(5/H70*C76)+(5/H70*C77)+(5/H70*C78)+(5/H70*C79)+(0/H70*C80)+(0/H70*C81)+(5/H70*C82))/100)</f>
        <v>0.88913043478260878</v>
      </c>
      <c r="H73" s="141"/>
      <c r="I73" s="15" t="s">
        <v>101</v>
      </c>
      <c r="J73" s="31">
        <f ca="1">H70*50%</f>
        <v>11.5</v>
      </c>
    </row>
    <row r="74" spans="1:14" x14ac:dyDescent="0.35">
      <c r="A74" s="125" t="s">
        <v>52</v>
      </c>
      <c r="B74" s="119"/>
      <c r="C74" s="67">
        <f ca="1">J82</f>
        <v>23</v>
      </c>
      <c r="D74" s="20">
        <f ca="1">((100/H70)*C74)/100</f>
        <v>1</v>
      </c>
      <c r="E74" s="142"/>
      <c r="F74" s="192"/>
      <c r="G74" s="142"/>
      <c r="H74" s="143"/>
      <c r="I74" s="15" t="s">
        <v>102</v>
      </c>
      <c r="J74" s="31">
        <f ca="1">H70</f>
        <v>23</v>
      </c>
    </row>
    <row r="75" spans="1:14" ht="15.75" customHeight="1" x14ac:dyDescent="0.35">
      <c r="A75" s="125" t="s">
        <v>132</v>
      </c>
      <c r="B75" s="119"/>
      <c r="C75" s="42">
        <v>24</v>
      </c>
      <c r="D75" s="20">
        <f ca="1">((100/(D70+F70+H70))*C75)/100</f>
        <v>1</v>
      </c>
      <c r="E75" s="142"/>
      <c r="F75" s="192"/>
      <c r="G75" s="142"/>
      <c r="H75" s="143"/>
      <c r="I75" s="15" t="s">
        <v>103</v>
      </c>
      <c r="J75" s="32">
        <f ca="1">(IF(B70&gt;1,(H70/(B70+2)),H70/4))</f>
        <v>5.75</v>
      </c>
    </row>
    <row r="76" spans="1:14" ht="15.75" customHeight="1" x14ac:dyDescent="0.35">
      <c r="A76" s="125" t="s">
        <v>139</v>
      </c>
      <c r="B76" s="119" t="s">
        <v>133</v>
      </c>
      <c r="C76" s="42">
        <v>23</v>
      </c>
      <c r="D76" s="20">
        <f ca="1">((100/H70)*C76)/100</f>
        <v>1</v>
      </c>
      <c r="E76" s="142"/>
      <c r="F76" s="192"/>
      <c r="G76" s="142"/>
      <c r="H76" s="143"/>
      <c r="I76" s="15" t="s">
        <v>104</v>
      </c>
      <c r="J76" s="32">
        <f ca="1">(IF(B70&gt;1,(H70/(B70+2)+J75),H70/4+J75))</f>
        <v>11.5</v>
      </c>
    </row>
    <row r="77" spans="1:14" ht="15.75" customHeight="1" x14ac:dyDescent="0.35">
      <c r="A77" s="125" t="s">
        <v>140</v>
      </c>
      <c r="B77" s="119" t="s">
        <v>133</v>
      </c>
      <c r="C77" s="42">
        <v>22</v>
      </c>
      <c r="D77" s="20">
        <f ca="1">((100/H70)*C77)/100</f>
        <v>0.9565217391304347</v>
      </c>
      <c r="E77" s="142"/>
      <c r="F77" s="192"/>
      <c r="G77" s="142"/>
      <c r="H77" s="143"/>
      <c r="I77" s="15" t="s">
        <v>151</v>
      </c>
      <c r="J77" s="32">
        <f>(IF(B70&gt;1,(H70/(B70+2)+J76),0))</f>
        <v>0</v>
      </c>
    </row>
    <row r="78" spans="1:14" ht="15" customHeight="1" x14ac:dyDescent="0.35">
      <c r="A78" s="125" t="s">
        <v>138</v>
      </c>
      <c r="B78" s="119" t="s">
        <v>135</v>
      </c>
      <c r="C78" s="42">
        <v>10</v>
      </c>
      <c r="D78" s="20">
        <f ca="1">((100/(H70))*C78)/100</f>
        <v>0.43478260869565216</v>
      </c>
      <c r="E78" s="142"/>
      <c r="F78" s="192"/>
      <c r="G78" s="142"/>
      <c r="H78" s="143"/>
      <c r="I78" s="15" t="s">
        <v>146</v>
      </c>
      <c r="J78" s="32">
        <f>(IF(B70&gt;2,(H70/(B70+2)+J77),0))</f>
        <v>0</v>
      </c>
    </row>
    <row r="79" spans="1:14" ht="15.75" customHeight="1" x14ac:dyDescent="0.35">
      <c r="A79" s="125" t="s">
        <v>134</v>
      </c>
      <c r="B79" s="119" t="s">
        <v>134</v>
      </c>
      <c r="C79" s="42">
        <v>9</v>
      </c>
      <c r="D79" s="20">
        <f ca="1">((100/H70)*C79)/100</f>
        <v>0.39130434782608697</v>
      </c>
      <c r="E79" s="142"/>
      <c r="F79" s="192"/>
      <c r="G79" s="142"/>
      <c r="H79" s="143"/>
      <c r="I79" s="15" t="s">
        <v>147</v>
      </c>
      <c r="J79" s="33">
        <f>(IF(B70&gt;3,(H70/(B70+2)+J78),0))</f>
        <v>0</v>
      </c>
    </row>
    <row r="80" spans="1:14" ht="15.75" customHeight="1" x14ac:dyDescent="0.35">
      <c r="A80" s="125" t="s">
        <v>141</v>
      </c>
      <c r="B80" s="119"/>
      <c r="C80" s="42">
        <v>8</v>
      </c>
      <c r="D80" s="20">
        <f ca="1">((100/H70)*C80)/100</f>
        <v>0.34782608695652173</v>
      </c>
      <c r="E80" s="142"/>
      <c r="F80" s="192"/>
      <c r="G80" s="142"/>
      <c r="H80" s="143"/>
      <c r="I80" s="15" t="s">
        <v>148</v>
      </c>
      <c r="J80" s="32">
        <f>(IF(B70&gt;4,(H70/(B70+2)+J79),0))</f>
        <v>0</v>
      </c>
    </row>
    <row r="81" spans="1:10" ht="15.75" customHeight="1" x14ac:dyDescent="0.35">
      <c r="A81" s="125" t="s">
        <v>136</v>
      </c>
      <c r="B81" s="119" t="s">
        <v>136</v>
      </c>
      <c r="C81" s="42">
        <v>0</v>
      </c>
      <c r="D81" s="20">
        <f ca="1">((100/(H70))*C81)/100</f>
        <v>0</v>
      </c>
      <c r="E81" s="142"/>
      <c r="F81" s="192"/>
      <c r="G81" s="142"/>
      <c r="H81" s="143"/>
      <c r="I81" s="15" t="s">
        <v>152</v>
      </c>
      <c r="J81" s="32">
        <f ca="1">(IF(B70=1,(H70/(B70+3)+J76),IF(B70=0,(H70/4+J76),IF(B70&gt;1,0))))</f>
        <v>17.25</v>
      </c>
    </row>
    <row r="82" spans="1:10" ht="16" thickBot="1" x14ac:dyDescent="0.4">
      <c r="A82" s="127" t="s">
        <v>137</v>
      </c>
      <c r="B82" s="128"/>
      <c r="C82" s="43">
        <v>0</v>
      </c>
      <c r="D82" s="21">
        <f ca="1">((100/(H70))*C82)/100</f>
        <v>0</v>
      </c>
      <c r="E82" s="144"/>
      <c r="F82" s="193"/>
      <c r="G82" s="144"/>
      <c r="H82" s="145"/>
      <c r="I82" s="16" t="s">
        <v>105</v>
      </c>
      <c r="J82" s="34">
        <f ca="1">(IF(B70&gt;1.5,(H70/(B70+2)+J76+MAX(0,J77-J76)+MAX(0,J78-J77)+MAX(0,J79-J78)+MAX(0,J80-J79)+MAX(0,J81-J80)),IF(B70=1,(H70/(B70+3)+J81),IF(B70=0,H70/4+J81))))</f>
        <v>23</v>
      </c>
    </row>
    <row r="83" spans="1:10" ht="15.75" customHeight="1" x14ac:dyDescent="0.35">
      <c r="A83" s="120" t="s">
        <v>143</v>
      </c>
      <c r="B83" s="121"/>
      <c r="C83" s="122" t="str">
        <f>D60</f>
        <v>Building No.2 (Vishnu) - Composite Wing B &amp; C = B + G + 1st to 23rd Floor</v>
      </c>
      <c r="D83" s="123"/>
      <c r="E83" s="123"/>
      <c r="F83" s="123"/>
      <c r="G83" s="123"/>
      <c r="H83" s="124"/>
      <c r="I83" s="46" t="str">
        <f ca="1">IF(D96=100%,"All work Completed. Possession granted to the Building.",IF(D95=100%,"All work Completed, Waiting for OC",I84&amp;""&amp;I85&amp;""&amp;J84&amp;""&amp;J83&amp;" "&amp;J85))</f>
        <v>Excavation, Plinth Completed, RCC upto 23 Slab, Brickwork upto 22 Floor, Internal Plaster upto 14 Floor, External Plaster upto 7 Floor, Flooring upto 7 Floor, Painting upto 7 Floor Completed</v>
      </c>
      <c r="J83" s="47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23 Slab, Brickwork upto 22 Floor, Internal Plaster upto 14 Floor, External Plaster upto 7 Floor, Flooring upto 7 Floor, Painting upto 7 Floor</v>
      </c>
    </row>
    <row r="84" spans="1:10" x14ac:dyDescent="0.35">
      <c r="A84" s="17" t="s">
        <v>145</v>
      </c>
      <c r="B84" s="51">
        <v>1</v>
      </c>
      <c r="C84" s="51" t="s">
        <v>72</v>
      </c>
      <c r="D84" s="51">
        <v>1</v>
      </c>
      <c r="E84" s="51" t="s">
        <v>71</v>
      </c>
      <c r="F84" s="51">
        <v>0</v>
      </c>
      <c r="G84" s="51" t="s">
        <v>80</v>
      </c>
      <c r="H84" s="18">
        <f ca="1">--TRIM(RIGHT(SUBSTITUTE(LEFT(C83,_xlfn.AGGREGATE(16,6,FIND({0,1,2,3,4,5,6,7,8,9},C83,ROW(INDIRECT("1:"&amp;LEN(C83)))),1))," ",REPT(" ",LEN(C83))),LEN(C83)))</f>
        <v>23</v>
      </c>
      <c r="I84" s="48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9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46" customHeight="1" x14ac:dyDescent="0.35">
      <c r="A85" s="149" t="s">
        <v>90</v>
      </c>
      <c r="B85" s="149"/>
      <c r="C85" s="146" t="str">
        <f ca="1">(IF($G$54="NA",I83,"All work Completed. OC Received."))</f>
        <v>Excavation, Plinth Completed, RCC upto 23 Slab, Brickwork upto 22 Floor, Internal Plaster upto 14 Floor, External Plaster upto 7 Floor, Flooring upto 7 Floor, Painting upto 7 Floor Completed</v>
      </c>
      <c r="D85" s="146"/>
      <c r="E85" s="146"/>
      <c r="F85" s="146"/>
      <c r="G85" s="146"/>
      <c r="H85" s="146"/>
      <c r="I85" s="76" t="str">
        <f ca="1">IF(I84&lt;&gt;""," Completed","")</f>
        <v xml:space="preserve"> Completed</v>
      </c>
      <c r="J85" s="49" t="str">
        <f ca="1">IF(J83&lt;&gt;"","Completed","")</f>
        <v>Completed</v>
      </c>
    </row>
    <row r="86" spans="1:10" ht="15.75" customHeight="1" x14ac:dyDescent="0.35">
      <c r="A86" s="119" t="s">
        <v>51</v>
      </c>
      <c r="B86" s="119"/>
      <c r="C86" s="74" t="s">
        <v>142</v>
      </c>
      <c r="D86" s="74" t="s">
        <v>83</v>
      </c>
      <c r="E86" s="119" t="s">
        <v>85</v>
      </c>
      <c r="F86" s="119"/>
      <c r="G86" s="119" t="s">
        <v>84</v>
      </c>
      <c r="H86" s="119"/>
      <c r="I86" s="15" t="s">
        <v>144</v>
      </c>
      <c r="J86" s="30">
        <f ca="1">H84*25%</f>
        <v>5.75</v>
      </c>
    </row>
    <row r="87" spans="1:10" x14ac:dyDescent="0.35">
      <c r="A87" s="119" t="s">
        <v>131</v>
      </c>
      <c r="B87" s="119"/>
      <c r="C87" s="74">
        <f ca="1">J88</f>
        <v>23</v>
      </c>
      <c r="D87" s="20">
        <f ca="1">((100/H84)*C87)/100</f>
        <v>1</v>
      </c>
      <c r="E87" s="147">
        <f ca="1">(((C88/H84*10)+(40/(D84+F84+H84)*C89)+(7.5/(H84)*C90)+(7.5/(H84)*C91)+(10/H84*C92)+(10/H84*C93)+(5/H84*C94)+(5/H84*C95)+(5/H84*C96))/100)</f>
        <v>0.67681159420289849</v>
      </c>
      <c r="F87" s="147"/>
      <c r="G87" s="147">
        <f ca="1">((((C87/H84)*20)+((C88/H84)*25)+(30/(H84+F84+D84)*C89)+(5/H84*C90)+(5/H84*C91)+(5/H84*C92)+(5/H84*C93)+(0/H84*C94)+(0/H84*C95)+(5/H84*C96))/100)</f>
        <v>0.84619565217391302</v>
      </c>
      <c r="H87" s="147"/>
      <c r="I87" s="15" t="s">
        <v>101</v>
      </c>
      <c r="J87" s="31">
        <f ca="1">H84*50%</f>
        <v>11.5</v>
      </c>
    </row>
    <row r="88" spans="1:10" x14ac:dyDescent="0.35">
      <c r="A88" s="119" t="s">
        <v>52</v>
      </c>
      <c r="B88" s="119"/>
      <c r="C88" s="67">
        <f ca="1">J96</f>
        <v>23</v>
      </c>
      <c r="D88" s="20">
        <f ca="1">((100/H84)*C88)/100</f>
        <v>1</v>
      </c>
      <c r="E88" s="147"/>
      <c r="F88" s="147"/>
      <c r="G88" s="147"/>
      <c r="H88" s="147"/>
      <c r="I88" s="15" t="s">
        <v>102</v>
      </c>
      <c r="J88" s="31">
        <f ca="1">H84</f>
        <v>23</v>
      </c>
    </row>
    <row r="89" spans="1:10" ht="15.75" customHeight="1" x14ac:dyDescent="0.35">
      <c r="A89" s="119" t="s">
        <v>132</v>
      </c>
      <c r="B89" s="119"/>
      <c r="C89" s="74">
        <v>23</v>
      </c>
      <c r="D89" s="20">
        <f ca="1">((100/(D84+F84+H84))*C89)/100</f>
        <v>0.95833333333333348</v>
      </c>
      <c r="E89" s="147"/>
      <c r="F89" s="147"/>
      <c r="G89" s="147"/>
      <c r="H89" s="147"/>
      <c r="I89" s="15" t="s">
        <v>103</v>
      </c>
      <c r="J89" s="32">
        <f ca="1">(IF(B84&gt;1,(H84/(B84+2)),H84/4))</f>
        <v>5.75</v>
      </c>
    </row>
    <row r="90" spans="1:10" ht="15.75" customHeight="1" x14ac:dyDescent="0.35">
      <c r="A90" s="119" t="s">
        <v>139</v>
      </c>
      <c r="B90" s="119" t="s">
        <v>133</v>
      </c>
      <c r="C90" s="74">
        <v>22</v>
      </c>
      <c r="D90" s="20">
        <f ca="1">((100/H84)*C90)/100</f>
        <v>0.9565217391304347</v>
      </c>
      <c r="E90" s="147"/>
      <c r="F90" s="147"/>
      <c r="G90" s="147"/>
      <c r="H90" s="147"/>
      <c r="I90" s="15" t="s">
        <v>104</v>
      </c>
      <c r="J90" s="32">
        <f ca="1">(IF(B84&gt;1,(H84/(B84+2)+J89),H84/4+J89))</f>
        <v>11.5</v>
      </c>
    </row>
    <row r="91" spans="1:10" ht="15.75" customHeight="1" x14ac:dyDescent="0.35">
      <c r="A91" s="119" t="s">
        <v>140</v>
      </c>
      <c r="B91" s="119" t="s">
        <v>133</v>
      </c>
      <c r="C91" s="74">
        <v>14</v>
      </c>
      <c r="D91" s="20">
        <f ca="1">((100/H84)*C91)/100</f>
        <v>0.60869565217391297</v>
      </c>
      <c r="E91" s="147"/>
      <c r="F91" s="147"/>
      <c r="G91" s="147"/>
      <c r="H91" s="147"/>
      <c r="I91" s="15" t="s">
        <v>151</v>
      </c>
      <c r="J91" s="32">
        <f>(IF(B84&gt;1,(H84/(B84+2)+J90),0))</f>
        <v>0</v>
      </c>
    </row>
    <row r="92" spans="1:10" ht="15" customHeight="1" x14ac:dyDescent="0.35">
      <c r="A92" s="119" t="s">
        <v>138</v>
      </c>
      <c r="B92" s="119" t="s">
        <v>135</v>
      </c>
      <c r="C92" s="74">
        <v>7</v>
      </c>
      <c r="D92" s="20">
        <f ca="1">((100/(H84))*C92)/100</f>
        <v>0.30434782608695649</v>
      </c>
      <c r="E92" s="147"/>
      <c r="F92" s="147"/>
      <c r="G92" s="147"/>
      <c r="H92" s="147"/>
      <c r="I92" s="15" t="s">
        <v>146</v>
      </c>
      <c r="J92" s="32">
        <f>(IF(B84&gt;2,(H84/(B84+2)+J91),0))</f>
        <v>0</v>
      </c>
    </row>
    <row r="93" spans="1:10" ht="15.75" customHeight="1" x14ac:dyDescent="0.35">
      <c r="A93" s="119" t="s">
        <v>134</v>
      </c>
      <c r="B93" s="119" t="s">
        <v>134</v>
      </c>
      <c r="C93" s="74">
        <v>7</v>
      </c>
      <c r="D93" s="20">
        <f ca="1">((100/H84)*C93)/100</f>
        <v>0.30434782608695649</v>
      </c>
      <c r="E93" s="147"/>
      <c r="F93" s="147"/>
      <c r="G93" s="147"/>
      <c r="H93" s="147"/>
      <c r="I93" s="15" t="s">
        <v>147</v>
      </c>
      <c r="J93" s="33">
        <f>(IF(B84&gt;3,(H84/(B84+2)+J92),0))</f>
        <v>0</v>
      </c>
    </row>
    <row r="94" spans="1:10" ht="15.75" customHeight="1" x14ac:dyDescent="0.35">
      <c r="A94" s="119" t="s">
        <v>141</v>
      </c>
      <c r="B94" s="119"/>
      <c r="C94" s="74">
        <v>7</v>
      </c>
      <c r="D94" s="20">
        <f ca="1">((100/H84)*C94)/100</f>
        <v>0.30434782608695649</v>
      </c>
      <c r="E94" s="147"/>
      <c r="F94" s="147"/>
      <c r="G94" s="147"/>
      <c r="H94" s="147"/>
      <c r="I94" s="15" t="s">
        <v>148</v>
      </c>
      <c r="J94" s="32">
        <f>(IF(B84&gt;4,(H84/(B84+2)+J93),0))</f>
        <v>0</v>
      </c>
    </row>
    <row r="95" spans="1:10" ht="15.75" customHeight="1" x14ac:dyDescent="0.35">
      <c r="A95" s="119" t="s">
        <v>136</v>
      </c>
      <c r="B95" s="119" t="s">
        <v>136</v>
      </c>
      <c r="C95" s="74">
        <v>0</v>
      </c>
      <c r="D95" s="20">
        <f ca="1">((100/(H84))*C95)/100</f>
        <v>0</v>
      </c>
      <c r="E95" s="147"/>
      <c r="F95" s="147"/>
      <c r="G95" s="147"/>
      <c r="H95" s="147"/>
      <c r="I95" s="15" t="s">
        <v>152</v>
      </c>
      <c r="J95" s="32">
        <f ca="1">(IF(B84=1,(H84/(B84+3)+J90),IF(B84=0,(H84/4+J90),IF(B84&gt;1,0))))</f>
        <v>17.25</v>
      </c>
    </row>
    <row r="96" spans="1:10" ht="16" thickBot="1" x14ac:dyDescent="0.4">
      <c r="A96" s="119" t="s">
        <v>137</v>
      </c>
      <c r="B96" s="119"/>
      <c r="C96" s="74">
        <v>0</v>
      </c>
      <c r="D96" s="20">
        <f ca="1">((100/(H84))*C96)/100</f>
        <v>0</v>
      </c>
      <c r="E96" s="147"/>
      <c r="F96" s="147"/>
      <c r="G96" s="147"/>
      <c r="H96" s="147"/>
      <c r="I96" s="16" t="s">
        <v>105</v>
      </c>
      <c r="J96" s="34">
        <f ca="1">(IF(B84&gt;1.5,(H84/(B84+2)+J90+MAX(0,J91-J90)+MAX(0,J92-J91)+MAX(0,J93-J92)+MAX(0,J94-J93)+MAX(0,J95-J94)),IF(B84=1,(H84/(B84+3)+J95),IF(B84=0,H84/4+J95))))</f>
        <v>23</v>
      </c>
    </row>
    <row r="97" spans="1:11" ht="15.75" customHeight="1" x14ac:dyDescent="0.35">
      <c r="A97" s="146" t="s">
        <v>143</v>
      </c>
      <c r="B97" s="146"/>
      <c r="C97" s="146" t="str">
        <f>D61</f>
        <v>Building No.3 (Mahesh) - Composite Wing D &amp; E = B + G + 1st to 23rd Floor</v>
      </c>
      <c r="D97" s="146"/>
      <c r="E97" s="146"/>
      <c r="F97" s="146"/>
      <c r="G97" s="146"/>
      <c r="H97" s="146"/>
      <c r="I97" s="75" t="str">
        <f ca="1">IF(D110=100%,"All work Completed. Possession granted to the Building.",IF(D109=100%,"All work Completed, Waiting for OC",I98&amp;""&amp;I99&amp;""&amp;J98&amp;""&amp;J97&amp;" "&amp;J99))</f>
        <v>Excavation, Plinth, RCC Slab, Brickwork Completed, Internal Plaster upto 22 Floor, External Plaster upto 11 Floor, Flooring upto 8 Floor, Painting upto 7 Floor Completed</v>
      </c>
      <c r="J97" s="47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Internal Plaster upto 22 Floor, External Plaster upto 11 Floor, Flooring upto 8 Floor, Painting upto 7 Floor</v>
      </c>
    </row>
    <row r="98" spans="1:11" x14ac:dyDescent="0.35">
      <c r="A98" s="73" t="s">
        <v>145</v>
      </c>
      <c r="B98" s="73">
        <v>1</v>
      </c>
      <c r="C98" s="73" t="s">
        <v>72</v>
      </c>
      <c r="D98" s="73">
        <v>1</v>
      </c>
      <c r="E98" s="73" t="s">
        <v>71</v>
      </c>
      <c r="F98" s="73">
        <v>0</v>
      </c>
      <c r="G98" s="73" t="s">
        <v>80</v>
      </c>
      <c r="H98" s="73">
        <f ca="1">--TRIM(RIGHT(SUBSTITUTE(LEFT(C97,_xlfn.AGGREGATE(16,6,FIND({0,1,2,3,4,5,6,7,8,9},C97,ROW(INDIRECT("1:"&amp;LEN(C97)))),1))," ",REPT(" ",LEN(C97))),LEN(C97)))</f>
        <v>23</v>
      </c>
      <c r="I98" s="76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</v>
      </c>
      <c r="J98" s="49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1" ht="49" customHeight="1" x14ac:dyDescent="0.35">
      <c r="A99" s="149" t="s">
        <v>90</v>
      </c>
      <c r="B99" s="149"/>
      <c r="C99" s="146" t="str">
        <f ca="1">(IF($G$54="NA",I97,"All work Completed. OC Received."))</f>
        <v>Excavation, Plinth, RCC Slab, Brickwork Completed, Internal Plaster upto 22 Floor, External Plaster upto 11 Floor, Flooring upto 8 Floor, Painting upto 7 Floor Completed</v>
      </c>
      <c r="D99" s="146"/>
      <c r="E99" s="146"/>
      <c r="F99" s="146"/>
      <c r="G99" s="146"/>
      <c r="H99" s="146"/>
      <c r="I99" s="76" t="str">
        <f ca="1">IF(I98&lt;&gt;""," Completed","")</f>
        <v xml:space="preserve"> Completed</v>
      </c>
      <c r="J99" s="49" t="str">
        <f ca="1">IF(J97&lt;&gt;"","Completed","")</f>
        <v>Completed</v>
      </c>
    </row>
    <row r="100" spans="1:11" ht="15.75" customHeight="1" x14ac:dyDescent="0.35">
      <c r="A100" s="119" t="s">
        <v>51</v>
      </c>
      <c r="B100" s="119"/>
      <c r="C100" s="72" t="s">
        <v>142</v>
      </c>
      <c r="D100" s="72" t="s">
        <v>83</v>
      </c>
      <c r="E100" s="119" t="s">
        <v>85</v>
      </c>
      <c r="F100" s="119"/>
      <c r="G100" s="119" t="s">
        <v>84</v>
      </c>
      <c r="H100" s="119"/>
      <c r="I100" s="15" t="s">
        <v>144</v>
      </c>
      <c r="J100" s="30">
        <f ca="1">H98*25%</f>
        <v>5.75</v>
      </c>
    </row>
    <row r="101" spans="1:11" x14ac:dyDescent="0.35">
      <c r="A101" s="125" t="s">
        <v>131</v>
      </c>
      <c r="B101" s="119"/>
      <c r="C101" s="67">
        <f ca="1">J102</f>
        <v>23</v>
      </c>
      <c r="D101" s="20">
        <f ca="1">((100/H98)*C101)/100</f>
        <v>1</v>
      </c>
      <c r="E101" s="140">
        <f ca="1">(((C102/H98*10)+(40/(D98+F98+H98)*C103)+(7.5/(H98)*C104)+(7.5/(H98)*C105)+(10/H98*C106)+(10/H98*C107)+(5/H98*C108)+(5/H98*C109)+(5/H98*C110))/100)</f>
        <v>0.74456521739130432</v>
      </c>
      <c r="F101" s="191"/>
      <c r="G101" s="140">
        <f ca="1">((((C101/H98)*20)+((C102/H98)*25)+(30/(H98+F98+D98)*C103)+(5/H98*C104)+(5/H98*C105)+(5/H98*C106)+(5/H98*C107)+(0/H98*C108)+(0/H98*C109)+(5/H98*C110))/100)</f>
        <v>0.88913043478260878</v>
      </c>
      <c r="H101" s="141"/>
      <c r="I101" s="15" t="s">
        <v>101</v>
      </c>
      <c r="J101" s="31">
        <f ca="1">H98*50%</f>
        <v>11.5</v>
      </c>
    </row>
    <row r="102" spans="1:11" x14ac:dyDescent="0.35">
      <c r="A102" s="125" t="s">
        <v>52</v>
      </c>
      <c r="B102" s="119"/>
      <c r="C102" s="67">
        <f ca="1">J110</f>
        <v>23</v>
      </c>
      <c r="D102" s="20">
        <f ca="1">((100/H98)*C102)/100</f>
        <v>1</v>
      </c>
      <c r="E102" s="142"/>
      <c r="F102" s="192"/>
      <c r="G102" s="142"/>
      <c r="H102" s="143"/>
      <c r="I102" s="15" t="s">
        <v>102</v>
      </c>
      <c r="J102" s="31">
        <f ca="1">H98</f>
        <v>23</v>
      </c>
    </row>
    <row r="103" spans="1:11" ht="15.75" customHeight="1" x14ac:dyDescent="0.35">
      <c r="A103" s="125" t="s">
        <v>132</v>
      </c>
      <c r="B103" s="119"/>
      <c r="C103" s="42">
        <v>24</v>
      </c>
      <c r="D103" s="20">
        <f ca="1">((100/(D98+F98+H98))*C103)/100</f>
        <v>1</v>
      </c>
      <c r="E103" s="142"/>
      <c r="F103" s="192"/>
      <c r="G103" s="142"/>
      <c r="H103" s="143"/>
      <c r="I103" s="15" t="s">
        <v>103</v>
      </c>
      <c r="J103" s="32">
        <f ca="1">(IF(B98&gt;1,(H98/(B98+2)),H98/4))</f>
        <v>5.75</v>
      </c>
    </row>
    <row r="104" spans="1:11" ht="15.75" customHeight="1" x14ac:dyDescent="0.35">
      <c r="A104" s="125" t="s">
        <v>139</v>
      </c>
      <c r="B104" s="119" t="s">
        <v>133</v>
      </c>
      <c r="C104" s="42">
        <v>23</v>
      </c>
      <c r="D104" s="20">
        <f ca="1">((100/H98)*C104)/100</f>
        <v>1</v>
      </c>
      <c r="E104" s="142"/>
      <c r="F104" s="192"/>
      <c r="G104" s="142"/>
      <c r="H104" s="143"/>
      <c r="I104" s="15" t="s">
        <v>104</v>
      </c>
      <c r="J104" s="32">
        <f ca="1">(IF(B98&gt;1,(H98/(B98+2)+J103),H98/4+J103))</f>
        <v>11.5</v>
      </c>
    </row>
    <row r="105" spans="1:11" ht="15.75" customHeight="1" x14ac:dyDescent="0.35">
      <c r="A105" s="125" t="s">
        <v>140</v>
      </c>
      <c r="B105" s="119" t="s">
        <v>133</v>
      </c>
      <c r="C105" s="42">
        <v>22</v>
      </c>
      <c r="D105" s="20">
        <f ca="1">((100/H98)*C105)/100</f>
        <v>0.9565217391304347</v>
      </c>
      <c r="E105" s="142"/>
      <c r="F105" s="192"/>
      <c r="G105" s="142"/>
      <c r="H105" s="143"/>
      <c r="I105" s="15" t="s">
        <v>151</v>
      </c>
      <c r="J105" s="32">
        <f>(IF(B98&gt;1,(H98/(B98+2)+J104),0))</f>
        <v>0</v>
      </c>
    </row>
    <row r="106" spans="1:11" ht="15" customHeight="1" x14ac:dyDescent="0.35">
      <c r="A106" s="125" t="s">
        <v>138</v>
      </c>
      <c r="B106" s="119" t="s">
        <v>135</v>
      </c>
      <c r="C106" s="42">
        <v>11</v>
      </c>
      <c r="D106" s="20">
        <f ca="1">((100/(H98))*C106)/100</f>
        <v>0.47826086956521735</v>
      </c>
      <c r="E106" s="142"/>
      <c r="F106" s="192"/>
      <c r="G106" s="142"/>
      <c r="H106" s="143"/>
      <c r="I106" s="15" t="s">
        <v>146</v>
      </c>
      <c r="J106" s="32">
        <f>(IF(B98&gt;2,(H98/(B98+2)+J105),0))</f>
        <v>0</v>
      </c>
    </row>
    <row r="107" spans="1:11" ht="15.75" customHeight="1" x14ac:dyDescent="0.35">
      <c r="A107" s="125" t="s">
        <v>134</v>
      </c>
      <c r="B107" s="119" t="s">
        <v>134</v>
      </c>
      <c r="C107" s="42">
        <v>8</v>
      </c>
      <c r="D107" s="20">
        <f ca="1">((100/H98)*C107)/100</f>
        <v>0.34782608695652173</v>
      </c>
      <c r="E107" s="142"/>
      <c r="F107" s="192"/>
      <c r="G107" s="142"/>
      <c r="H107" s="143"/>
      <c r="I107" s="15" t="s">
        <v>147</v>
      </c>
      <c r="J107" s="33">
        <f>(IF(B98&gt;3,(H98/(B98+2)+J106),0))</f>
        <v>0</v>
      </c>
    </row>
    <row r="108" spans="1:11" ht="15.75" customHeight="1" x14ac:dyDescent="0.35">
      <c r="A108" s="125" t="s">
        <v>141</v>
      </c>
      <c r="B108" s="119"/>
      <c r="C108" s="42">
        <v>7</v>
      </c>
      <c r="D108" s="20">
        <f ca="1">((100/H98)*C108)/100</f>
        <v>0.30434782608695649</v>
      </c>
      <c r="E108" s="142"/>
      <c r="F108" s="192"/>
      <c r="G108" s="142"/>
      <c r="H108" s="143"/>
      <c r="I108" s="15" t="s">
        <v>148</v>
      </c>
      <c r="J108" s="32">
        <f>(IF(B98&gt;4,(H98/(B98+2)+J107),0))</f>
        <v>0</v>
      </c>
    </row>
    <row r="109" spans="1:11" ht="15.75" customHeight="1" x14ac:dyDescent="0.35">
      <c r="A109" s="125" t="s">
        <v>136</v>
      </c>
      <c r="B109" s="119" t="s">
        <v>136</v>
      </c>
      <c r="C109" s="42">
        <v>0</v>
      </c>
      <c r="D109" s="20">
        <f ca="1">((100/(H98))*C109)/100</f>
        <v>0</v>
      </c>
      <c r="E109" s="142"/>
      <c r="F109" s="192"/>
      <c r="G109" s="142"/>
      <c r="H109" s="143"/>
      <c r="I109" s="15" t="s">
        <v>152</v>
      </c>
      <c r="J109" s="32">
        <f ca="1">(IF(B98=1,(H98/(B98+3)+J104),IF(B98=0,(H98/4+J104),IF(B98&gt;1,0))))</f>
        <v>17.25</v>
      </c>
    </row>
    <row r="110" spans="1:11" ht="16" thickBot="1" x14ac:dyDescent="0.4">
      <c r="A110" s="127" t="s">
        <v>137</v>
      </c>
      <c r="B110" s="128"/>
      <c r="C110" s="43">
        <v>0</v>
      </c>
      <c r="D110" s="21">
        <f ca="1">((100/(H98))*C110)/100</f>
        <v>0</v>
      </c>
      <c r="E110" s="144"/>
      <c r="F110" s="193"/>
      <c r="G110" s="144"/>
      <c r="H110" s="145"/>
      <c r="I110" s="16" t="s">
        <v>105</v>
      </c>
      <c r="J110" s="34">
        <f ca="1">(IF(B98&gt;1.5,(H98/(B98+2)+J104+MAX(0,J105-J104)+MAX(0,J106-J105)+MAX(0,J107-J106)+MAX(0,J108-J107)+MAX(0,J109-J108)),IF(B98=1,(H98/(B98+3)+J109),IF(B98=0,H98/4+J109))))</f>
        <v>23</v>
      </c>
    </row>
    <row r="111" spans="1:11" x14ac:dyDescent="0.35">
      <c r="A111" s="148" t="s">
        <v>162</v>
      </c>
      <c r="B111" s="148"/>
      <c r="C111" s="148"/>
      <c r="D111" s="148"/>
      <c r="E111" s="148"/>
      <c r="F111" s="200" t="s">
        <v>167</v>
      </c>
      <c r="G111" s="200"/>
      <c r="H111" s="200"/>
      <c r="J111" s="22" t="s">
        <v>257</v>
      </c>
      <c r="K111" s="22" t="s">
        <v>258</v>
      </c>
    </row>
    <row r="112" spans="1:11" x14ac:dyDescent="0.35">
      <c r="A112" s="117" t="s">
        <v>165</v>
      </c>
      <c r="B112" s="117"/>
      <c r="C112" s="117"/>
      <c r="D112" s="117"/>
      <c r="E112" s="117"/>
      <c r="F112" s="126">
        <v>14500</v>
      </c>
      <c r="G112" s="126"/>
      <c r="H112" s="126"/>
      <c r="J112" s="22">
        <f>22000/1.5</f>
        <v>14666.666666666666</v>
      </c>
      <c r="K112" s="22">
        <v>13600</v>
      </c>
    </row>
    <row r="113" spans="1:22" x14ac:dyDescent="0.35">
      <c r="A113" s="117" t="s">
        <v>164</v>
      </c>
      <c r="B113" s="117"/>
      <c r="C113" s="117"/>
      <c r="D113" s="117"/>
      <c r="E113" s="117"/>
      <c r="F113" s="126">
        <v>23000</v>
      </c>
      <c r="G113" s="126"/>
      <c r="H113" s="126"/>
      <c r="J113" s="22" t="s">
        <v>267</v>
      </c>
      <c r="M113" s="27">
        <v>45516</v>
      </c>
    </row>
    <row r="114" spans="1:22" x14ac:dyDescent="0.35">
      <c r="A114" s="117" t="s">
        <v>166</v>
      </c>
      <c r="B114" s="117"/>
      <c r="C114" s="117"/>
      <c r="D114" s="117"/>
      <c r="E114" s="117"/>
      <c r="F114" s="126">
        <v>18000</v>
      </c>
      <c r="G114" s="126"/>
      <c r="H114" s="126"/>
    </row>
    <row r="115" spans="1:22" s="35" customFormat="1" hidden="1" x14ac:dyDescent="0.3">
      <c r="A115" s="117" t="s">
        <v>163</v>
      </c>
      <c r="B115" s="117"/>
      <c r="C115" s="117"/>
      <c r="D115" s="117"/>
      <c r="E115" s="117"/>
      <c r="F115" s="126"/>
      <c r="G115" s="126"/>
      <c r="H115" s="126"/>
    </row>
    <row r="116" spans="1:22" s="35" customFormat="1" x14ac:dyDescent="0.3">
      <c r="A116" s="117" t="s">
        <v>95</v>
      </c>
      <c r="B116" s="117"/>
      <c r="C116" s="117"/>
      <c r="D116" s="117"/>
      <c r="E116" s="117"/>
      <c r="F116" s="126">
        <v>250000</v>
      </c>
      <c r="G116" s="126"/>
      <c r="H116" s="126"/>
    </row>
    <row r="117" spans="1:22" s="35" customFormat="1" hidden="1" x14ac:dyDescent="0.3">
      <c r="A117" s="117" t="s">
        <v>96</v>
      </c>
      <c r="B117" s="117"/>
      <c r="C117" s="117"/>
      <c r="D117" s="117"/>
      <c r="E117" s="117"/>
      <c r="F117" s="126"/>
      <c r="G117" s="126"/>
      <c r="H117" s="126"/>
    </row>
    <row r="118" spans="1:22" s="35" customFormat="1" hidden="1" x14ac:dyDescent="0.3">
      <c r="A118" s="117" t="s">
        <v>168</v>
      </c>
      <c r="B118" s="117"/>
      <c r="C118" s="117"/>
      <c r="D118" s="117"/>
      <c r="E118" s="117"/>
      <c r="F118" s="126"/>
      <c r="G118" s="126"/>
      <c r="H118" s="126"/>
    </row>
    <row r="119" spans="1:22" s="35" customFormat="1" hidden="1" x14ac:dyDescent="0.3">
      <c r="A119" s="117" t="s">
        <v>97</v>
      </c>
      <c r="B119" s="117"/>
      <c r="C119" s="117"/>
      <c r="D119" s="117"/>
      <c r="E119" s="117"/>
      <c r="F119" s="126"/>
      <c r="G119" s="126"/>
      <c r="H119" s="126"/>
    </row>
    <row r="120" spans="1:22" s="35" customFormat="1" hidden="1" x14ac:dyDescent="0.3">
      <c r="A120" s="117" t="s">
        <v>98</v>
      </c>
      <c r="B120" s="117"/>
      <c r="C120" s="117"/>
      <c r="D120" s="117"/>
      <c r="E120" s="117"/>
      <c r="F120" s="126"/>
      <c r="G120" s="126"/>
      <c r="H120" s="126"/>
    </row>
    <row r="121" spans="1:22" s="35" customFormat="1" hidden="1" x14ac:dyDescent="0.3">
      <c r="A121" s="117" t="s">
        <v>99</v>
      </c>
      <c r="B121" s="117"/>
      <c r="C121" s="117"/>
      <c r="D121" s="117"/>
      <c r="E121" s="117"/>
      <c r="F121" s="126"/>
      <c r="G121" s="126"/>
      <c r="H121" s="126"/>
    </row>
    <row r="122" spans="1:22" s="35" customFormat="1" hidden="1" x14ac:dyDescent="0.3">
      <c r="A122" s="117" t="s">
        <v>100</v>
      </c>
      <c r="B122" s="117"/>
      <c r="C122" s="117"/>
      <c r="D122" s="117"/>
      <c r="E122" s="117"/>
      <c r="F122" s="126"/>
      <c r="G122" s="126"/>
      <c r="H122" s="126"/>
    </row>
    <row r="123" spans="1:22" x14ac:dyDescent="0.35">
      <c r="A123" s="117" t="s">
        <v>53</v>
      </c>
      <c r="B123" s="117"/>
      <c r="C123" s="117"/>
      <c r="D123" s="117"/>
      <c r="E123" s="117"/>
      <c r="F123" s="126">
        <v>900000</v>
      </c>
      <c r="G123" s="126"/>
      <c r="H123" s="126"/>
    </row>
    <row r="124" spans="1:22" s="36" customFormat="1" x14ac:dyDescent="0.35">
      <c r="A124" s="152" t="s">
        <v>54</v>
      </c>
      <c r="B124" s="152"/>
      <c r="C124" s="152"/>
      <c r="D124" s="152"/>
      <c r="E124" s="152"/>
      <c r="F124" s="126">
        <f>F112*0.8</f>
        <v>11600</v>
      </c>
      <c r="G124" s="126"/>
      <c r="H124" s="126"/>
    </row>
    <row r="125" spans="1:22" s="53" customFormat="1" ht="15.75" customHeight="1" x14ac:dyDescent="0.35">
      <c r="A125" s="159" t="s">
        <v>252</v>
      </c>
      <c r="B125" s="159"/>
      <c r="C125" s="159"/>
      <c r="D125" s="159"/>
      <c r="E125" s="159"/>
      <c r="F125" s="159"/>
      <c r="G125" s="159"/>
      <c r="H125" s="159"/>
      <c r="R125"/>
      <c r="S125" s="54"/>
      <c r="T125"/>
      <c r="U125"/>
      <c r="V125" s="54"/>
    </row>
    <row r="126" spans="1:22" s="53" customFormat="1" ht="15.75" customHeight="1" x14ac:dyDescent="0.35">
      <c r="A126" s="194" t="s">
        <v>55</v>
      </c>
      <c r="B126" s="194"/>
      <c r="C126" s="195" t="s">
        <v>78</v>
      </c>
      <c r="D126" s="195"/>
      <c r="E126" s="196" t="s">
        <v>56</v>
      </c>
      <c r="F126" s="196"/>
      <c r="G126" s="194" t="s">
        <v>57</v>
      </c>
      <c r="H126" s="194"/>
      <c r="R126"/>
      <c r="S126" s="54"/>
      <c r="T126"/>
      <c r="U126" s="54"/>
      <c r="V126" s="54"/>
    </row>
    <row r="127" spans="1:22" s="53" customFormat="1" ht="15.75" customHeight="1" x14ac:dyDescent="0.35">
      <c r="A127" s="208" t="s">
        <v>248</v>
      </c>
      <c r="B127" s="62" t="s">
        <v>245</v>
      </c>
      <c r="C127" s="134">
        <f>COUNT(F156:F163)</f>
        <v>8</v>
      </c>
      <c r="D127" s="135"/>
      <c r="E127" s="134">
        <f>SUM(F156:F163)</f>
        <v>1211.3805600000001</v>
      </c>
      <c r="F127" s="135"/>
      <c r="G127" s="134">
        <f>SUM(H156:H163)</f>
        <v>1877.6398679999998</v>
      </c>
      <c r="H127" s="135"/>
      <c r="R127"/>
      <c r="S127" s="54"/>
      <c r="T127"/>
      <c r="U127" s="54"/>
      <c r="V127" s="54"/>
    </row>
    <row r="128" spans="1:22" s="53" customFormat="1" ht="15.75" customHeight="1" x14ac:dyDescent="0.35">
      <c r="A128" s="209" t="s">
        <v>244</v>
      </c>
      <c r="B128" s="62" t="s">
        <v>246</v>
      </c>
      <c r="C128" s="134">
        <f>COUNT(F171:F180)</f>
        <v>10</v>
      </c>
      <c r="D128" s="135"/>
      <c r="E128" s="134">
        <f>SUM(F171:F180)</f>
        <v>4370.8298400000003</v>
      </c>
      <c r="F128" s="135"/>
      <c r="G128" s="134">
        <f>SUM(H171:H180)</f>
        <v>6774.7862519999999</v>
      </c>
      <c r="H128" s="135"/>
      <c r="R128"/>
      <c r="S128" s="54"/>
      <c r="T128"/>
      <c r="U128" s="54"/>
      <c r="V128" s="54"/>
    </row>
    <row r="129" spans="1:22" s="53" customFormat="1" ht="15.75" customHeight="1" x14ac:dyDescent="0.35">
      <c r="A129" s="208" t="s">
        <v>247</v>
      </c>
      <c r="B129" s="62" t="s">
        <v>245</v>
      </c>
      <c r="C129" s="134">
        <f>COUNT(F184:F191)</f>
        <v>8</v>
      </c>
      <c r="D129" s="135"/>
      <c r="E129" s="134">
        <f>SUM(F184:F191)</f>
        <v>4004.5309200000002</v>
      </c>
      <c r="F129" s="135"/>
      <c r="G129" s="134">
        <f>SUM(H184:H191)</f>
        <v>6207.0229259999996</v>
      </c>
      <c r="H129" s="135"/>
      <c r="R129"/>
      <c r="S129" s="54"/>
      <c r="T129"/>
      <c r="U129" s="54"/>
      <c r="V129" s="54"/>
    </row>
    <row r="130" spans="1:22" s="53" customFormat="1" x14ac:dyDescent="0.35">
      <c r="A130" s="209"/>
      <c r="B130" s="62" t="s">
        <v>246</v>
      </c>
      <c r="C130" s="134">
        <f>COUNT(F192:F195)</f>
        <v>4</v>
      </c>
      <c r="D130" s="135"/>
      <c r="E130" s="134">
        <f>SUM(F192:F195)</f>
        <v>488.79323999999997</v>
      </c>
      <c r="F130" s="135"/>
      <c r="G130" s="134">
        <f>SUM(H192:H195)</f>
        <v>757.62952199999995</v>
      </c>
      <c r="H130" s="135"/>
      <c r="R130"/>
      <c r="S130" s="54"/>
      <c r="T130"/>
      <c r="U130" s="54"/>
      <c r="V130" s="54"/>
    </row>
    <row r="131" spans="1:22" s="53" customFormat="1" x14ac:dyDescent="0.35">
      <c r="A131" s="159" t="s">
        <v>156</v>
      </c>
      <c r="B131" s="159"/>
      <c r="C131" s="198">
        <f>SUM(C127:C130)</f>
        <v>30</v>
      </c>
      <c r="D131" s="195"/>
      <c r="E131" s="199">
        <f>SUM(E127:E130)</f>
        <v>10075.53456</v>
      </c>
      <c r="F131" s="196"/>
      <c r="G131" s="194">
        <f>SUM(G127:G130)</f>
        <v>15617.078567999999</v>
      </c>
      <c r="H131" s="194"/>
      <c r="R131"/>
      <c r="S131" s="54"/>
      <c r="T131"/>
      <c r="U131" s="54"/>
      <c r="V131" s="54"/>
    </row>
    <row r="132" spans="1:22" s="53" customFormat="1" x14ac:dyDescent="0.35">
      <c r="A132" s="159" t="s">
        <v>251</v>
      </c>
      <c r="B132" s="159"/>
      <c r="C132" s="159"/>
      <c r="D132" s="159"/>
      <c r="E132" s="159"/>
      <c r="F132" s="159"/>
      <c r="G132" s="159"/>
      <c r="H132" s="159"/>
      <c r="T132"/>
    </row>
    <row r="133" spans="1:22" s="53" customFormat="1" ht="15.75" customHeight="1" x14ac:dyDescent="0.35">
      <c r="A133" s="194" t="s">
        <v>55</v>
      </c>
      <c r="B133" s="194"/>
      <c r="C133" s="195" t="s">
        <v>78</v>
      </c>
      <c r="D133" s="195"/>
      <c r="E133" s="196" t="s">
        <v>56</v>
      </c>
      <c r="F133" s="196"/>
      <c r="G133" s="194" t="s">
        <v>57</v>
      </c>
      <c r="H133" s="194"/>
      <c r="T133"/>
    </row>
    <row r="134" spans="1:22" s="53" customFormat="1" x14ac:dyDescent="0.35">
      <c r="A134" s="197" t="s">
        <v>206</v>
      </c>
      <c r="B134" s="197"/>
      <c r="C134" s="134">
        <f>COUNT(F280:F289)</f>
        <v>10</v>
      </c>
      <c r="D134" s="135"/>
      <c r="E134" s="134">
        <f>SUM(F280:F289)</f>
        <v>3711.4271999999987</v>
      </c>
      <c r="F134" s="135"/>
      <c r="G134" s="134">
        <f>SUM(H280:H289)</f>
        <v>5567.1407999999983</v>
      </c>
      <c r="H134" s="135"/>
      <c r="T134"/>
    </row>
    <row r="135" spans="1:22" s="53" customFormat="1" x14ac:dyDescent="0.35">
      <c r="A135" s="197" t="s">
        <v>226</v>
      </c>
      <c r="B135" s="197"/>
      <c r="C135" s="134">
        <f>COUNT(F296:F305)+COUNT(F308:F321)*17+COUNT(F323:F326,F331:F336)*2+COUNT(F338:F342,F345:F351)</f>
        <v>280</v>
      </c>
      <c r="D135" s="134"/>
      <c r="E135" s="134">
        <f>SUM(F296:F305)+SUM(F308:F321)*17+SUM(F323:F326,F331:F336)*2+SUM(F338:F342,F345:F351)</f>
        <v>87055.787519999998</v>
      </c>
      <c r="F135" s="134"/>
      <c r="G135" s="134">
        <f>SUM(H296:H305)+SUM(H308:H321)*17+SUM(H323:H326,H331:H336)*2+SUM(H338:H342,H345:H351)</f>
        <v>130583.68127999999</v>
      </c>
      <c r="H135" s="134"/>
      <c r="T135"/>
    </row>
    <row r="136" spans="1:22" s="53" customFormat="1" x14ac:dyDescent="0.35">
      <c r="A136" s="197" t="s">
        <v>239</v>
      </c>
      <c r="B136" s="197"/>
      <c r="C136" s="134">
        <f>COUNT(F355:F360)+COUNT(F362:F367)*18+COUNT(F371:F374)*2+COUNT(F377:F381)</f>
        <v>127</v>
      </c>
      <c r="D136" s="134"/>
      <c r="E136" s="134">
        <f>SUM(F355:F360)+SUM(F362:F367)*18+SUM(F371:F374)*2+SUM(F377:F381)</f>
        <v>40770.049319999991</v>
      </c>
      <c r="F136" s="134"/>
      <c r="G136" s="134">
        <f>SUM(H355:H360)+SUM(H362:H367)*18+SUM(H371:H374)*2+SUM(H377:H381)</f>
        <v>61155.073979999986</v>
      </c>
      <c r="H136" s="134"/>
      <c r="T136"/>
    </row>
    <row r="137" spans="1:22" s="53" customFormat="1" x14ac:dyDescent="0.35">
      <c r="A137" s="197" t="s">
        <v>241</v>
      </c>
      <c r="B137" s="197"/>
      <c r="C137" s="134">
        <f>COUNT(F384:F387,F389)+COUNT(F391:F396)*18+COUNT(F398:F400,F402:F403)*2+COUNT(F405:F407,F409:F410)</f>
        <v>128</v>
      </c>
      <c r="D137" s="134"/>
      <c r="E137" s="134">
        <f>SUM(F384:F387,F389)+SUM(F391:F396)*18+SUM(F398:F400,F402:F403)*2+SUM(F405:F407,F409:F410)</f>
        <v>35952.836399999993</v>
      </c>
      <c r="F137" s="134"/>
      <c r="G137" s="134">
        <f>SUM(H384:H387,H389)+SUM(H391:H396)*18+SUM(H398:H400,H402:H403)*2+SUM(H405:H407,H409:H410)</f>
        <v>53929.2546</v>
      </c>
      <c r="H137" s="134"/>
      <c r="T137"/>
    </row>
    <row r="138" spans="1:22" s="53" customFormat="1" x14ac:dyDescent="0.35">
      <c r="A138" s="213" t="s">
        <v>156</v>
      </c>
      <c r="B138" s="213"/>
      <c r="C138" s="214">
        <f>SUM(C134:C137)</f>
        <v>545</v>
      </c>
      <c r="D138" s="215"/>
      <c r="E138" s="216">
        <f>SUM(E134:E137)</f>
        <v>167490.10043999998</v>
      </c>
      <c r="F138" s="217"/>
      <c r="G138" s="218">
        <f>SUM(G134:G137)</f>
        <v>251235.15065999998</v>
      </c>
      <c r="H138" s="218"/>
      <c r="T138"/>
    </row>
    <row r="139" spans="1:22" s="53" customFormat="1" ht="15.75" customHeight="1" x14ac:dyDescent="0.35">
      <c r="A139" s="159" t="s">
        <v>249</v>
      </c>
      <c r="B139" s="159"/>
      <c r="C139" s="159"/>
      <c r="D139" s="159"/>
      <c r="E139" s="159"/>
      <c r="F139" s="159"/>
      <c r="G139" s="159"/>
      <c r="H139" s="159"/>
      <c r="R139"/>
      <c r="S139" s="54"/>
      <c r="T139"/>
      <c r="U139"/>
      <c r="V139" s="54"/>
    </row>
    <row r="140" spans="1:22" s="53" customFormat="1" ht="15.75" customHeight="1" x14ac:dyDescent="0.35">
      <c r="A140" s="194" t="s">
        <v>55</v>
      </c>
      <c r="B140" s="194"/>
      <c r="C140" s="195" t="s">
        <v>78</v>
      </c>
      <c r="D140" s="195"/>
      <c r="E140" s="196" t="s">
        <v>56</v>
      </c>
      <c r="F140" s="196"/>
      <c r="G140" s="194" t="s">
        <v>57</v>
      </c>
      <c r="H140" s="194"/>
      <c r="R140"/>
      <c r="S140" s="54"/>
      <c r="T140"/>
      <c r="U140" s="54"/>
      <c r="V140" s="54"/>
    </row>
    <row r="141" spans="1:22" s="53" customFormat="1" x14ac:dyDescent="0.35">
      <c r="A141" s="197" t="s">
        <v>259</v>
      </c>
      <c r="B141" s="197"/>
      <c r="C141" s="134">
        <f>COUNT(F164:F168)</f>
        <v>5</v>
      </c>
      <c r="D141" s="135"/>
      <c r="E141" s="134">
        <f>SUM(F164:F168)</f>
        <v>502.78643999999997</v>
      </c>
      <c r="F141" s="135"/>
      <c r="G141" s="134">
        <f>SUM(H164:H168)</f>
        <v>779.31898199999989</v>
      </c>
      <c r="H141" s="135"/>
      <c r="R141"/>
      <c r="S141" s="54"/>
      <c r="T141"/>
      <c r="U141" s="54"/>
      <c r="V141" s="54"/>
    </row>
    <row r="142" spans="1:22" s="53" customFormat="1" x14ac:dyDescent="0.35">
      <c r="A142" s="159" t="s">
        <v>156</v>
      </c>
      <c r="B142" s="159"/>
      <c r="C142" s="198">
        <f>SUM(C141)</f>
        <v>5</v>
      </c>
      <c r="D142" s="195"/>
      <c r="E142" s="199">
        <f>SUM(E141)</f>
        <v>502.78643999999997</v>
      </c>
      <c r="F142" s="196"/>
      <c r="G142" s="194">
        <f>SUM(G141)</f>
        <v>779.31898199999989</v>
      </c>
      <c r="H142" s="194"/>
      <c r="R142"/>
      <c r="S142" s="54"/>
      <c r="T142"/>
      <c r="U142" s="54"/>
      <c r="V142" s="54"/>
    </row>
    <row r="143" spans="1:22" s="53" customFormat="1" x14ac:dyDescent="0.35">
      <c r="A143" s="159" t="s">
        <v>250</v>
      </c>
      <c r="B143" s="159"/>
      <c r="C143" s="159"/>
      <c r="D143" s="159"/>
      <c r="E143" s="159"/>
      <c r="F143" s="159"/>
      <c r="G143" s="159"/>
      <c r="H143" s="159"/>
      <c r="T143"/>
    </row>
    <row r="144" spans="1:22" s="53" customFormat="1" ht="15.75" customHeight="1" x14ac:dyDescent="0.35">
      <c r="A144" s="194" t="s">
        <v>55</v>
      </c>
      <c r="B144" s="194"/>
      <c r="C144" s="195" t="s">
        <v>78</v>
      </c>
      <c r="D144" s="195"/>
      <c r="E144" s="196" t="s">
        <v>56</v>
      </c>
      <c r="F144" s="196"/>
      <c r="G144" s="194" t="s">
        <v>57</v>
      </c>
      <c r="H144" s="194"/>
      <c r="T144"/>
    </row>
    <row r="145" spans="1:20" s="53" customFormat="1" x14ac:dyDescent="0.35">
      <c r="A145" s="197" t="s">
        <v>206</v>
      </c>
      <c r="B145" s="197"/>
      <c r="C145" s="134">
        <f>COUNT(F216:F223,F228:F229)+COUNT(F231:F244)*17+COUNT(F246:F255)*2+COUNT(F261:F270,F272:F274)+COUNT(F276:F279)</f>
        <v>285</v>
      </c>
      <c r="D145" s="134"/>
      <c r="E145" s="134">
        <f>SUM(F216:F223,F228:F229)+SUM(F231:F244)*17+SUM(F246:F255)*2+SUM(F261:F270,F272:F274)+SUM(F276:F279)</f>
        <v>105775.67519999998</v>
      </c>
      <c r="F145" s="134"/>
      <c r="G145" s="134">
        <f>SUM(H216:H223,H228:H229)+SUM(H231:H244)*17+SUM(H246:H255)*2+SUM(H261:H270,H272:H274)+SUM(H276:H279)</f>
        <v>158663.51279999994</v>
      </c>
      <c r="H145" s="134"/>
      <c r="T145"/>
    </row>
    <row r="146" spans="1:20" s="53" customFormat="1" x14ac:dyDescent="0.35">
      <c r="A146" s="159" t="s">
        <v>156</v>
      </c>
      <c r="B146" s="159"/>
      <c r="C146" s="198">
        <f>SUM(C145)</f>
        <v>285</v>
      </c>
      <c r="D146" s="195"/>
      <c r="E146" s="199">
        <f>SUM(E145)</f>
        <v>105775.67519999998</v>
      </c>
      <c r="F146" s="196"/>
      <c r="G146" s="194">
        <f>SUM(G145)</f>
        <v>158663.51279999994</v>
      </c>
      <c r="H146" s="194"/>
      <c r="T146"/>
    </row>
    <row r="147" spans="1:20" s="53" customFormat="1" x14ac:dyDescent="0.35">
      <c r="A147" s="159" t="s">
        <v>202</v>
      </c>
      <c r="B147" s="159"/>
      <c r="C147" s="195">
        <f>C131+C138+C142+C146</f>
        <v>865</v>
      </c>
      <c r="D147" s="195"/>
      <c r="E147" s="198">
        <f t="shared" ref="E147" si="0">E131+E138+E142+E146</f>
        <v>283844.09663999995</v>
      </c>
      <c r="F147" s="198"/>
      <c r="G147" s="198">
        <f>G131+G138+G142+G146</f>
        <v>426295.06100999995</v>
      </c>
      <c r="H147" s="195"/>
      <c r="T147"/>
    </row>
    <row r="148" spans="1:20" s="55" customFormat="1" x14ac:dyDescent="0.35">
      <c r="A148" s="201" t="s">
        <v>58</v>
      </c>
      <c r="B148" s="201"/>
      <c r="C148" s="201"/>
      <c r="D148" s="201"/>
      <c r="E148" s="201"/>
      <c r="F148" s="201"/>
      <c r="G148" s="201"/>
      <c r="H148" s="201"/>
      <c r="T148" s="53"/>
    </row>
    <row r="149" spans="1:20" s="54" customFormat="1" x14ac:dyDescent="0.35">
      <c r="A149" s="202" t="s">
        <v>203</v>
      </c>
      <c r="B149" s="202"/>
      <c r="C149" s="202"/>
      <c r="D149" s="202"/>
      <c r="E149" s="202"/>
      <c r="F149" s="202"/>
      <c r="G149" s="202"/>
      <c r="H149" s="202"/>
      <c r="T149" s="53"/>
    </row>
    <row r="150" spans="1:20" s="54" customFormat="1" ht="47.25" customHeight="1" x14ac:dyDescent="0.35">
      <c r="A150" s="203" t="s">
        <v>122</v>
      </c>
      <c r="B150" s="203" t="s">
        <v>220</v>
      </c>
      <c r="C150" s="203" t="s">
        <v>59</v>
      </c>
      <c r="D150" s="203" t="s">
        <v>204</v>
      </c>
      <c r="E150" s="204" t="s">
        <v>161</v>
      </c>
      <c r="F150" s="203" t="s">
        <v>60</v>
      </c>
      <c r="G150" s="204" t="s">
        <v>61</v>
      </c>
      <c r="H150" s="77" t="s">
        <v>154</v>
      </c>
      <c r="T150" s="53"/>
    </row>
    <row r="151" spans="1:20" s="57" customFormat="1" x14ac:dyDescent="0.35">
      <c r="A151" s="203"/>
      <c r="B151" s="203"/>
      <c r="C151" s="203"/>
      <c r="D151" s="203"/>
      <c r="E151" s="204"/>
      <c r="F151" s="203"/>
      <c r="G151" s="204"/>
      <c r="H151" s="78">
        <v>0.55000000000000004</v>
      </c>
      <c r="T151" s="53"/>
    </row>
    <row r="152" spans="1:20" s="70" customFormat="1" x14ac:dyDescent="0.35">
      <c r="A152" s="82" t="s">
        <v>262</v>
      </c>
      <c r="B152" s="83"/>
      <c r="C152" s="83"/>
      <c r="D152" s="83"/>
      <c r="E152" s="83"/>
      <c r="F152" s="83"/>
      <c r="G152" s="83"/>
      <c r="H152" s="84"/>
      <c r="J152" s="58"/>
    </row>
    <row r="153" spans="1:20" s="57" customFormat="1" x14ac:dyDescent="0.35">
      <c r="A153" s="82" t="s">
        <v>226</v>
      </c>
      <c r="B153" s="83"/>
      <c r="C153" s="83"/>
      <c r="D153" s="83"/>
      <c r="E153" s="83"/>
      <c r="F153" s="83"/>
      <c r="G153" s="83"/>
      <c r="H153" s="84"/>
      <c r="J153" s="58"/>
    </row>
    <row r="154" spans="1:20" s="57" customFormat="1" x14ac:dyDescent="0.35">
      <c r="A154" s="82" t="s">
        <v>207</v>
      </c>
      <c r="B154" s="83"/>
      <c r="C154" s="83"/>
      <c r="D154" s="83"/>
      <c r="E154" s="83"/>
      <c r="F154" s="83"/>
      <c r="G154" s="83"/>
      <c r="H154" s="84"/>
      <c r="J154" s="58"/>
    </row>
    <row r="155" spans="1:20" s="57" customFormat="1" ht="15.75" customHeight="1" x14ac:dyDescent="0.35">
      <c r="A155" s="82" t="s">
        <v>237</v>
      </c>
      <c r="B155" s="83"/>
      <c r="C155" s="83"/>
      <c r="D155" s="83"/>
      <c r="E155" s="83"/>
      <c r="F155" s="83"/>
      <c r="G155" s="83"/>
      <c r="H155" s="84"/>
      <c r="J155" s="58"/>
      <c r="T155" s="53"/>
    </row>
    <row r="156" spans="1:20" s="57" customFormat="1" ht="15.75" customHeight="1" x14ac:dyDescent="0.35">
      <c r="A156" s="59">
        <v>1</v>
      </c>
      <c r="B156" s="59" t="s">
        <v>224</v>
      </c>
      <c r="C156" s="59" t="s">
        <v>225</v>
      </c>
      <c r="D156" s="64">
        <f>(7.62)*(10.764)</f>
        <v>82.021679999999989</v>
      </c>
      <c r="E156" s="59">
        <v>0</v>
      </c>
      <c r="F156" s="59">
        <f>D156+(IF(E156&lt;201,E156,IF(E156&lt;301,E156/2,E156/3)))</f>
        <v>82.021679999999989</v>
      </c>
      <c r="G156" s="52">
        <v>0</v>
      </c>
      <c r="H156" s="59">
        <f>(F156+(IF(G156&lt;101,G156,IF(G156&lt;201,G156/2,IF(G156&lt;=301,G156/3,G156/4)))))*(($H$151)+1)</f>
        <v>127.13360399999999</v>
      </c>
      <c r="I156" s="58"/>
      <c r="K156" s="64">
        <f>10.764</f>
        <v>10.763999999999999</v>
      </c>
      <c r="L156" s="90"/>
      <c r="M156" s="90"/>
      <c r="N156" s="58"/>
      <c r="T156" s="53"/>
    </row>
    <row r="157" spans="1:20" s="57" customFormat="1" ht="15.75" customHeight="1" x14ac:dyDescent="0.35">
      <c r="A157" s="59">
        <f t="shared" ref="A157:A163" si="1">A156+1</f>
        <v>2</v>
      </c>
      <c r="B157" s="59" t="s">
        <v>224</v>
      </c>
      <c r="C157" s="59" t="s">
        <v>225</v>
      </c>
      <c r="D157" s="64">
        <f>(12.7)*(10.764)</f>
        <v>136.7028</v>
      </c>
      <c r="E157" s="59">
        <v>0</v>
      </c>
      <c r="F157" s="59">
        <f t="shared" ref="F157:F159" si="2">D157+(IF(E157&lt;201,E157,IF(E157&lt;301,E157/2,E157/3)))</f>
        <v>136.7028</v>
      </c>
      <c r="G157" s="59">
        <v>0</v>
      </c>
      <c r="H157" s="59">
        <f t="shared" ref="H157" si="3">(F157+(IF(G157&lt;101,G157,IF(G157&lt;201,G157/2,IF(G157&lt;=301,G157/3,G157/4)))))*(($H$151)+1)</f>
        <v>211.88934</v>
      </c>
      <c r="I157" s="58"/>
      <c r="L157" s="90"/>
      <c r="M157" s="90"/>
      <c r="N157" s="58"/>
      <c r="T157" s="55"/>
    </row>
    <row r="158" spans="1:20" s="57" customFormat="1" ht="15.75" customHeight="1" x14ac:dyDescent="0.35">
      <c r="A158" s="59">
        <f t="shared" si="1"/>
        <v>3</v>
      </c>
      <c r="B158" s="59" t="s">
        <v>224</v>
      </c>
      <c r="C158" s="59" t="s">
        <v>225</v>
      </c>
      <c r="D158" s="64">
        <f>(10.3)*(10.764)</f>
        <v>110.86920000000001</v>
      </c>
      <c r="E158" s="59">
        <v>0</v>
      </c>
      <c r="F158" s="59">
        <f t="shared" si="2"/>
        <v>110.86920000000001</v>
      </c>
      <c r="G158" s="59">
        <v>0</v>
      </c>
      <c r="H158" s="59">
        <f>(F158+(IF(G158&lt;101,G158,IF(G158&lt;201,G158/2,IF(G158&lt;=301,G158/3,G158/4)))))*(($H$151)+1)</f>
        <v>171.84726000000001</v>
      </c>
      <c r="I158" s="58"/>
      <c r="L158" s="90"/>
      <c r="M158" s="90"/>
      <c r="N158" s="58"/>
      <c r="T158" s="54"/>
    </row>
    <row r="159" spans="1:20" s="57" customFormat="1" ht="15.75" customHeight="1" x14ac:dyDescent="0.35">
      <c r="A159" s="59">
        <f t="shared" si="1"/>
        <v>4</v>
      </c>
      <c r="B159" s="59" t="s">
        <v>224</v>
      </c>
      <c r="C159" s="59" t="s">
        <v>225</v>
      </c>
      <c r="D159" s="64">
        <f>(11.64)*(10.764)</f>
        <v>125.29295999999999</v>
      </c>
      <c r="E159" s="59">
        <v>0</v>
      </c>
      <c r="F159" s="59">
        <f t="shared" si="2"/>
        <v>125.29295999999999</v>
      </c>
      <c r="G159" s="59">
        <v>0</v>
      </c>
      <c r="H159" s="59">
        <f>(F159+(IF(G159&lt;101,G159,IF(G159&lt;201,G159/2,IF(G159&lt;=301,G159/3,G159/4)))))*(($H$151)+1)</f>
        <v>194.20408799999998</v>
      </c>
      <c r="I159" s="58"/>
      <c r="L159" s="90"/>
      <c r="M159" s="90"/>
      <c r="N159" s="58"/>
      <c r="T159" s="54"/>
    </row>
    <row r="160" spans="1:20" s="57" customFormat="1" ht="15.75" customHeight="1" x14ac:dyDescent="0.35">
      <c r="A160" s="59">
        <f t="shared" si="1"/>
        <v>5</v>
      </c>
      <c r="B160" s="59" t="s">
        <v>224</v>
      </c>
      <c r="C160" s="59" t="s">
        <v>225</v>
      </c>
      <c r="D160" s="64">
        <f>(12.7)*(10.764)</f>
        <v>136.7028</v>
      </c>
      <c r="E160" s="59">
        <v>0</v>
      </c>
      <c r="F160" s="59">
        <f t="shared" ref="F160:F165" si="4">D160+(IF(E160&lt;201,E160,IF(E160&lt;301,E160/2,E160/3)))</f>
        <v>136.7028</v>
      </c>
      <c r="G160" s="59">
        <v>0</v>
      </c>
      <c r="H160" s="59">
        <f t="shared" ref="H160" si="5">(F160+(IF(G160&lt;101,G160,IF(G160&lt;201,G160/2,IF(G160&lt;=301,G160/3,G160/4)))))*(($H$151)+1)</f>
        <v>211.88934</v>
      </c>
      <c r="I160" s="58"/>
      <c r="L160" s="90"/>
      <c r="M160" s="90"/>
      <c r="N160" s="58"/>
      <c r="T160" s="55"/>
    </row>
    <row r="161" spans="1:20" s="57" customFormat="1" ht="15.75" customHeight="1" x14ac:dyDescent="0.35">
      <c r="A161" s="59">
        <f t="shared" si="1"/>
        <v>6</v>
      </c>
      <c r="B161" s="59" t="s">
        <v>224</v>
      </c>
      <c r="C161" s="59" t="s">
        <v>225</v>
      </c>
      <c r="D161" s="64">
        <f>(12.7)*(10.764)</f>
        <v>136.7028</v>
      </c>
      <c r="E161" s="59">
        <v>0</v>
      </c>
      <c r="F161" s="59">
        <f t="shared" si="4"/>
        <v>136.7028</v>
      </c>
      <c r="G161" s="59">
        <v>0</v>
      </c>
      <c r="H161" s="59">
        <f>(F161+(IF(G161&lt;101,G161,IF(G161&lt;201,G161/2,IF(G161&lt;=301,G161/3,G161/4)))))*(($H$151)+1)</f>
        <v>211.88934</v>
      </c>
      <c r="I161" s="58"/>
      <c r="L161" s="90"/>
      <c r="M161" s="90"/>
      <c r="N161" s="58"/>
      <c r="T161" s="54"/>
    </row>
    <row r="162" spans="1:20" s="57" customFormat="1" ht="15.75" customHeight="1" x14ac:dyDescent="0.35">
      <c r="A162" s="59">
        <f t="shared" si="1"/>
        <v>7</v>
      </c>
      <c r="B162" s="59" t="s">
        <v>224</v>
      </c>
      <c r="C162" s="59" t="s">
        <v>225</v>
      </c>
      <c r="D162" s="64">
        <f>(14.9)*(10.764)</f>
        <v>160.3836</v>
      </c>
      <c r="E162" s="59">
        <v>0</v>
      </c>
      <c r="F162" s="59">
        <f t="shared" si="4"/>
        <v>160.3836</v>
      </c>
      <c r="G162" s="59">
        <v>0</v>
      </c>
      <c r="H162" s="59">
        <f>(F162+(IF(G162&lt;101,G162,IF(G162&lt;201,G162/2,IF(G162&lt;=301,G162/3,G162/4)))))*(($H$151)+1)</f>
        <v>248.59458000000001</v>
      </c>
      <c r="I162" s="58"/>
      <c r="L162" s="90"/>
      <c r="M162" s="90"/>
      <c r="N162" s="58"/>
      <c r="T162" s="54"/>
    </row>
    <row r="163" spans="1:20" s="57" customFormat="1" ht="15.75" customHeight="1" x14ac:dyDescent="0.35">
      <c r="A163" s="59">
        <f t="shared" si="1"/>
        <v>8</v>
      </c>
      <c r="B163" s="59" t="s">
        <v>224</v>
      </c>
      <c r="C163" s="59" t="s">
        <v>225</v>
      </c>
      <c r="D163" s="64">
        <f>(29.98)*(10.764)</f>
        <v>322.70472000000001</v>
      </c>
      <c r="E163" s="59">
        <v>0</v>
      </c>
      <c r="F163" s="59">
        <f t="shared" si="4"/>
        <v>322.70472000000001</v>
      </c>
      <c r="G163" s="59">
        <v>0</v>
      </c>
      <c r="H163" s="59">
        <f t="shared" ref="H163" si="6">(F163+(IF(G163&lt;101,G163,IF(G163&lt;201,G163/2,IF(G163&lt;=301,G163/3,G163/4)))))*(($H$151)+1)</f>
        <v>500.19231600000001</v>
      </c>
      <c r="I163" s="58"/>
      <c r="L163" s="90"/>
      <c r="M163" s="90"/>
      <c r="N163" s="58"/>
      <c r="T163" s="55"/>
    </row>
    <row r="164" spans="1:20" s="57" customFormat="1" ht="15.75" customHeight="1" x14ac:dyDescent="0.35">
      <c r="A164" s="59">
        <v>1</v>
      </c>
      <c r="B164" s="59" t="s">
        <v>221</v>
      </c>
      <c r="C164" s="59" t="s">
        <v>225</v>
      </c>
      <c r="D164" s="64">
        <f>(12.09)*(10.764)</f>
        <v>130.13675999999998</v>
      </c>
      <c r="E164" s="59">
        <v>0</v>
      </c>
      <c r="F164" s="59">
        <f t="shared" si="4"/>
        <v>130.13675999999998</v>
      </c>
      <c r="G164" s="59">
        <v>0</v>
      </c>
      <c r="H164" s="59">
        <f>(F164+(IF(G164&lt;101,G164,IF(G164&lt;201,G164/2,IF(G164&lt;=301,G164/3,G164/4)))))*(($H$151)+1)</f>
        <v>201.71197799999999</v>
      </c>
      <c r="I164" s="58"/>
      <c r="L164" s="90"/>
      <c r="M164" s="90"/>
      <c r="N164" s="58"/>
      <c r="T164" s="54"/>
    </row>
    <row r="165" spans="1:20" s="57" customFormat="1" ht="15.75" customHeight="1" x14ac:dyDescent="0.35">
      <c r="A165" s="59">
        <f>A164+1</f>
        <v>2</v>
      </c>
      <c r="B165" s="59" t="s">
        <v>221</v>
      </c>
      <c r="C165" s="59" t="s">
        <v>225</v>
      </c>
      <c r="D165" s="64">
        <f>(8.58)*(10.764)</f>
        <v>92.355119999999999</v>
      </c>
      <c r="E165" s="59">
        <v>0</v>
      </c>
      <c r="F165" s="59">
        <f t="shared" si="4"/>
        <v>92.355119999999999</v>
      </c>
      <c r="G165" s="59">
        <v>0</v>
      </c>
      <c r="H165" s="59">
        <f>(F165+(IF(G165&lt;101,G165,IF(G165&lt;201,G165/2,IF(G165&lt;=301,G165/3,G165/4)))))*(($H$151)+1)</f>
        <v>143.15043600000001</v>
      </c>
      <c r="I165" s="58"/>
      <c r="L165" s="90"/>
      <c r="M165" s="90"/>
      <c r="N165" s="58"/>
      <c r="T165" s="54"/>
    </row>
    <row r="166" spans="1:20" s="57" customFormat="1" ht="15.75" customHeight="1" x14ac:dyDescent="0.35">
      <c r="A166" s="59">
        <f>A165+1</f>
        <v>3</v>
      </c>
      <c r="B166" s="59" t="s">
        <v>221</v>
      </c>
      <c r="C166" s="59" t="s">
        <v>225</v>
      </c>
      <c r="D166" s="64">
        <f>(11.39)*(10.764)</f>
        <v>122.60196000000001</v>
      </c>
      <c r="E166" s="59">
        <v>0</v>
      </c>
      <c r="F166" s="59">
        <f t="shared" ref="F166:F168" si="7">D166+(IF(E166&lt;201,E166,IF(E166&lt;301,E166/2,E166/3)))</f>
        <v>122.60196000000001</v>
      </c>
      <c r="G166" s="59">
        <v>0</v>
      </c>
      <c r="H166" s="59">
        <f t="shared" ref="H166" si="8">(F166+(IF(G166&lt;101,G166,IF(G166&lt;201,G166/2,IF(G166&lt;=301,G166/3,G166/4)))))*(($H$151)+1)</f>
        <v>190.033038</v>
      </c>
      <c r="I166" s="58"/>
      <c r="L166" s="90"/>
      <c r="M166" s="90"/>
      <c r="N166" s="58"/>
      <c r="T166" s="55"/>
    </row>
    <row r="167" spans="1:20" s="57" customFormat="1" ht="15.75" customHeight="1" x14ac:dyDescent="0.35">
      <c r="A167" s="59">
        <f>A166+1</f>
        <v>4</v>
      </c>
      <c r="B167" s="59" t="s">
        <v>221</v>
      </c>
      <c r="C167" s="59" t="s">
        <v>225</v>
      </c>
      <c r="D167" s="64">
        <f>(8.6)*(10.764)</f>
        <v>92.570399999999992</v>
      </c>
      <c r="E167" s="59">
        <v>0</v>
      </c>
      <c r="F167" s="59">
        <f t="shared" si="7"/>
        <v>92.570399999999992</v>
      </c>
      <c r="G167" s="59">
        <v>0</v>
      </c>
      <c r="H167" s="59">
        <f>(F167+(IF(G167&lt;101,G167,IF(G167&lt;201,G167/2,IF(G167&lt;=301,G167/3,G167/4)))))*(($H$151)+1)</f>
        <v>143.48411999999999</v>
      </c>
      <c r="I167" s="58"/>
      <c r="L167" s="90"/>
      <c r="M167" s="90"/>
      <c r="N167" s="58"/>
      <c r="T167" s="54"/>
    </row>
    <row r="168" spans="1:20" s="57" customFormat="1" ht="15.75" customHeight="1" x14ac:dyDescent="0.35">
      <c r="A168" s="59">
        <f>A167+1</f>
        <v>5</v>
      </c>
      <c r="B168" s="59" t="s">
        <v>221</v>
      </c>
      <c r="C168" s="59" t="s">
        <v>225</v>
      </c>
      <c r="D168" s="64">
        <f>(6.05)*(10.764)</f>
        <v>65.122199999999992</v>
      </c>
      <c r="E168" s="59">
        <v>0</v>
      </c>
      <c r="F168" s="59">
        <f t="shared" si="7"/>
        <v>65.122199999999992</v>
      </c>
      <c r="G168" s="59">
        <v>0</v>
      </c>
      <c r="H168" s="59">
        <f>(F168+(IF(G168&lt;101,G168,IF(G168&lt;201,G168/2,IF(G168&lt;=301,G168/3,G168/4)))))*(($H$151)+1)</f>
        <v>100.93941</v>
      </c>
      <c r="I168" s="58"/>
      <c r="L168" s="90"/>
      <c r="M168" s="90"/>
      <c r="N168" s="58"/>
      <c r="T168" s="54"/>
    </row>
    <row r="169" spans="1:20" s="57" customFormat="1" x14ac:dyDescent="0.35">
      <c r="A169" s="82" t="s">
        <v>227</v>
      </c>
      <c r="B169" s="83"/>
      <c r="C169" s="83"/>
      <c r="D169" s="83"/>
      <c r="E169" s="83"/>
      <c r="F169" s="83"/>
      <c r="G169" s="83"/>
      <c r="H169" s="84"/>
      <c r="J169" s="58"/>
      <c r="T169" s="53"/>
    </row>
    <row r="170" spans="1:20" s="60" customFormat="1" ht="15.75" customHeight="1" x14ac:dyDescent="0.35">
      <c r="A170" s="82" t="s">
        <v>228</v>
      </c>
      <c r="B170" s="83"/>
      <c r="C170" s="83"/>
      <c r="D170" s="83"/>
      <c r="E170" s="83"/>
      <c r="F170" s="83"/>
      <c r="G170" s="83"/>
      <c r="H170" s="84"/>
      <c r="I170" s="60" t="s">
        <v>235</v>
      </c>
      <c r="J170" s="58"/>
      <c r="T170" s="53"/>
    </row>
    <row r="171" spans="1:20" s="60" customFormat="1" ht="15.75" customHeight="1" x14ac:dyDescent="0.35">
      <c r="A171" s="61">
        <v>1</v>
      </c>
      <c r="B171" s="68" t="s">
        <v>224</v>
      </c>
      <c r="C171" s="61" t="s">
        <v>229</v>
      </c>
      <c r="D171" s="64">
        <f>(54.24)*(10.764)</f>
        <v>583.83935999999994</v>
      </c>
      <c r="E171" s="61">
        <v>0</v>
      </c>
      <c r="F171" s="61">
        <f>D171+(IF(E171&lt;201,E171,IF(E171&lt;301,E171/2,E171/3)))</f>
        <v>583.83935999999994</v>
      </c>
      <c r="G171" s="52">
        <v>0</v>
      </c>
      <c r="H171" s="61">
        <f>(F171+(IF(G171&lt;101,G171,IF(G171&lt;201,G171/2,IF(G171&lt;=301,G171/3,G171/4)))))*(($H$151)+1)</f>
        <v>904.95100799999989</v>
      </c>
      <c r="I171" s="58"/>
      <c r="L171" s="90"/>
      <c r="M171" s="90"/>
      <c r="N171" s="58"/>
      <c r="T171" s="53"/>
    </row>
    <row r="172" spans="1:20" s="60" customFormat="1" ht="15.75" customHeight="1" x14ac:dyDescent="0.35">
      <c r="A172" s="61">
        <f t="shared" ref="A172:A180" si="9">A171+1</f>
        <v>2</v>
      </c>
      <c r="B172" s="68" t="s">
        <v>224</v>
      </c>
      <c r="C172" s="61" t="s">
        <v>229</v>
      </c>
      <c r="D172" s="64">
        <f>(20.45)*(10.764)</f>
        <v>220.12379999999999</v>
      </c>
      <c r="E172" s="61">
        <v>0</v>
      </c>
      <c r="F172" s="61">
        <f t="shared" ref="F172:F177" si="10">D172+(IF(E172&lt;201,E172,IF(E172&lt;301,E172/2,E172/3)))</f>
        <v>220.12379999999999</v>
      </c>
      <c r="G172" s="61">
        <v>0</v>
      </c>
      <c r="H172" s="61">
        <f t="shared" ref="H172" si="11">(F172+(IF(G172&lt;101,G172,IF(G172&lt;201,G172/2,IF(G172&lt;=301,G172/3,G172/4)))))*(($H$151)+1)</f>
        <v>341.19189</v>
      </c>
      <c r="I172" s="58"/>
      <c r="L172" s="90"/>
      <c r="M172" s="90"/>
      <c r="N172" s="58"/>
      <c r="T172" s="55"/>
    </row>
    <row r="173" spans="1:20" s="60" customFormat="1" ht="15.75" customHeight="1" x14ac:dyDescent="0.35">
      <c r="A173" s="61">
        <f t="shared" si="9"/>
        <v>3</v>
      </c>
      <c r="B173" s="68" t="s">
        <v>224</v>
      </c>
      <c r="C173" s="61" t="s">
        <v>229</v>
      </c>
      <c r="D173" s="64">
        <f>(35.35)*(10.764)</f>
        <v>380.50740000000002</v>
      </c>
      <c r="E173" s="61">
        <v>0</v>
      </c>
      <c r="F173" s="61">
        <f t="shared" si="10"/>
        <v>380.50740000000002</v>
      </c>
      <c r="G173" s="61">
        <v>0</v>
      </c>
      <c r="H173" s="61">
        <f>(F173+(IF(G173&lt;101,G173,IF(G173&lt;201,G173/2,IF(G173&lt;=301,G173/3,G173/4)))))*(($H$151)+1)</f>
        <v>589.78647000000001</v>
      </c>
      <c r="I173" s="58"/>
      <c r="L173" s="90"/>
      <c r="M173" s="90"/>
      <c r="N173" s="58"/>
      <c r="T173" s="54"/>
    </row>
    <row r="174" spans="1:20" s="60" customFormat="1" ht="15.75" customHeight="1" x14ac:dyDescent="0.35">
      <c r="A174" s="61">
        <f t="shared" si="9"/>
        <v>4</v>
      </c>
      <c r="B174" s="68" t="s">
        <v>224</v>
      </c>
      <c r="C174" s="61" t="s">
        <v>229</v>
      </c>
      <c r="D174" s="64">
        <f>(39.03)*(10.764)</f>
        <v>420.11892</v>
      </c>
      <c r="E174" s="61">
        <v>0</v>
      </c>
      <c r="F174" s="61">
        <f t="shared" si="10"/>
        <v>420.11892</v>
      </c>
      <c r="G174" s="61">
        <v>0</v>
      </c>
      <c r="H174" s="61">
        <f>(F174+(IF(G174&lt;101,G174,IF(G174&lt;201,G174/2,IF(G174&lt;=301,G174/3,G174/4)))))*(($H$151)+1)</f>
        <v>651.18432600000006</v>
      </c>
      <c r="I174" s="58"/>
      <c r="L174" s="90"/>
      <c r="M174" s="90"/>
      <c r="N174" s="58"/>
      <c r="T174" s="54"/>
    </row>
    <row r="175" spans="1:20" s="60" customFormat="1" ht="15.75" customHeight="1" x14ac:dyDescent="0.35">
      <c r="A175" s="61">
        <f t="shared" si="9"/>
        <v>5</v>
      </c>
      <c r="B175" s="68" t="s">
        <v>224</v>
      </c>
      <c r="C175" s="61" t="s">
        <v>229</v>
      </c>
      <c r="D175" s="64">
        <f>(34.09)*(10.764)</f>
        <v>366.94476000000003</v>
      </c>
      <c r="E175" s="61">
        <v>0</v>
      </c>
      <c r="F175" s="61">
        <f t="shared" si="10"/>
        <v>366.94476000000003</v>
      </c>
      <c r="G175" s="61">
        <v>0</v>
      </c>
      <c r="H175" s="61">
        <f t="shared" ref="H175" si="12">(F175+(IF(G175&lt;101,G175,IF(G175&lt;201,G175/2,IF(G175&lt;=301,G175/3,G175/4)))))*(($H$151)+1)</f>
        <v>568.76437800000008</v>
      </c>
      <c r="I175" s="58"/>
      <c r="L175" s="90"/>
      <c r="M175" s="90"/>
      <c r="N175" s="58"/>
      <c r="T175" s="55"/>
    </row>
    <row r="176" spans="1:20" s="60" customFormat="1" ht="15.75" customHeight="1" x14ac:dyDescent="0.35">
      <c r="A176" s="61">
        <f t="shared" si="9"/>
        <v>6</v>
      </c>
      <c r="B176" s="68" t="s">
        <v>224</v>
      </c>
      <c r="C176" s="61" t="s">
        <v>229</v>
      </c>
      <c r="D176" s="64">
        <f>(34.09)*(10.764)</f>
        <v>366.94476000000003</v>
      </c>
      <c r="E176" s="61">
        <v>0</v>
      </c>
      <c r="F176" s="61">
        <f t="shared" si="10"/>
        <v>366.94476000000003</v>
      </c>
      <c r="G176" s="61">
        <v>0</v>
      </c>
      <c r="H176" s="61">
        <f>(F176+(IF(G176&lt;101,G176,IF(G176&lt;201,G176/2,IF(G176&lt;=301,G176/3,G176/4)))))*(($H$151)+1)</f>
        <v>568.76437800000008</v>
      </c>
      <c r="I176" s="58"/>
      <c r="L176" s="90"/>
      <c r="M176" s="90"/>
      <c r="N176" s="58"/>
      <c r="T176" s="54"/>
    </row>
    <row r="177" spans="1:20" s="60" customFormat="1" ht="15.75" customHeight="1" x14ac:dyDescent="0.35">
      <c r="A177" s="61">
        <f t="shared" si="9"/>
        <v>7</v>
      </c>
      <c r="B177" s="68" t="s">
        <v>224</v>
      </c>
      <c r="C177" s="61" t="s">
        <v>229</v>
      </c>
      <c r="D177" s="64">
        <f>(34.09)*(10.764)</f>
        <v>366.94476000000003</v>
      </c>
      <c r="E177" s="61">
        <v>0</v>
      </c>
      <c r="F177" s="61">
        <f t="shared" si="10"/>
        <v>366.94476000000003</v>
      </c>
      <c r="G177" s="61">
        <v>0</v>
      </c>
      <c r="H177" s="61">
        <f>(F177+(IF(G177&lt;101,G177,IF(G177&lt;201,G177/2,IF(G177&lt;=301,G177/3,G177/4)))))*(($H$151)+1)</f>
        <v>568.76437800000008</v>
      </c>
      <c r="I177" s="58"/>
      <c r="L177" s="90"/>
      <c r="M177" s="90"/>
      <c r="N177" s="58"/>
      <c r="T177" s="54"/>
    </row>
    <row r="178" spans="1:20" s="60" customFormat="1" ht="15.75" customHeight="1" x14ac:dyDescent="0.35">
      <c r="A178" s="61">
        <f t="shared" si="9"/>
        <v>8</v>
      </c>
      <c r="B178" s="68" t="s">
        <v>224</v>
      </c>
      <c r="C178" s="61" t="s">
        <v>229</v>
      </c>
      <c r="D178" s="64">
        <f>(36.62)*(10.764)</f>
        <v>394.17767999999995</v>
      </c>
      <c r="E178" s="61">
        <v>0</v>
      </c>
      <c r="F178" s="61">
        <f t="shared" ref="F178:F180" si="13">D178+(IF(E178&lt;201,E178,IF(E178&lt;301,E178/2,E178/3)))</f>
        <v>394.17767999999995</v>
      </c>
      <c r="G178" s="61">
        <v>0</v>
      </c>
      <c r="H178" s="61">
        <f t="shared" ref="H178" si="14">(F178+(IF(G178&lt;101,G178,IF(G178&lt;201,G178/2,IF(G178&lt;=301,G178/3,G178/4)))))*(($H$151)+1)</f>
        <v>610.97540399999991</v>
      </c>
      <c r="I178" s="58"/>
      <c r="L178" s="90"/>
      <c r="M178" s="90"/>
      <c r="N178" s="58"/>
      <c r="T178" s="55"/>
    </row>
    <row r="179" spans="1:20" s="60" customFormat="1" ht="15.75" customHeight="1" x14ac:dyDescent="0.35">
      <c r="A179" s="61">
        <f t="shared" si="9"/>
        <v>9</v>
      </c>
      <c r="B179" s="68" t="s">
        <v>224</v>
      </c>
      <c r="C179" s="61" t="s">
        <v>229</v>
      </c>
      <c r="D179" s="64">
        <f>(52.1)*(10.764)</f>
        <v>560.80439999999999</v>
      </c>
      <c r="E179" s="61">
        <v>0</v>
      </c>
      <c r="F179" s="61">
        <f t="shared" si="13"/>
        <v>560.80439999999999</v>
      </c>
      <c r="G179" s="61">
        <v>0</v>
      </c>
      <c r="H179" s="61">
        <f>(F179+(IF(G179&lt;101,G179,IF(G179&lt;201,G179/2,IF(G179&lt;=301,G179/3,G179/4)))))*(($H$151)+1)</f>
        <v>869.24681999999996</v>
      </c>
      <c r="I179" s="58"/>
      <c r="L179" s="90"/>
      <c r="M179" s="90"/>
      <c r="N179" s="58"/>
      <c r="T179" s="54"/>
    </row>
    <row r="180" spans="1:20" s="60" customFormat="1" ht="15.75" customHeight="1" x14ac:dyDescent="0.35">
      <c r="A180" s="61">
        <f t="shared" si="9"/>
        <v>10</v>
      </c>
      <c r="B180" s="68" t="s">
        <v>224</v>
      </c>
      <c r="C180" s="61" t="s">
        <v>229</v>
      </c>
      <c r="D180" s="64">
        <f>(66)*(10.764)</f>
        <v>710.42399999999998</v>
      </c>
      <c r="E180" s="61">
        <v>0</v>
      </c>
      <c r="F180" s="61">
        <f t="shared" si="13"/>
        <v>710.42399999999998</v>
      </c>
      <c r="G180" s="61">
        <v>0</v>
      </c>
      <c r="H180" s="61">
        <f>(F180+(IF(G180&lt;101,G180,IF(G180&lt;201,G180/2,IF(G180&lt;=301,G180/3,G180/4)))))*(($H$151)+1)</f>
        <v>1101.1572000000001</v>
      </c>
      <c r="I180" s="58"/>
      <c r="L180" s="90"/>
      <c r="M180" s="90"/>
      <c r="N180" s="58"/>
      <c r="T180" s="54"/>
    </row>
    <row r="181" spans="1:20" s="70" customFormat="1" x14ac:dyDescent="0.35">
      <c r="A181" s="88" t="s">
        <v>263</v>
      </c>
      <c r="B181" s="88"/>
      <c r="C181" s="88"/>
      <c r="D181" s="88"/>
      <c r="E181" s="88"/>
      <c r="F181" s="88"/>
      <c r="G181" s="88"/>
      <c r="H181" s="88"/>
      <c r="J181" s="58"/>
    </row>
    <row r="182" spans="1:20" s="63" customFormat="1" x14ac:dyDescent="0.35">
      <c r="A182" s="88" t="s">
        <v>236</v>
      </c>
      <c r="B182" s="88"/>
      <c r="C182" s="88"/>
      <c r="D182" s="88"/>
      <c r="E182" s="88"/>
      <c r="F182" s="88"/>
      <c r="G182" s="88"/>
      <c r="H182" s="88"/>
      <c r="J182" s="58"/>
    </row>
    <row r="183" spans="1:20" s="63" customFormat="1" x14ac:dyDescent="0.35">
      <c r="A183" s="88" t="s">
        <v>237</v>
      </c>
      <c r="B183" s="88"/>
      <c r="C183" s="88"/>
      <c r="D183" s="88"/>
      <c r="E183" s="88"/>
      <c r="F183" s="88"/>
      <c r="G183" s="88"/>
      <c r="H183" s="88"/>
      <c r="I183" s="63" t="s">
        <v>234</v>
      </c>
      <c r="J183" s="58"/>
      <c r="T183" s="53"/>
    </row>
    <row r="184" spans="1:20" s="63" customFormat="1" ht="15.75" customHeight="1" x14ac:dyDescent="0.35">
      <c r="A184" s="71">
        <v>9</v>
      </c>
      <c r="B184" s="66" t="s">
        <v>224</v>
      </c>
      <c r="C184" s="71" t="s">
        <v>225</v>
      </c>
      <c r="D184" s="71">
        <f>(17.16)*(10.764)</f>
        <v>184.71024</v>
      </c>
      <c r="E184" s="71">
        <v>0</v>
      </c>
      <c r="F184" s="71">
        <f>D184+(IF(E184&lt;201,E184,IF(E184&lt;301,E184/2,E184/3)))</f>
        <v>184.71024</v>
      </c>
      <c r="G184" s="52">
        <v>0</v>
      </c>
      <c r="H184" s="71">
        <f>(F184+(IF(G184&lt;101,G184,IF(G184&lt;201,G184/2,IF(G184&lt;=301,G184/3,G184/4)))))*(($H$151)+1)</f>
        <v>286.30087200000003</v>
      </c>
      <c r="I184" s="58"/>
      <c r="L184" s="90"/>
      <c r="M184" s="90"/>
      <c r="N184" s="58"/>
      <c r="T184" s="53"/>
    </row>
    <row r="185" spans="1:20" s="63" customFormat="1" ht="15.75" customHeight="1" x14ac:dyDescent="0.35">
      <c r="A185" s="71">
        <f t="shared" ref="A185:A191" si="15">A184+1</f>
        <v>10</v>
      </c>
      <c r="B185" s="66" t="s">
        <v>224</v>
      </c>
      <c r="C185" s="71" t="s">
        <v>225</v>
      </c>
      <c r="D185" s="71">
        <f>(15.75)*(10.764)</f>
        <v>169.53299999999999</v>
      </c>
      <c r="E185" s="71">
        <v>0</v>
      </c>
      <c r="F185" s="71">
        <f t="shared" ref="F185:F187" si="16">D185+(IF(E185&lt;201,E185,IF(E185&lt;301,E185/2,E185/3)))</f>
        <v>169.53299999999999</v>
      </c>
      <c r="G185" s="71">
        <v>0</v>
      </c>
      <c r="H185" s="71">
        <f t="shared" ref="H185" si="17">(F185+(IF(G185&lt;101,G185,IF(G185&lt;201,G185/2,IF(G185&lt;=301,G185/3,G185/4)))))*(($H$151)+1)</f>
        <v>262.77614999999997</v>
      </c>
      <c r="I185" s="58"/>
      <c r="L185" s="90"/>
      <c r="M185" s="90"/>
      <c r="N185" s="58"/>
      <c r="T185" s="55"/>
    </row>
    <row r="186" spans="1:20" s="63" customFormat="1" ht="15.75" customHeight="1" x14ac:dyDescent="0.35">
      <c r="A186" s="71">
        <f t="shared" si="15"/>
        <v>11</v>
      </c>
      <c r="B186" s="66" t="s">
        <v>224</v>
      </c>
      <c r="C186" s="71" t="s">
        <v>225</v>
      </c>
      <c r="D186" s="71">
        <f>(15.73)*(10.764)</f>
        <v>169.31772000000001</v>
      </c>
      <c r="E186" s="71">
        <v>0</v>
      </c>
      <c r="F186" s="71">
        <f t="shared" si="16"/>
        <v>169.31772000000001</v>
      </c>
      <c r="G186" s="71">
        <v>0</v>
      </c>
      <c r="H186" s="71">
        <f>(F186+(IF(G186&lt;101,G186,IF(G186&lt;201,G186/2,IF(G186&lt;=301,G186/3,G186/4)))))*(($H$151)+1)</f>
        <v>262.44246600000002</v>
      </c>
      <c r="I186" s="58"/>
      <c r="L186" s="90"/>
      <c r="M186" s="90"/>
      <c r="N186" s="58"/>
      <c r="T186" s="54"/>
    </row>
    <row r="187" spans="1:20" s="63" customFormat="1" ht="15.75" customHeight="1" x14ac:dyDescent="0.35">
      <c r="A187" s="71">
        <f t="shared" si="15"/>
        <v>12</v>
      </c>
      <c r="B187" s="66" t="s">
        <v>224</v>
      </c>
      <c r="C187" s="71" t="s">
        <v>225</v>
      </c>
      <c r="D187" s="71">
        <f>(18.88)*(10.764)</f>
        <v>203.22431999999998</v>
      </c>
      <c r="E187" s="71">
        <v>0</v>
      </c>
      <c r="F187" s="71">
        <f t="shared" si="16"/>
        <v>203.22431999999998</v>
      </c>
      <c r="G187" s="71">
        <v>0</v>
      </c>
      <c r="H187" s="71">
        <f>(F187+(IF(G187&lt;101,G187,IF(G187&lt;201,G187/2,IF(G187&lt;=301,G187/3,G187/4)))))*(($H$151)+1)</f>
        <v>314.99769599999996</v>
      </c>
      <c r="I187" s="58"/>
      <c r="L187" s="90"/>
      <c r="M187" s="90"/>
      <c r="N187" s="58"/>
      <c r="T187" s="54"/>
    </row>
    <row r="188" spans="1:20" s="63" customFormat="1" ht="48" customHeight="1" x14ac:dyDescent="0.35">
      <c r="A188" s="71">
        <f t="shared" si="15"/>
        <v>13</v>
      </c>
      <c r="B188" s="66" t="s">
        <v>224</v>
      </c>
      <c r="C188" s="71" t="s">
        <v>233</v>
      </c>
      <c r="D188" s="71">
        <f>(260.18)*(10.764)</f>
        <v>2800.5775199999998</v>
      </c>
      <c r="E188" s="71">
        <v>0</v>
      </c>
      <c r="F188" s="71">
        <f t="shared" ref="F188:F190" si="18">D188+(IF(E188&lt;201,E188,IF(E188&lt;301,E188/2,E188/3)))</f>
        <v>2800.5775199999998</v>
      </c>
      <c r="G188" s="71">
        <v>0</v>
      </c>
      <c r="H188" s="71">
        <f t="shared" ref="H188" si="19">(F188+(IF(G188&lt;101,G188,IF(G188&lt;201,G188/2,IF(G188&lt;=301,G188/3,G188/4)))))*(($H$151)+1)</f>
        <v>4340.8951559999996</v>
      </c>
      <c r="I188" s="58"/>
      <c r="L188" s="90"/>
      <c r="M188" s="90"/>
      <c r="N188" s="58"/>
      <c r="T188" s="55"/>
    </row>
    <row r="189" spans="1:20" s="63" customFormat="1" ht="15.75" customHeight="1" x14ac:dyDescent="0.35">
      <c r="A189" s="71">
        <f t="shared" si="15"/>
        <v>14</v>
      </c>
      <c r="B189" s="66" t="s">
        <v>224</v>
      </c>
      <c r="C189" s="71" t="s">
        <v>225</v>
      </c>
      <c r="D189" s="71">
        <f>(15.73)*(10.764)</f>
        <v>169.31772000000001</v>
      </c>
      <c r="E189" s="71">
        <v>0</v>
      </c>
      <c r="F189" s="71">
        <f t="shared" si="18"/>
        <v>169.31772000000001</v>
      </c>
      <c r="G189" s="71">
        <v>0</v>
      </c>
      <c r="H189" s="71">
        <f>(F189+(IF(G189&lt;101,G189,IF(G189&lt;201,G189/2,IF(G189&lt;=301,G189/3,G189/4)))))*(($H$151)+1)</f>
        <v>262.44246600000002</v>
      </c>
      <c r="I189" s="58"/>
      <c r="L189" s="90"/>
      <c r="M189" s="90"/>
      <c r="N189" s="58"/>
      <c r="T189" s="54"/>
    </row>
    <row r="190" spans="1:20" s="63" customFormat="1" ht="15.75" customHeight="1" x14ac:dyDescent="0.35">
      <c r="A190" s="71">
        <f t="shared" si="15"/>
        <v>15</v>
      </c>
      <c r="B190" s="66" t="s">
        <v>224</v>
      </c>
      <c r="C190" s="71" t="s">
        <v>225</v>
      </c>
      <c r="D190" s="71">
        <f>(14.3)*(10.764)</f>
        <v>153.92519999999999</v>
      </c>
      <c r="E190" s="71">
        <v>0</v>
      </c>
      <c r="F190" s="71">
        <f t="shared" si="18"/>
        <v>153.92519999999999</v>
      </c>
      <c r="G190" s="71">
        <v>0</v>
      </c>
      <c r="H190" s="71">
        <f>(F190+(IF(G190&lt;101,G190,IF(G190&lt;201,G190/2,IF(G190&lt;=301,G190/3,G190/4)))))*(($H$151)+1)</f>
        <v>238.58405999999999</v>
      </c>
      <c r="I190" s="58"/>
      <c r="L190" s="90"/>
      <c r="M190" s="90"/>
      <c r="N190" s="58"/>
      <c r="T190" s="54"/>
    </row>
    <row r="191" spans="1:20" s="63" customFormat="1" ht="15.75" customHeight="1" x14ac:dyDescent="0.35">
      <c r="A191" s="64">
        <f t="shared" si="15"/>
        <v>16</v>
      </c>
      <c r="B191" s="66" t="s">
        <v>224</v>
      </c>
      <c r="C191" s="64" t="s">
        <v>225</v>
      </c>
      <c r="D191" s="64">
        <f>(14.3)*(10.764)</f>
        <v>153.92519999999999</v>
      </c>
      <c r="E191" s="64">
        <v>0</v>
      </c>
      <c r="F191" s="64">
        <f t="shared" ref="F191" si="20">D191+(IF(E191&lt;201,E191,IF(E191&lt;301,E191/2,E191/3)))</f>
        <v>153.92519999999999</v>
      </c>
      <c r="G191" s="64">
        <v>0</v>
      </c>
      <c r="H191" s="64">
        <f>(F191+(IF(G191&lt;101,G191,IF(G191&lt;201,G191/2,IF(G191&lt;=301,G191/3,G191/4)))))*(($H$151)+1)</f>
        <v>238.58405999999999</v>
      </c>
      <c r="I191" s="58"/>
      <c r="L191" s="90"/>
      <c r="M191" s="90"/>
      <c r="N191" s="58"/>
      <c r="T191" s="54"/>
    </row>
    <row r="192" spans="1:20" s="63" customFormat="1" ht="15.75" customHeight="1" x14ac:dyDescent="0.35">
      <c r="A192" s="64">
        <v>1</v>
      </c>
      <c r="B192" s="66" t="s">
        <v>224</v>
      </c>
      <c r="C192" s="64" t="s">
        <v>229</v>
      </c>
      <c r="D192" s="64">
        <f>(12.53)*(10.764)</f>
        <v>134.87291999999999</v>
      </c>
      <c r="E192" s="64">
        <v>0</v>
      </c>
      <c r="F192" s="64">
        <f>D192+(IF(E192&lt;201,E192,IF(E192&lt;301,E192/2,E192/3)))</f>
        <v>134.87291999999999</v>
      </c>
      <c r="G192" s="52">
        <v>0</v>
      </c>
      <c r="H192" s="64">
        <f>(F192+(IF(G192&lt;101,G192,IF(G192&lt;201,G192/2,IF(G192&lt;=301,G192/3,G192/4)))))*(($H$151)+1)</f>
        <v>209.05302599999999</v>
      </c>
      <c r="I192" s="58"/>
      <c r="L192" s="90"/>
      <c r="M192" s="90"/>
      <c r="N192" s="58"/>
      <c r="T192" s="53"/>
    </row>
    <row r="193" spans="1:20" s="63" customFormat="1" ht="15.75" customHeight="1" x14ac:dyDescent="0.35">
      <c r="A193" s="64">
        <f>A192+1</f>
        <v>2</v>
      </c>
      <c r="B193" s="66" t="s">
        <v>224</v>
      </c>
      <c r="C193" s="64" t="s">
        <v>229</v>
      </c>
      <c r="D193" s="64">
        <f>(12.76)*(10.764)</f>
        <v>137.34863999999999</v>
      </c>
      <c r="E193" s="64">
        <v>0</v>
      </c>
      <c r="F193" s="64">
        <f t="shared" ref="F193:F195" si="21">D193+(IF(E193&lt;201,E193,IF(E193&lt;301,E193/2,E193/3)))</f>
        <v>137.34863999999999</v>
      </c>
      <c r="G193" s="64">
        <v>0</v>
      </c>
      <c r="H193" s="64">
        <f t="shared" ref="H193" si="22">(F193+(IF(G193&lt;101,G193,IF(G193&lt;201,G193/2,IF(G193&lt;=301,G193/3,G193/4)))))*(($H$151)+1)</f>
        <v>212.89039199999999</v>
      </c>
      <c r="I193" s="58"/>
      <c r="L193" s="90"/>
      <c r="M193" s="90"/>
      <c r="N193" s="58"/>
      <c r="T193" s="55"/>
    </row>
    <row r="194" spans="1:20" s="63" customFormat="1" ht="15.75" customHeight="1" x14ac:dyDescent="0.35">
      <c r="A194" s="64">
        <f>A193+1</f>
        <v>3</v>
      </c>
      <c r="B194" s="66" t="s">
        <v>224</v>
      </c>
      <c r="C194" s="64" t="s">
        <v>229</v>
      </c>
      <c r="D194" s="64">
        <f>(10.06)*(10.764)</f>
        <v>108.28583999999999</v>
      </c>
      <c r="E194" s="64">
        <v>0</v>
      </c>
      <c r="F194" s="64">
        <f t="shared" si="21"/>
        <v>108.28583999999999</v>
      </c>
      <c r="G194" s="64">
        <v>0</v>
      </c>
      <c r="H194" s="64">
        <f>(F194+(IF(G194&lt;101,G194,IF(G194&lt;201,G194/2,IF(G194&lt;=301,G194/3,G194/4)))))*(($H$151)+1)</f>
        <v>167.843052</v>
      </c>
      <c r="I194" s="58"/>
      <c r="L194" s="90"/>
      <c r="M194" s="90"/>
      <c r="N194" s="58"/>
      <c r="T194" s="54"/>
    </row>
    <row r="195" spans="1:20" s="63" customFormat="1" ht="15.75" customHeight="1" x14ac:dyDescent="0.35">
      <c r="A195" s="64">
        <f>A194+1</f>
        <v>4</v>
      </c>
      <c r="B195" s="66" t="s">
        <v>224</v>
      </c>
      <c r="C195" s="64" t="s">
        <v>229</v>
      </c>
      <c r="D195" s="64">
        <f>(10.06)*(10.764)</f>
        <v>108.28583999999999</v>
      </c>
      <c r="E195" s="64">
        <v>0</v>
      </c>
      <c r="F195" s="64">
        <f t="shared" si="21"/>
        <v>108.28583999999999</v>
      </c>
      <c r="G195" s="64">
        <v>0</v>
      </c>
      <c r="H195" s="64">
        <f>(F195+(IF(G195&lt;101,G195,IF(G195&lt;201,G195/2,IF(G195&lt;=301,G195/3,G195/4)))))*(($H$151)+1)</f>
        <v>167.843052</v>
      </c>
      <c r="I195" s="58"/>
      <c r="L195" s="90"/>
      <c r="M195" s="90"/>
      <c r="N195" s="58"/>
      <c r="T195" s="54"/>
    </row>
    <row r="196" spans="1:20" s="63" customFormat="1" x14ac:dyDescent="0.35">
      <c r="A196" s="205" t="s">
        <v>238</v>
      </c>
      <c r="B196" s="206"/>
      <c r="C196" s="206"/>
      <c r="D196" s="206"/>
      <c r="E196" s="206"/>
      <c r="F196" s="206"/>
      <c r="G196" s="206"/>
      <c r="H196" s="207"/>
      <c r="J196" s="58"/>
      <c r="T196" s="53"/>
    </row>
    <row r="197" spans="1:20" s="57" customFormat="1" hidden="1" x14ac:dyDescent="0.35">
      <c r="A197" s="82" t="s">
        <v>228</v>
      </c>
      <c r="B197" s="83"/>
      <c r="C197" s="83"/>
      <c r="D197" s="83"/>
      <c r="E197" s="83"/>
      <c r="F197" s="83"/>
      <c r="G197" s="83"/>
      <c r="H197" s="84"/>
      <c r="J197" s="58"/>
      <c r="T197" s="53"/>
    </row>
    <row r="198" spans="1:20" s="57" customFormat="1" ht="15.75" hidden="1" customHeight="1" x14ac:dyDescent="0.35">
      <c r="A198" s="64">
        <v>1</v>
      </c>
      <c r="B198" s="65"/>
      <c r="C198" s="59"/>
      <c r="D198" s="59"/>
      <c r="E198" s="59">
        <v>0</v>
      </c>
      <c r="F198" s="59">
        <f>D198+(IF(E198&lt;201,E198,IF(E198&lt;301,E198/2,E198/3)))</f>
        <v>0</v>
      </c>
      <c r="G198" s="52">
        <v>0</v>
      </c>
      <c r="H198" s="59">
        <f>(F198+(IF(G198&lt;101,G198,IF(G198&lt;201,G198/2,IF(G198&lt;=301,G198/3,G198/4)))))*(($H$151)+1)</f>
        <v>0</v>
      </c>
      <c r="I198" s="58"/>
      <c r="L198" s="90"/>
      <c r="M198" s="90"/>
      <c r="N198" s="58"/>
      <c r="T198" s="53"/>
    </row>
    <row r="199" spans="1:20" s="57" customFormat="1" ht="15.75" hidden="1" customHeight="1" x14ac:dyDescent="0.35">
      <c r="A199" s="64">
        <f>A198+1</f>
        <v>2</v>
      </c>
      <c r="B199" s="65"/>
      <c r="C199" s="59"/>
      <c r="D199" s="59"/>
      <c r="E199" s="59">
        <v>0</v>
      </c>
      <c r="F199" s="59">
        <f t="shared" ref="F199:F201" si="23">D199+(IF(E199&lt;201,E199,IF(E199&lt;301,E199/2,E199/3)))</f>
        <v>0</v>
      </c>
      <c r="G199" s="59">
        <v>0</v>
      </c>
      <c r="H199" s="59">
        <f t="shared" ref="H199" si="24">(F199+(IF(G199&lt;101,G199,IF(G199&lt;201,G199/2,IF(G199&lt;=301,G199/3,G199/4)))))*(($H$151)+1)</f>
        <v>0</v>
      </c>
      <c r="I199" s="58"/>
      <c r="L199" s="90"/>
      <c r="M199" s="90"/>
      <c r="N199" s="58"/>
      <c r="T199" s="55"/>
    </row>
    <row r="200" spans="1:20" s="57" customFormat="1" ht="15.75" hidden="1" customHeight="1" x14ac:dyDescent="0.35">
      <c r="A200" s="64">
        <f>A199+1</f>
        <v>3</v>
      </c>
      <c r="B200" s="65"/>
      <c r="C200" s="59"/>
      <c r="D200" s="59"/>
      <c r="E200" s="59">
        <v>0</v>
      </c>
      <c r="F200" s="59">
        <f t="shared" si="23"/>
        <v>0</v>
      </c>
      <c r="G200" s="59">
        <v>0</v>
      </c>
      <c r="H200" s="59">
        <f>(F200+(IF(G200&lt;101,G200,IF(G200&lt;201,G200/2,IF(G200&lt;=301,G200/3,G200/4)))))*(($H$151)+1)</f>
        <v>0</v>
      </c>
      <c r="I200" s="58"/>
      <c r="L200" s="90"/>
      <c r="M200" s="90"/>
      <c r="N200" s="58"/>
      <c r="T200" s="54"/>
    </row>
    <row r="201" spans="1:20" s="57" customFormat="1" ht="15.75" hidden="1" customHeight="1" x14ac:dyDescent="0.35">
      <c r="A201" s="64">
        <f>A200+1</f>
        <v>4</v>
      </c>
      <c r="B201" s="65"/>
      <c r="C201" s="59"/>
      <c r="D201" s="59"/>
      <c r="E201" s="59">
        <v>0</v>
      </c>
      <c r="F201" s="59">
        <f t="shared" si="23"/>
        <v>0</v>
      </c>
      <c r="G201" s="59">
        <v>0</v>
      </c>
      <c r="H201" s="59">
        <f>(F201+(IF(G201&lt;101,G201,IF(G201&lt;201,G201/2,IF(G201&lt;=301,G201/3,G201/4)))))*(($H$151)+1)</f>
        <v>0</v>
      </c>
      <c r="I201" s="58"/>
      <c r="L201" s="90"/>
      <c r="M201" s="90"/>
      <c r="N201" s="58"/>
      <c r="T201" s="54"/>
    </row>
    <row r="202" spans="1:20" s="57" customFormat="1" hidden="1" x14ac:dyDescent="0.35">
      <c r="A202" s="82" t="s">
        <v>120</v>
      </c>
      <c r="B202" s="83"/>
      <c r="C202" s="83"/>
      <c r="D202" s="83"/>
      <c r="E202" s="83"/>
      <c r="F202" s="83"/>
      <c r="G202" s="83"/>
      <c r="H202" s="84"/>
      <c r="J202" s="58"/>
      <c r="T202" s="53"/>
    </row>
    <row r="203" spans="1:20" s="57" customFormat="1" ht="15.75" hidden="1" customHeight="1" x14ac:dyDescent="0.35">
      <c r="A203" s="85">
        <v>1</v>
      </c>
      <c r="B203" s="87"/>
      <c r="C203" s="59"/>
      <c r="D203" s="59"/>
      <c r="E203" s="59">
        <v>0</v>
      </c>
      <c r="F203" s="59">
        <f>D203+(IF(E203&lt;201,E203,IF(E203&lt;301,E203/2,E203/3)))</f>
        <v>0</v>
      </c>
      <c r="G203" s="52">
        <v>0</v>
      </c>
      <c r="H203" s="59">
        <f>(F203+(IF(G203&lt;101,G203,IF(G203&lt;201,G203/2,IF(G203&lt;=301,G203/3,G203/4)))))*(($H$151)+1)</f>
        <v>0</v>
      </c>
      <c r="I203" s="58"/>
      <c r="L203" s="90"/>
      <c r="M203" s="90"/>
      <c r="N203" s="58"/>
      <c r="T203" s="53"/>
    </row>
    <row r="204" spans="1:20" s="57" customFormat="1" ht="15.75" hidden="1" customHeight="1" x14ac:dyDescent="0.35">
      <c r="A204" s="85">
        <f>A203+1</f>
        <v>2</v>
      </c>
      <c r="B204" s="87"/>
      <c r="C204" s="59"/>
      <c r="D204" s="59"/>
      <c r="E204" s="59">
        <v>0</v>
      </c>
      <c r="F204" s="59">
        <f t="shared" ref="F204:F206" si="25">D204+(IF(E204&lt;201,E204,IF(E204&lt;301,E204/2,E204/3)))</f>
        <v>0</v>
      </c>
      <c r="G204" s="59">
        <v>0</v>
      </c>
      <c r="H204" s="59">
        <f t="shared" ref="H204" si="26">(F204+(IF(G204&lt;101,G204,IF(G204&lt;201,G204/2,IF(G204&lt;=301,G204/3,G204/4)))))*(($H$151)+1)</f>
        <v>0</v>
      </c>
      <c r="I204" s="58"/>
      <c r="L204" s="90"/>
      <c r="M204" s="90"/>
      <c r="N204" s="58"/>
      <c r="T204" s="55"/>
    </row>
    <row r="205" spans="1:20" s="57" customFormat="1" ht="15.75" hidden="1" customHeight="1" x14ac:dyDescent="0.35">
      <c r="A205" s="85">
        <f>A204+1</f>
        <v>3</v>
      </c>
      <c r="B205" s="87"/>
      <c r="C205" s="59"/>
      <c r="D205" s="59"/>
      <c r="E205" s="59">
        <v>0</v>
      </c>
      <c r="F205" s="59">
        <f t="shared" si="25"/>
        <v>0</v>
      </c>
      <c r="G205" s="59">
        <v>0</v>
      </c>
      <c r="H205" s="59">
        <f>(F205+(IF(G205&lt;101,G205,IF(G205&lt;201,G205/2,IF(G205&lt;=301,G205/3,G205/4)))))*(($H$151)+1)</f>
        <v>0</v>
      </c>
      <c r="I205" s="58"/>
      <c r="L205" s="90"/>
      <c r="M205" s="90"/>
      <c r="N205" s="58"/>
      <c r="T205" s="54"/>
    </row>
    <row r="206" spans="1:20" s="57" customFormat="1" ht="15.75" hidden="1" customHeight="1" x14ac:dyDescent="0.35">
      <c r="A206" s="85">
        <f>A205+1</f>
        <v>4</v>
      </c>
      <c r="B206" s="87"/>
      <c r="C206" s="59"/>
      <c r="D206" s="59"/>
      <c r="E206" s="59">
        <v>0</v>
      </c>
      <c r="F206" s="59">
        <f t="shared" si="25"/>
        <v>0</v>
      </c>
      <c r="G206" s="59">
        <v>0</v>
      </c>
      <c r="H206" s="59">
        <f>(F206+(IF(G206&lt;101,G206,IF(G206&lt;201,G206/2,IF(G206&lt;=301,G206/3,G206/4)))))*(($H$151)+1)</f>
        <v>0</v>
      </c>
      <c r="I206" s="58"/>
      <c r="L206" s="90"/>
      <c r="M206" s="90"/>
      <c r="N206" s="58"/>
      <c r="T206" s="54"/>
    </row>
    <row r="207" spans="1:20" s="57" customFormat="1" x14ac:dyDescent="0.35">
      <c r="A207" s="85"/>
      <c r="B207" s="86"/>
      <c r="C207" s="86"/>
      <c r="D207" s="86"/>
      <c r="E207" s="86"/>
      <c r="F207" s="86"/>
      <c r="G207" s="86"/>
      <c r="H207" s="87"/>
      <c r="I207" s="58"/>
      <c r="N207" s="58"/>
    </row>
    <row r="208" spans="1:20" s="54" customFormat="1" ht="47.25" customHeight="1" x14ac:dyDescent="0.35">
      <c r="A208" s="109" t="s">
        <v>123</v>
      </c>
      <c r="B208" s="111" t="s">
        <v>220</v>
      </c>
      <c r="C208" s="111" t="s">
        <v>59</v>
      </c>
      <c r="D208" s="111" t="s">
        <v>204</v>
      </c>
      <c r="E208" s="111" t="s">
        <v>205</v>
      </c>
      <c r="F208" s="111" t="s">
        <v>60</v>
      </c>
      <c r="G208" s="113" t="s">
        <v>61</v>
      </c>
      <c r="H208" s="56" t="s">
        <v>154</v>
      </c>
      <c r="I208" s="58"/>
      <c r="T208" s="57"/>
    </row>
    <row r="209" spans="1:20" s="57" customFormat="1" x14ac:dyDescent="0.35">
      <c r="A209" s="110"/>
      <c r="B209" s="112"/>
      <c r="C209" s="112"/>
      <c r="D209" s="112"/>
      <c r="E209" s="112"/>
      <c r="F209" s="112"/>
      <c r="G209" s="114"/>
      <c r="H209" s="69">
        <v>0.5</v>
      </c>
      <c r="I209" s="58"/>
    </row>
    <row r="210" spans="1:20" s="70" customFormat="1" x14ac:dyDescent="0.35">
      <c r="A210" s="82" t="s">
        <v>264</v>
      </c>
      <c r="B210" s="83"/>
      <c r="C210" s="83"/>
      <c r="D210" s="83"/>
      <c r="E210" s="83"/>
      <c r="F210" s="83"/>
      <c r="G210" s="83"/>
      <c r="H210" s="84"/>
      <c r="J210" s="58"/>
    </row>
    <row r="211" spans="1:20" s="57" customFormat="1" x14ac:dyDescent="0.35">
      <c r="A211" s="82" t="s">
        <v>206</v>
      </c>
      <c r="B211" s="83"/>
      <c r="C211" s="83"/>
      <c r="D211" s="83"/>
      <c r="E211" s="83"/>
      <c r="F211" s="83"/>
      <c r="G211" s="83"/>
      <c r="H211" s="84"/>
      <c r="J211" s="58"/>
    </row>
    <row r="212" spans="1:20" s="57" customFormat="1" x14ac:dyDescent="0.35">
      <c r="A212" s="82" t="s">
        <v>207</v>
      </c>
      <c r="B212" s="83"/>
      <c r="C212" s="83"/>
      <c r="D212" s="83"/>
      <c r="E212" s="83"/>
      <c r="F212" s="83"/>
      <c r="G212" s="83"/>
      <c r="H212" s="84"/>
      <c r="J212" s="58"/>
    </row>
    <row r="213" spans="1:20" s="57" customFormat="1" x14ac:dyDescent="0.35">
      <c r="A213" s="82" t="s">
        <v>208</v>
      </c>
      <c r="B213" s="83"/>
      <c r="C213" s="83"/>
      <c r="D213" s="83"/>
      <c r="E213" s="83"/>
      <c r="F213" s="83"/>
      <c r="G213" s="83"/>
      <c r="H213" s="84"/>
      <c r="J213" s="58"/>
    </row>
    <row r="214" spans="1:20" s="57" customFormat="1" x14ac:dyDescent="0.35">
      <c r="A214" s="82" t="s">
        <v>209</v>
      </c>
      <c r="B214" s="83"/>
      <c r="C214" s="83"/>
      <c r="D214" s="83"/>
      <c r="E214" s="83"/>
      <c r="F214" s="83"/>
      <c r="G214" s="83"/>
      <c r="H214" s="84"/>
      <c r="J214" s="58"/>
    </row>
    <row r="215" spans="1:20" s="57" customFormat="1" x14ac:dyDescent="0.35">
      <c r="A215" s="82" t="s">
        <v>210</v>
      </c>
      <c r="B215" s="83"/>
      <c r="C215" s="83"/>
      <c r="D215" s="83"/>
      <c r="E215" s="83"/>
      <c r="F215" s="83"/>
      <c r="G215" s="83"/>
      <c r="H215" s="84"/>
      <c r="J215" s="58"/>
    </row>
    <row r="216" spans="1:20" s="57" customFormat="1" ht="15.75" customHeight="1" x14ac:dyDescent="0.35">
      <c r="A216" s="59">
        <v>1</v>
      </c>
      <c r="B216" s="59" t="s">
        <v>221</v>
      </c>
      <c r="C216" s="59" t="s">
        <v>211</v>
      </c>
      <c r="D216" s="64">
        <f t="shared" ref="D216:D223" si="27">(27.88)*(10.764)</f>
        <v>300.10031999999995</v>
      </c>
      <c r="E216" s="64">
        <f t="shared" ref="E216:E223" si="28">(2*2.75*1.2)*(10.764)</f>
        <v>71.042399999999986</v>
      </c>
      <c r="F216" s="59">
        <f>D216+E216</f>
        <v>371.14271999999994</v>
      </c>
      <c r="G216" s="59">
        <v>0</v>
      </c>
      <c r="H216" s="59">
        <f>F216*(($H$209)+1)+(IF(G216&lt;101,G216,IF(G216&lt;201,G216/2,IF(G216&lt;=301,G216/3,G216/4))))</f>
        <v>556.71407999999997</v>
      </c>
      <c r="I216" s="58"/>
      <c r="L216" s="90"/>
      <c r="M216" s="90"/>
      <c r="N216" s="58"/>
    </row>
    <row r="217" spans="1:20" s="57" customFormat="1" ht="15.75" customHeight="1" x14ac:dyDescent="0.35">
      <c r="A217" s="59">
        <f t="shared" ref="A217:A229" si="29">A216+1</f>
        <v>2</v>
      </c>
      <c r="B217" s="59" t="s">
        <v>221</v>
      </c>
      <c r="C217" s="59" t="s">
        <v>211</v>
      </c>
      <c r="D217" s="64">
        <f t="shared" si="27"/>
        <v>300.10031999999995</v>
      </c>
      <c r="E217" s="64">
        <f t="shared" si="28"/>
        <v>71.042399999999986</v>
      </c>
      <c r="F217" s="59">
        <f t="shared" ref="F217" si="30">D217+E217</f>
        <v>371.14271999999994</v>
      </c>
      <c r="G217" s="59">
        <v>0</v>
      </c>
      <c r="H217" s="59">
        <f t="shared" ref="H217:H219" si="31">F217*(($H$209)+1)+(IF(G217&lt;101,G217,IF(G217&lt;201,G217/2,IF(G217&lt;=301,G217/3,G217/4))))</f>
        <v>556.71407999999997</v>
      </c>
      <c r="I217" s="58"/>
      <c r="J217" s="57">
        <f>2.75*4.3+0.9*2.15+2.75*2.9+1.2*0.9+0.47*0.9+2.13*2</f>
        <v>27.497999999999998</v>
      </c>
      <c r="L217" s="90"/>
      <c r="M217" s="90"/>
      <c r="N217" s="58"/>
    </row>
    <row r="218" spans="1:20" s="57" customFormat="1" ht="15.75" customHeight="1" x14ac:dyDescent="0.35">
      <c r="A218" s="59">
        <f t="shared" si="29"/>
        <v>3</v>
      </c>
      <c r="B218" s="59" t="s">
        <v>221</v>
      </c>
      <c r="C218" s="59" t="s">
        <v>211</v>
      </c>
      <c r="D218" s="64">
        <f t="shared" si="27"/>
        <v>300.10031999999995</v>
      </c>
      <c r="E218" s="64">
        <f t="shared" si="28"/>
        <v>71.042399999999986</v>
      </c>
      <c r="F218" s="59">
        <f>D218+E218</f>
        <v>371.14271999999994</v>
      </c>
      <c r="G218" s="59">
        <v>0</v>
      </c>
      <c r="H218" s="59">
        <f t="shared" si="31"/>
        <v>556.71407999999997</v>
      </c>
      <c r="I218" s="58"/>
      <c r="L218" s="90"/>
      <c r="M218" s="90"/>
      <c r="N218" s="58"/>
    </row>
    <row r="219" spans="1:20" s="57" customFormat="1" ht="15.75" customHeight="1" x14ac:dyDescent="0.35">
      <c r="A219" s="59">
        <f t="shared" si="29"/>
        <v>4</v>
      </c>
      <c r="B219" s="59" t="s">
        <v>221</v>
      </c>
      <c r="C219" s="59" t="s">
        <v>211</v>
      </c>
      <c r="D219" s="64">
        <f t="shared" si="27"/>
        <v>300.10031999999995</v>
      </c>
      <c r="E219" s="64">
        <f t="shared" si="28"/>
        <v>71.042399999999986</v>
      </c>
      <c r="F219" s="59">
        <f>D219+E219</f>
        <v>371.14271999999994</v>
      </c>
      <c r="G219" s="59">
        <v>0</v>
      </c>
      <c r="H219" s="59">
        <f t="shared" si="31"/>
        <v>556.71407999999997</v>
      </c>
      <c r="I219" s="58"/>
      <c r="L219" s="90"/>
      <c r="M219" s="90"/>
      <c r="N219" s="58"/>
      <c r="T219" s="54"/>
    </row>
    <row r="220" spans="1:20" s="57" customFormat="1" ht="15.75" customHeight="1" x14ac:dyDescent="0.35">
      <c r="A220" s="59">
        <f t="shared" si="29"/>
        <v>5</v>
      </c>
      <c r="B220" s="59" t="s">
        <v>221</v>
      </c>
      <c r="C220" s="59" t="s">
        <v>211</v>
      </c>
      <c r="D220" s="64">
        <f t="shared" si="27"/>
        <v>300.10031999999995</v>
      </c>
      <c r="E220" s="64">
        <f t="shared" si="28"/>
        <v>71.042399999999986</v>
      </c>
      <c r="F220" s="59">
        <f t="shared" ref="F220" si="32">D220+E220</f>
        <v>371.14271999999994</v>
      </c>
      <c r="G220" s="59">
        <v>0</v>
      </c>
      <c r="H220" s="59">
        <f>F220*(($H$209)+1)+(IF(G220&lt;101,G220,IF(G220&lt;201,G220/2,IF(G220&lt;=301,G220/3,G220/4))))</f>
        <v>556.71407999999997</v>
      </c>
      <c r="I220" s="58"/>
      <c r="L220" s="90"/>
      <c r="M220" s="90"/>
      <c r="N220" s="58"/>
    </row>
    <row r="221" spans="1:20" s="57" customFormat="1" ht="15.75" customHeight="1" x14ac:dyDescent="0.35">
      <c r="A221" s="59">
        <f t="shared" si="29"/>
        <v>6</v>
      </c>
      <c r="B221" s="59" t="s">
        <v>221</v>
      </c>
      <c r="C221" s="59" t="s">
        <v>211</v>
      </c>
      <c r="D221" s="64">
        <f t="shared" si="27"/>
        <v>300.10031999999995</v>
      </c>
      <c r="E221" s="64">
        <f t="shared" si="28"/>
        <v>71.042399999999986</v>
      </c>
      <c r="F221" s="59">
        <f>D221+E221</f>
        <v>371.14271999999994</v>
      </c>
      <c r="G221" s="59">
        <v>0</v>
      </c>
      <c r="H221" s="59">
        <f>F221*(($H$209)+1)+(IF(G221&lt;101,G221,IF(G221&lt;201,G221/2,IF(G221&lt;=301,G221/3,G221/4))))</f>
        <v>556.71407999999997</v>
      </c>
      <c r="I221" s="58"/>
      <c r="L221" s="90"/>
      <c r="M221" s="90"/>
      <c r="N221" s="58"/>
    </row>
    <row r="222" spans="1:20" s="57" customFormat="1" ht="15.75" customHeight="1" x14ac:dyDescent="0.35">
      <c r="A222" s="59">
        <f t="shared" si="29"/>
        <v>7</v>
      </c>
      <c r="B222" s="59" t="s">
        <v>221</v>
      </c>
      <c r="C222" s="59" t="s">
        <v>211</v>
      </c>
      <c r="D222" s="64">
        <f t="shared" si="27"/>
        <v>300.10031999999995</v>
      </c>
      <c r="E222" s="64">
        <f t="shared" si="28"/>
        <v>71.042399999999986</v>
      </c>
      <c r="F222" s="59">
        <f>D222+E222</f>
        <v>371.14271999999994</v>
      </c>
      <c r="G222" s="59">
        <v>0</v>
      </c>
      <c r="H222" s="59">
        <f>F222*(($H$209)+1)+(IF(G222&lt;101,G222,IF(G222&lt;201,G222/2,IF(G222&lt;=301,G222/3,G222/4))))</f>
        <v>556.71407999999997</v>
      </c>
      <c r="I222" s="58"/>
      <c r="L222" s="90"/>
      <c r="M222" s="90"/>
      <c r="N222" s="58"/>
      <c r="T222" s="54"/>
    </row>
    <row r="223" spans="1:20" s="57" customFormat="1" ht="15.75" customHeight="1" x14ac:dyDescent="0.35">
      <c r="A223" s="59">
        <f t="shared" si="29"/>
        <v>8</v>
      </c>
      <c r="B223" s="59" t="s">
        <v>221</v>
      </c>
      <c r="C223" s="59" t="s">
        <v>211</v>
      </c>
      <c r="D223" s="64">
        <f t="shared" si="27"/>
        <v>300.10031999999995</v>
      </c>
      <c r="E223" s="64">
        <f t="shared" si="28"/>
        <v>71.042399999999986</v>
      </c>
      <c r="F223" s="59">
        <f t="shared" ref="F223" si="33">D223+E223</f>
        <v>371.14271999999994</v>
      </c>
      <c r="G223" s="59">
        <v>0</v>
      </c>
      <c r="H223" s="59">
        <f>F223*(($H$209)+1)+(IF(G223&lt;101,G223,IF(G223&lt;201,G223/2,IF(G223&lt;=301,G223/3,G223/4))))</f>
        <v>556.71407999999997</v>
      </c>
      <c r="I223" s="58"/>
      <c r="L223" s="90"/>
      <c r="M223" s="90"/>
      <c r="N223" s="58"/>
    </row>
    <row r="224" spans="1:20" s="57" customFormat="1" ht="15.75" customHeight="1" x14ac:dyDescent="0.35">
      <c r="A224" s="59">
        <f t="shared" si="29"/>
        <v>9</v>
      </c>
      <c r="B224" s="59" t="s">
        <v>222</v>
      </c>
      <c r="C224" s="85" t="s">
        <v>212</v>
      </c>
      <c r="D224" s="86"/>
      <c r="E224" s="86"/>
      <c r="F224" s="86"/>
      <c r="G224" s="86"/>
      <c r="H224" s="87"/>
      <c r="I224" s="58"/>
      <c r="L224" s="90"/>
      <c r="M224" s="90"/>
      <c r="N224" s="58"/>
    </row>
    <row r="225" spans="1:20" s="57" customFormat="1" ht="15.75" customHeight="1" x14ac:dyDescent="0.35">
      <c r="A225" s="59">
        <f t="shared" si="29"/>
        <v>10</v>
      </c>
      <c r="B225" s="59" t="s">
        <v>222</v>
      </c>
      <c r="C225" s="85" t="s">
        <v>213</v>
      </c>
      <c r="D225" s="86"/>
      <c r="E225" s="86"/>
      <c r="F225" s="86"/>
      <c r="G225" s="86"/>
      <c r="H225" s="87"/>
      <c r="I225" s="58"/>
      <c r="L225" s="90"/>
      <c r="M225" s="90"/>
      <c r="N225" s="58"/>
      <c r="T225" s="54"/>
    </row>
    <row r="226" spans="1:20" s="57" customFormat="1" ht="15.75" customHeight="1" x14ac:dyDescent="0.35">
      <c r="A226" s="59">
        <f t="shared" si="29"/>
        <v>11</v>
      </c>
      <c r="B226" s="59" t="s">
        <v>222</v>
      </c>
      <c r="C226" s="85" t="s">
        <v>214</v>
      </c>
      <c r="D226" s="86"/>
      <c r="E226" s="86"/>
      <c r="F226" s="86"/>
      <c r="G226" s="86"/>
      <c r="H226" s="87"/>
      <c r="I226" s="58"/>
      <c r="L226" s="90"/>
      <c r="M226" s="90"/>
      <c r="N226" s="58"/>
    </row>
    <row r="227" spans="1:20" s="57" customFormat="1" ht="15.75" customHeight="1" x14ac:dyDescent="0.35">
      <c r="A227" s="59">
        <f t="shared" si="29"/>
        <v>12</v>
      </c>
      <c r="B227" s="59" t="s">
        <v>222</v>
      </c>
      <c r="C227" s="85" t="s">
        <v>215</v>
      </c>
      <c r="D227" s="86"/>
      <c r="E227" s="86"/>
      <c r="F227" s="86"/>
      <c r="G227" s="86"/>
      <c r="H227" s="87"/>
      <c r="I227" s="58"/>
      <c r="L227" s="90"/>
      <c r="M227" s="90"/>
      <c r="N227" s="58"/>
    </row>
    <row r="228" spans="1:20" s="57" customFormat="1" ht="15.75" customHeight="1" x14ac:dyDescent="0.35">
      <c r="A228" s="59">
        <f t="shared" si="29"/>
        <v>13</v>
      </c>
      <c r="B228" s="59" t="s">
        <v>221</v>
      </c>
      <c r="C228" s="59" t="s">
        <v>211</v>
      </c>
      <c r="D228" s="64">
        <f>(27.88)*(10.764)</f>
        <v>300.10031999999995</v>
      </c>
      <c r="E228" s="64">
        <f>(2*2.75*1.2)*(10.764)</f>
        <v>71.042399999999986</v>
      </c>
      <c r="F228" s="59">
        <f>D228+E228</f>
        <v>371.14271999999994</v>
      </c>
      <c r="G228" s="59">
        <v>0</v>
      </c>
      <c r="H228" s="59">
        <f>F228*(($H$209)+1)+(IF(G228&lt;101,G228,IF(G228&lt;201,G228/2,IF(G228&lt;=301,G228/3,G228/4))))</f>
        <v>556.71407999999997</v>
      </c>
      <c r="I228" s="58"/>
      <c r="L228" s="90"/>
      <c r="M228" s="90"/>
      <c r="N228" s="58"/>
      <c r="T228" s="54"/>
    </row>
    <row r="229" spans="1:20" s="57" customFormat="1" ht="15.75" customHeight="1" x14ac:dyDescent="0.35">
      <c r="A229" s="59">
        <f t="shared" si="29"/>
        <v>14</v>
      </c>
      <c r="B229" s="59" t="s">
        <v>221</v>
      </c>
      <c r="C229" s="59" t="s">
        <v>211</v>
      </c>
      <c r="D229" s="64">
        <f>(27.88)*(10.764)</f>
        <v>300.10031999999995</v>
      </c>
      <c r="E229" s="64">
        <f>(2*2.75*1.2)*(10.764)</f>
        <v>71.042399999999986</v>
      </c>
      <c r="F229" s="59">
        <f>D229+E229</f>
        <v>371.14271999999994</v>
      </c>
      <c r="G229" s="59">
        <v>0</v>
      </c>
      <c r="H229" s="59">
        <f t="shared" ref="H229" si="34">F229*(($H$209)+1)+(IF(G229&lt;101,G229,IF(G229&lt;201,G229/2,IF(G229&lt;=301,G229/3,G229/4))))</f>
        <v>556.71407999999997</v>
      </c>
      <c r="I229" s="58"/>
      <c r="L229" s="90"/>
      <c r="M229" s="90"/>
      <c r="N229" s="58"/>
      <c r="T229" s="54"/>
    </row>
    <row r="230" spans="1:20" s="57" customFormat="1" x14ac:dyDescent="0.35">
      <c r="A230" s="88" t="s">
        <v>216</v>
      </c>
      <c r="B230" s="88"/>
      <c r="C230" s="88"/>
      <c r="D230" s="88"/>
      <c r="E230" s="88"/>
      <c r="F230" s="88"/>
      <c r="G230" s="88"/>
      <c r="H230" s="88"/>
      <c r="J230" s="58"/>
    </row>
    <row r="231" spans="1:20" s="57" customFormat="1" ht="15.75" customHeight="1" x14ac:dyDescent="0.35">
      <c r="A231" s="71">
        <v>1</v>
      </c>
      <c r="B231" s="71" t="s">
        <v>221</v>
      </c>
      <c r="C231" s="71" t="s">
        <v>211</v>
      </c>
      <c r="D231" s="71">
        <f t="shared" ref="D231:D244" si="35">(27.88)*(10.764)</f>
        <v>300.10031999999995</v>
      </c>
      <c r="E231" s="71">
        <f t="shared" ref="E231:E244" si="36">(2*2.75*1.2)*(10.764)</f>
        <v>71.042399999999986</v>
      </c>
      <c r="F231" s="71">
        <f>D231+E231</f>
        <v>371.14271999999994</v>
      </c>
      <c r="G231" s="71">
        <v>0</v>
      </c>
      <c r="H231" s="71">
        <f>F231*(($H$209)+1)+(IF(G231&lt;101,G231,IF(G231&lt;201,G231/2,IF(G231&lt;=301,G231/3,G231/4))))</f>
        <v>556.71407999999997</v>
      </c>
      <c r="I231" s="58"/>
      <c r="L231" s="90"/>
      <c r="M231" s="90"/>
      <c r="N231" s="58"/>
    </row>
    <row r="232" spans="1:20" s="57" customFormat="1" ht="15.75" customHeight="1" x14ac:dyDescent="0.35">
      <c r="A232" s="71">
        <f t="shared" ref="A232:A244" si="37">A231+1</f>
        <v>2</v>
      </c>
      <c r="B232" s="71" t="s">
        <v>221</v>
      </c>
      <c r="C232" s="71" t="s">
        <v>211</v>
      </c>
      <c r="D232" s="71">
        <f t="shared" si="35"/>
        <v>300.10031999999995</v>
      </c>
      <c r="E232" s="71">
        <f t="shared" si="36"/>
        <v>71.042399999999986</v>
      </c>
      <c r="F232" s="71">
        <f t="shared" ref="F232" si="38">D232+E232</f>
        <v>371.14271999999994</v>
      </c>
      <c r="G232" s="71">
        <v>0</v>
      </c>
      <c r="H232" s="71">
        <f t="shared" ref="H232:H238" si="39">F232*(($H$209)+1)+(IF(G232&lt;101,G232,IF(G232&lt;201,G232/2,IF(G232&lt;=301,G232/3,G232/4))))</f>
        <v>556.71407999999997</v>
      </c>
      <c r="I232" s="58"/>
      <c r="J232" s="57">
        <f>2.75*4.3+0.9*2.15+2.75*2.9+1.2*0.9+0.47*0.9+2.13*2</f>
        <v>27.497999999999998</v>
      </c>
      <c r="L232" s="90"/>
      <c r="M232" s="90"/>
      <c r="N232" s="58"/>
    </row>
    <row r="233" spans="1:20" s="57" customFormat="1" ht="15.75" customHeight="1" x14ac:dyDescent="0.35">
      <c r="A233" s="71">
        <f t="shared" si="37"/>
        <v>3</v>
      </c>
      <c r="B233" s="71" t="s">
        <v>221</v>
      </c>
      <c r="C233" s="71" t="s">
        <v>211</v>
      </c>
      <c r="D233" s="71">
        <f t="shared" si="35"/>
        <v>300.10031999999995</v>
      </c>
      <c r="E233" s="71">
        <f t="shared" si="36"/>
        <v>71.042399999999986</v>
      </c>
      <c r="F233" s="71">
        <f>D233+E233</f>
        <v>371.14271999999994</v>
      </c>
      <c r="G233" s="71">
        <v>0</v>
      </c>
      <c r="H233" s="71">
        <f t="shared" si="39"/>
        <v>556.71407999999997</v>
      </c>
      <c r="I233" s="58"/>
      <c r="L233" s="90"/>
      <c r="M233" s="90"/>
      <c r="N233" s="58"/>
    </row>
    <row r="234" spans="1:20" s="57" customFormat="1" ht="15.75" customHeight="1" x14ac:dyDescent="0.35">
      <c r="A234" s="71">
        <f t="shared" si="37"/>
        <v>4</v>
      </c>
      <c r="B234" s="71" t="s">
        <v>221</v>
      </c>
      <c r="C234" s="71" t="s">
        <v>211</v>
      </c>
      <c r="D234" s="71">
        <f t="shared" si="35"/>
        <v>300.10031999999995</v>
      </c>
      <c r="E234" s="71">
        <f t="shared" si="36"/>
        <v>71.042399999999986</v>
      </c>
      <c r="F234" s="71">
        <f>D234+E234</f>
        <v>371.14271999999994</v>
      </c>
      <c r="G234" s="71">
        <v>0</v>
      </c>
      <c r="H234" s="71">
        <f t="shared" si="39"/>
        <v>556.71407999999997</v>
      </c>
      <c r="I234" s="58"/>
      <c r="L234" s="90"/>
      <c r="M234" s="90"/>
      <c r="N234" s="58"/>
      <c r="T234" s="54"/>
    </row>
    <row r="235" spans="1:20" s="57" customFormat="1" ht="15.75" customHeight="1" x14ac:dyDescent="0.35">
      <c r="A235" s="71">
        <f t="shared" si="37"/>
        <v>5</v>
      </c>
      <c r="B235" s="71" t="s">
        <v>221</v>
      </c>
      <c r="C235" s="71" t="s">
        <v>211</v>
      </c>
      <c r="D235" s="71">
        <f t="shared" si="35"/>
        <v>300.10031999999995</v>
      </c>
      <c r="E235" s="71">
        <f t="shared" si="36"/>
        <v>71.042399999999986</v>
      </c>
      <c r="F235" s="71">
        <f t="shared" ref="F235" si="40">D235+E235</f>
        <v>371.14271999999994</v>
      </c>
      <c r="G235" s="71">
        <v>0</v>
      </c>
      <c r="H235" s="71">
        <f t="shared" si="39"/>
        <v>556.71407999999997</v>
      </c>
      <c r="I235" s="58"/>
      <c r="L235" s="90"/>
      <c r="M235" s="90"/>
      <c r="N235" s="58"/>
    </row>
    <row r="236" spans="1:20" s="57" customFormat="1" ht="15.75" customHeight="1" x14ac:dyDescent="0.35">
      <c r="A236" s="71">
        <f t="shared" si="37"/>
        <v>6</v>
      </c>
      <c r="B236" s="71" t="s">
        <v>221</v>
      </c>
      <c r="C236" s="71" t="s">
        <v>211</v>
      </c>
      <c r="D236" s="71">
        <f t="shared" si="35"/>
        <v>300.10031999999995</v>
      </c>
      <c r="E236" s="71">
        <f t="shared" si="36"/>
        <v>71.042399999999986</v>
      </c>
      <c r="F236" s="71">
        <f>D236+E236</f>
        <v>371.14271999999994</v>
      </c>
      <c r="G236" s="71">
        <v>0</v>
      </c>
      <c r="H236" s="71">
        <f t="shared" si="39"/>
        <v>556.71407999999997</v>
      </c>
      <c r="I236" s="58"/>
      <c r="L236" s="90"/>
      <c r="M236" s="90"/>
      <c r="N236" s="58"/>
    </row>
    <row r="237" spans="1:20" s="57" customFormat="1" ht="15.75" customHeight="1" x14ac:dyDescent="0.35">
      <c r="A237" s="71">
        <f t="shared" si="37"/>
        <v>7</v>
      </c>
      <c r="B237" s="71" t="s">
        <v>221</v>
      </c>
      <c r="C237" s="71" t="s">
        <v>211</v>
      </c>
      <c r="D237" s="71">
        <f t="shared" si="35"/>
        <v>300.10031999999995</v>
      </c>
      <c r="E237" s="71">
        <f t="shared" si="36"/>
        <v>71.042399999999986</v>
      </c>
      <c r="F237" s="71">
        <f>D237+E237</f>
        <v>371.14271999999994</v>
      </c>
      <c r="G237" s="71">
        <v>0</v>
      </c>
      <c r="H237" s="71">
        <f t="shared" si="39"/>
        <v>556.71407999999997</v>
      </c>
      <c r="I237" s="58"/>
      <c r="L237" s="90"/>
      <c r="M237" s="90"/>
      <c r="N237" s="58"/>
      <c r="T237" s="54"/>
    </row>
    <row r="238" spans="1:20" s="57" customFormat="1" ht="15.75" customHeight="1" x14ac:dyDescent="0.35">
      <c r="A238" s="71">
        <f t="shared" si="37"/>
        <v>8</v>
      </c>
      <c r="B238" s="71" t="s">
        <v>221</v>
      </c>
      <c r="C238" s="71" t="s">
        <v>211</v>
      </c>
      <c r="D238" s="71">
        <f t="shared" si="35"/>
        <v>300.10031999999995</v>
      </c>
      <c r="E238" s="71">
        <f t="shared" si="36"/>
        <v>71.042399999999986</v>
      </c>
      <c r="F238" s="71">
        <f t="shared" ref="F238" si="41">D238+E238</f>
        <v>371.14271999999994</v>
      </c>
      <c r="G238" s="71">
        <v>0</v>
      </c>
      <c r="H238" s="71">
        <f t="shared" si="39"/>
        <v>556.71407999999997</v>
      </c>
      <c r="I238" s="58"/>
      <c r="L238" s="90"/>
      <c r="M238" s="90"/>
      <c r="N238" s="58"/>
    </row>
    <row r="239" spans="1:20" s="57" customFormat="1" ht="15.75" customHeight="1" x14ac:dyDescent="0.35">
      <c r="A239" s="71">
        <f t="shared" si="37"/>
        <v>9</v>
      </c>
      <c r="B239" s="71" t="s">
        <v>221</v>
      </c>
      <c r="C239" s="71" t="s">
        <v>211</v>
      </c>
      <c r="D239" s="71">
        <f t="shared" si="35"/>
        <v>300.10031999999995</v>
      </c>
      <c r="E239" s="71">
        <f t="shared" si="36"/>
        <v>71.042399999999986</v>
      </c>
      <c r="F239" s="71">
        <f t="shared" ref="F239:F242" si="42">D239+E239</f>
        <v>371.14271999999994</v>
      </c>
      <c r="G239" s="71">
        <v>0</v>
      </c>
      <c r="H239" s="71">
        <f t="shared" ref="H239:H242" si="43">F239*(($H$209)+1)+(IF(G239&lt;101,G239,IF(G239&lt;201,G239/2,IF(G239&lt;=301,G239/3,G239/4))))</f>
        <v>556.71407999999997</v>
      </c>
      <c r="I239" s="58"/>
      <c r="L239" s="90"/>
      <c r="M239" s="90"/>
      <c r="N239" s="58"/>
    </row>
    <row r="240" spans="1:20" s="57" customFormat="1" ht="15.75" customHeight="1" x14ac:dyDescent="0.35">
      <c r="A240" s="59">
        <f t="shared" si="37"/>
        <v>10</v>
      </c>
      <c r="B240" s="59" t="s">
        <v>221</v>
      </c>
      <c r="C240" s="59" t="s">
        <v>211</v>
      </c>
      <c r="D240" s="64">
        <f t="shared" si="35"/>
        <v>300.10031999999995</v>
      </c>
      <c r="E240" s="64">
        <f t="shared" si="36"/>
        <v>71.042399999999986</v>
      </c>
      <c r="F240" s="59">
        <f t="shared" si="42"/>
        <v>371.14271999999994</v>
      </c>
      <c r="G240" s="59">
        <v>0</v>
      </c>
      <c r="H240" s="59">
        <f t="shared" si="43"/>
        <v>556.71407999999997</v>
      </c>
      <c r="I240" s="58"/>
      <c r="L240" s="90"/>
      <c r="M240" s="90"/>
      <c r="N240" s="58"/>
      <c r="T240" s="54"/>
    </row>
    <row r="241" spans="1:20" s="57" customFormat="1" ht="15.75" customHeight="1" x14ac:dyDescent="0.35">
      <c r="A241" s="59">
        <f t="shared" si="37"/>
        <v>11</v>
      </c>
      <c r="B241" s="59" t="s">
        <v>221</v>
      </c>
      <c r="C241" s="59" t="s">
        <v>211</v>
      </c>
      <c r="D241" s="64">
        <f t="shared" si="35"/>
        <v>300.10031999999995</v>
      </c>
      <c r="E241" s="64">
        <f t="shared" si="36"/>
        <v>71.042399999999986</v>
      </c>
      <c r="F241" s="59">
        <f t="shared" si="42"/>
        <v>371.14271999999994</v>
      </c>
      <c r="G241" s="59">
        <v>0</v>
      </c>
      <c r="H241" s="59">
        <f t="shared" si="43"/>
        <v>556.71407999999997</v>
      </c>
      <c r="I241" s="58"/>
      <c r="L241" s="90"/>
      <c r="M241" s="90"/>
      <c r="N241" s="58"/>
    </row>
    <row r="242" spans="1:20" s="57" customFormat="1" ht="15.75" customHeight="1" x14ac:dyDescent="0.35">
      <c r="A242" s="59">
        <f t="shared" si="37"/>
        <v>12</v>
      </c>
      <c r="B242" s="59" t="s">
        <v>221</v>
      </c>
      <c r="C242" s="59" t="s">
        <v>211</v>
      </c>
      <c r="D242" s="64">
        <f t="shared" si="35"/>
        <v>300.10031999999995</v>
      </c>
      <c r="E242" s="64">
        <f t="shared" si="36"/>
        <v>71.042399999999986</v>
      </c>
      <c r="F242" s="59">
        <f t="shared" si="42"/>
        <v>371.14271999999994</v>
      </c>
      <c r="G242" s="59">
        <v>0</v>
      </c>
      <c r="H242" s="59">
        <f t="shared" si="43"/>
        <v>556.71407999999997</v>
      </c>
      <c r="I242" s="58"/>
      <c r="L242" s="90"/>
      <c r="M242" s="90"/>
      <c r="N242" s="58"/>
    </row>
    <row r="243" spans="1:20" s="57" customFormat="1" ht="15.75" customHeight="1" x14ac:dyDescent="0.35">
      <c r="A243" s="59">
        <f t="shared" si="37"/>
        <v>13</v>
      </c>
      <c r="B243" s="59" t="s">
        <v>221</v>
      </c>
      <c r="C243" s="59" t="s">
        <v>211</v>
      </c>
      <c r="D243" s="64">
        <f t="shared" si="35"/>
        <v>300.10031999999995</v>
      </c>
      <c r="E243" s="64">
        <f t="shared" si="36"/>
        <v>71.042399999999986</v>
      </c>
      <c r="F243" s="59">
        <f>D243+E243</f>
        <v>371.14271999999994</v>
      </c>
      <c r="G243" s="59">
        <v>0</v>
      </c>
      <c r="H243" s="59">
        <f t="shared" ref="H243:H244" si="44">F243*(($H$209)+1)+(IF(G243&lt;101,G243,IF(G243&lt;201,G243/2,IF(G243&lt;=301,G243/3,G243/4))))</f>
        <v>556.71407999999997</v>
      </c>
      <c r="I243" s="58"/>
      <c r="L243" s="90"/>
      <c r="M243" s="90"/>
      <c r="N243" s="58"/>
      <c r="T243" s="54"/>
    </row>
    <row r="244" spans="1:20" s="57" customFormat="1" ht="15.75" customHeight="1" x14ac:dyDescent="0.35">
      <c r="A244" s="59">
        <f t="shared" si="37"/>
        <v>14</v>
      </c>
      <c r="B244" s="59" t="s">
        <v>221</v>
      </c>
      <c r="C244" s="59" t="s">
        <v>211</v>
      </c>
      <c r="D244" s="64">
        <f t="shared" si="35"/>
        <v>300.10031999999995</v>
      </c>
      <c r="E244" s="64">
        <f t="shared" si="36"/>
        <v>71.042399999999986</v>
      </c>
      <c r="F244" s="59">
        <f>D244+E244</f>
        <v>371.14271999999994</v>
      </c>
      <c r="G244" s="59">
        <v>0</v>
      </c>
      <c r="H244" s="59">
        <f t="shared" si="44"/>
        <v>556.71407999999997</v>
      </c>
      <c r="I244" s="58"/>
      <c r="L244" s="90"/>
      <c r="M244" s="90"/>
      <c r="N244" s="58"/>
      <c r="T244" s="54"/>
    </row>
    <row r="245" spans="1:20" s="57" customFormat="1" x14ac:dyDescent="0.35">
      <c r="A245" s="82" t="s">
        <v>217</v>
      </c>
      <c r="B245" s="83"/>
      <c r="C245" s="83"/>
      <c r="D245" s="83"/>
      <c r="E245" s="83"/>
      <c r="F245" s="83"/>
      <c r="G245" s="83"/>
      <c r="H245" s="84"/>
      <c r="J245" s="58"/>
    </row>
    <row r="246" spans="1:20" s="57" customFormat="1" ht="15.75" customHeight="1" x14ac:dyDescent="0.35">
      <c r="A246" s="59">
        <v>1</v>
      </c>
      <c r="B246" s="59" t="s">
        <v>221</v>
      </c>
      <c r="C246" s="59" t="s">
        <v>211</v>
      </c>
      <c r="D246" s="64">
        <f t="shared" ref="D246:D255" si="45">(27.88)*(10.764)</f>
        <v>300.10031999999995</v>
      </c>
      <c r="E246" s="64">
        <f t="shared" ref="E246:E255" si="46">(2*2.75*1.2)*(10.764)</f>
        <v>71.042399999999986</v>
      </c>
      <c r="F246" s="59">
        <f>D246+E246</f>
        <v>371.14271999999994</v>
      </c>
      <c r="G246" s="59">
        <v>0</v>
      </c>
      <c r="H246" s="59">
        <f t="shared" ref="H246:H255" si="47">F246*(($H$209)+1)+(IF(G246&lt;101,G246,IF(G246&lt;201,G246/2,IF(G246&lt;=301,G246/3,G246/4))))</f>
        <v>556.71407999999997</v>
      </c>
      <c r="I246" s="58"/>
      <c r="L246" s="90"/>
      <c r="M246" s="90"/>
      <c r="N246" s="58"/>
    </row>
    <row r="247" spans="1:20" s="57" customFormat="1" ht="15.75" customHeight="1" x14ac:dyDescent="0.35">
      <c r="A247" s="59">
        <f t="shared" ref="A247:A259" si="48">A246+1</f>
        <v>2</v>
      </c>
      <c r="B247" s="59" t="s">
        <v>221</v>
      </c>
      <c r="C247" s="59" t="s">
        <v>211</v>
      </c>
      <c r="D247" s="64">
        <f t="shared" si="45"/>
        <v>300.10031999999995</v>
      </c>
      <c r="E247" s="64">
        <f t="shared" si="46"/>
        <v>71.042399999999986</v>
      </c>
      <c r="F247" s="59">
        <f t="shared" ref="F247" si="49">D247+E247</f>
        <v>371.14271999999994</v>
      </c>
      <c r="G247" s="59">
        <v>0</v>
      </c>
      <c r="H247" s="59">
        <f t="shared" si="47"/>
        <v>556.71407999999997</v>
      </c>
      <c r="I247" s="58"/>
      <c r="L247" s="90"/>
      <c r="M247" s="90"/>
      <c r="N247" s="58"/>
    </row>
    <row r="248" spans="1:20" s="57" customFormat="1" ht="15.75" customHeight="1" x14ac:dyDescent="0.35">
      <c r="A248" s="59">
        <f t="shared" si="48"/>
        <v>3</v>
      </c>
      <c r="B248" s="59" t="s">
        <v>221</v>
      </c>
      <c r="C248" s="59" t="s">
        <v>211</v>
      </c>
      <c r="D248" s="64">
        <f t="shared" si="45"/>
        <v>300.10031999999995</v>
      </c>
      <c r="E248" s="64">
        <f t="shared" si="46"/>
        <v>71.042399999999986</v>
      </c>
      <c r="F248" s="59">
        <f>D248+E248</f>
        <v>371.14271999999994</v>
      </c>
      <c r="G248" s="59">
        <v>0</v>
      </c>
      <c r="H248" s="59">
        <f t="shared" si="47"/>
        <v>556.71407999999997</v>
      </c>
      <c r="I248" s="58"/>
      <c r="L248" s="90"/>
      <c r="M248" s="90"/>
      <c r="N248" s="58"/>
    </row>
    <row r="249" spans="1:20" s="57" customFormat="1" ht="15.75" customHeight="1" x14ac:dyDescent="0.35">
      <c r="A249" s="59">
        <f t="shared" si="48"/>
        <v>4</v>
      </c>
      <c r="B249" s="59" t="s">
        <v>221</v>
      </c>
      <c r="C249" s="59" t="s">
        <v>211</v>
      </c>
      <c r="D249" s="64">
        <f t="shared" si="45"/>
        <v>300.10031999999995</v>
      </c>
      <c r="E249" s="64">
        <f t="shared" si="46"/>
        <v>71.042399999999986</v>
      </c>
      <c r="F249" s="59">
        <f>D249+E249</f>
        <v>371.14271999999994</v>
      </c>
      <c r="G249" s="59">
        <v>0</v>
      </c>
      <c r="H249" s="59">
        <f t="shared" si="47"/>
        <v>556.71407999999997</v>
      </c>
      <c r="I249" s="58"/>
      <c r="L249" s="90"/>
      <c r="M249" s="90"/>
      <c r="N249" s="58"/>
      <c r="T249" s="54"/>
    </row>
    <row r="250" spans="1:20" s="57" customFormat="1" ht="15.75" customHeight="1" x14ac:dyDescent="0.35">
      <c r="A250" s="59">
        <f t="shared" si="48"/>
        <v>5</v>
      </c>
      <c r="B250" s="59" t="s">
        <v>221</v>
      </c>
      <c r="C250" s="59" t="s">
        <v>211</v>
      </c>
      <c r="D250" s="64">
        <f t="shared" si="45"/>
        <v>300.10031999999995</v>
      </c>
      <c r="E250" s="64">
        <f t="shared" si="46"/>
        <v>71.042399999999986</v>
      </c>
      <c r="F250" s="59">
        <f t="shared" ref="F250" si="50">D250+E250</f>
        <v>371.14271999999994</v>
      </c>
      <c r="G250" s="59">
        <v>0</v>
      </c>
      <c r="H250" s="59">
        <f t="shared" si="47"/>
        <v>556.71407999999997</v>
      </c>
      <c r="I250" s="58"/>
      <c r="L250" s="90"/>
      <c r="M250" s="90"/>
      <c r="N250" s="58"/>
    </row>
    <row r="251" spans="1:20" s="57" customFormat="1" ht="15.75" customHeight="1" x14ac:dyDescent="0.35">
      <c r="A251" s="59">
        <f t="shared" si="48"/>
        <v>6</v>
      </c>
      <c r="B251" s="59" t="s">
        <v>221</v>
      </c>
      <c r="C251" s="59" t="s">
        <v>211</v>
      </c>
      <c r="D251" s="64">
        <f t="shared" si="45"/>
        <v>300.10031999999995</v>
      </c>
      <c r="E251" s="64">
        <f t="shared" si="46"/>
        <v>71.042399999999986</v>
      </c>
      <c r="F251" s="59">
        <f>D251+E251</f>
        <v>371.14271999999994</v>
      </c>
      <c r="G251" s="59">
        <v>0</v>
      </c>
      <c r="H251" s="59">
        <f t="shared" si="47"/>
        <v>556.71407999999997</v>
      </c>
      <c r="I251" s="58"/>
      <c r="L251" s="90"/>
      <c r="M251" s="90"/>
      <c r="N251" s="58"/>
    </row>
    <row r="252" spans="1:20" s="57" customFormat="1" ht="15.75" customHeight="1" x14ac:dyDescent="0.35">
      <c r="A252" s="59">
        <f t="shared" si="48"/>
        <v>7</v>
      </c>
      <c r="B252" s="59" t="s">
        <v>221</v>
      </c>
      <c r="C252" s="59" t="s">
        <v>211</v>
      </c>
      <c r="D252" s="64">
        <f t="shared" si="45"/>
        <v>300.10031999999995</v>
      </c>
      <c r="E252" s="64">
        <f t="shared" si="46"/>
        <v>71.042399999999986</v>
      </c>
      <c r="F252" s="59">
        <f>D252+E252</f>
        <v>371.14271999999994</v>
      </c>
      <c r="G252" s="59">
        <v>0</v>
      </c>
      <c r="H252" s="59">
        <f t="shared" si="47"/>
        <v>556.71407999999997</v>
      </c>
      <c r="I252" s="58"/>
      <c r="L252" s="90"/>
      <c r="M252" s="90"/>
      <c r="N252" s="58"/>
      <c r="T252" s="54"/>
    </row>
    <row r="253" spans="1:20" s="57" customFormat="1" ht="15.75" customHeight="1" x14ac:dyDescent="0.35">
      <c r="A253" s="59">
        <f t="shared" si="48"/>
        <v>8</v>
      </c>
      <c r="B253" s="59" t="s">
        <v>221</v>
      </c>
      <c r="C253" s="59" t="s">
        <v>211</v>
      </c>
      <c r="D253" s="64">
        <f t="shared" si="45"/>
        <v>300.10031999999995</v>
      </c>
      <c r="E253" s="64">
        <f t="shared" si="46"/>
        <v>71.042399999999986</v>
      </c>
      <c r="F253" s="59">
        <f t="shared" ref="F253:F255" si="51">D253+E253</f>
        <v>371.14271999999994</v>
      </c>
      <c r="G253" s="59">
        <v>0</v>
      </c>
      <c r="H253" s="59">
        <f t="shared" si="47"/>
        <v>556.71407999999997</v>
      </c>
      <c r="I253" s="58"/>
      <c r="L253" s="90"/>
      <c r="M253" s="90"/>
      <c r="N253" s="58"/>
    </row>
    <row r="254" spans="1:20" s="57" customFormat="1" ht="15.75" customHeight="1" x14ac:dyDescent="0.35">
      <c r="A254" s="59">
        <f t="shared" si="48"/>
        <v>9</v>
      </c>
      <c r="B254" s="59" t="s">
        <v>221</v>
      </c>
      <c r="C254" s="59" t="s">
        <v>211</v>
      </c>
      <c r="D254" s="64">
        <f t="shared" si="45"/>
        <v>300.10031999999995</v>
      </c>
      <c r="E254" s="64">
        <f t="shared" si="46"/>
        <v>71.042399999999986</v>
      </c>
      <c r="F254" s="59">
        <f t="shared" si="51"/>
        <v>371.14271999999994</v>
      </c>
      <c r="G254" s="59">
        <v>0</v>
      </c>
      <c r="H254" s="59">
        <f t="shared" si="47"/>
        <v>556.71407999999997</v>
      </c>
      <c r="I254" s="58"/>
      <c r="L254" s="90"/>
      <c r="M254" s="90"/>
      <c r="N254" s="58"/>
    </row>
    <row r="255" spans="1:20" s="57" customFormat="1" ht="15.75" customHeight="1" x14ac:dyDescent="0.35">
      <c r="A255" s="59">
        <f t="shared" si="48"/>
        <v>10</v>
      </c>
      <c r="B255" s="59" t="s">
        <v>221</v>
      </c>
      <c r="C255" s="59" t="s">
        <v>211</v>
      </c>
      <c r="D255" s="64">
        <f t="shared" si="45"/>
        <v>300.10031999999995</v>
      </c>
      <c r="E255" s="64">
        <f t="shared" si="46"/>
        <v>71.042399999999986</v>
      </c>
      <c r="F255" s="59">
        <f t="shared" si="51"/>
        <v>371.14271999999994</v>
      </c>
      <c r="G255" s="59">
        <v>0</v>
      </c>
      <c r="H255" s="59">
        <f t="shared" si="47"/>
        <v>556.71407999999997</v>
      </c>
      <c r="I255" s="58"/>
      <c r="L255" s="90"/>
      <c r="M255" s="90"/>
      <c r="N255" s="58"/>
      <c r="T255" s="54"/>
    </row>
    <row r="256" spans="1:20" s="57" customFormat="1" ht="15.75" customHeight="1" x14ac:dyDescent="0.35">
      <c r="A256" s="59">
        <f t="shared" si="48"/>
        <v>11</v>
      </c>
      <c r="B256" s="59" t="s">
        <v>222</v>
      </c>
      <c r="C256" s="91" t="s">
        <v>218</v>
      </c>
      <c r="D256" s="92"/>
      <c r="E256" s="92"/>
      <c r="F256" s="92"/>
      <c r="G256" s="92"/>
      <c r="H256" s="93"/>
      <c r="I256" s="58"/>
      <c r="L256" s="90"/>
      <c r="M256" s="90"/>
      <c r="N256" s="58"/>
    </row>
    <row r="257" spans="1:20" s="57" customFormat="1" ht="15.75" customHeight="1" x14ac:dyDescent="0.35">
      <c r="A257" s="59">
        <f t="shared" si="48"/>
        <v>12</v>
      </c>
      <c r="B257" s="59" t="s">
        <v>222</v>
      </c>
      <c r="C257" s="94"/>
      <c r="D257" s="95"/>
      <c r="E257" s="95"/>
      <c r="F257" s="95"/>
      <c r="G257" s="95"/>
      <c r="H257" s="96"/>
      <c r="I257" s="58"/>
      <c r="L257" s="90"/>
      <c r="M257" s="90"/>
      <c r="N257" s="58"/>
    </row>
    <row r="258" spans="1:20" s="57" customFormat="1" ht="15.75" customHeight="1" x14ac:dyDescent="0.35">
      <c r="A258" s="59">
        <f t="shared" si="48"/>
        <v>13</v>
      </c>
      <c r="B258" s="59" t="s">
        <v>222</v>
      </c>
      <c r="C258" s="94"/>
      <c r="D258" s="95"/>
      <c r="E258" s="95"/>
      <c r="F258" s="95"/>
      <c r="G258" s="95"/>
      <c r="H258" s="96"/>
      <c r="I258" s="58"/>
      <c r="L258" s="90"/>
      <c r="M258" s="90"/>
      <c r="N258" s="58"/>
      <c r="T258" s="54"/>
    </row>
    <row r="259" spans="1:20" s="57" customFormat="1" ht="15.75" customHeight="1" x14ac:dyDescent="0.35">
      <c r="A259" s="59">
        <f t="shared" si="48"/>
        <v>14</v>
      </c>
      <c r="B259" s="59" t="s">
        <v>222</v>
      </c>
      <c r="C259" s="97"/>
      <c r="D259" s="98"/>
      <c r="E259" s="98"/>
      <c r="F259" s="98"/>
      <c r="G259" s="98"/>
      <c r="H259" s="99"/>
      <c r="I259" s="58"/>
      <c r="L259" s="90"/>
      <c r="M259" s="90"/>
      <c r="N259" s="58"/>
      <c r="T259" s="54"/>
    </row>
    <row r="260" spans="1:20" s="57" customFormat="1" x14ac:dyDescent="0.35">
      <c r="A260" s="82" t="s">
        <v>219</v>
      </c>
      <c r="B260" s="83"/>
      <c r="C260" s="83"/>
      <c r="D260" s="83"/>
      <c r="E260" s="83"/>
      <c r="F260" s="83"/>
      <c r="G260" s="83"/>
      <c r="H260" s="84"/>
      <c r="J260" s="58"/>
    </row>
    <row r="261" spans="1:20" s="57" customFormat="1" ht="15.75" customHeight="1" x14ac:dyDescent="0.35">
      <c r="A261" s="59">
        <v>1</v>
      </c>
      <c r="B261" s="59" t="s">
        <v>221</v>
      </c>
      <c r="C261" s="59" t="s">
        <v>211</v>
      </c>
      <c r="D261" s="64">
        <f t="shared" ref="D261:D270" si="52">(27.88)*(10.764)</f>
        <v>300.10031999999995</v>
      </c>
      <c r="E261" s="64">
        <f t="shared" ref="E261:E270" si="53">(2*2.75*1.2)*(10.764)</f>
        <v>71.042399999999986</v>
      </c>
      <c r="F261" s="59">
        <f>D261+E261</f>
        <v>371.14271999999994</v>
      </c>
      <c r="G261" s="59">
        <v>0</v>
      </c>
      <c r="H261" s="59">
        <f t="shared" ref="H261:H270" si="54">F261*(($H$209)+1)+(IF(G261&lt;101,G261,IF(G261&lt;201,G261/2,IF(G261&lt;=301,G261/3,G261/4))))</f>
        <v>556.71407999999997</v>
      </c>
      <c r="I261" s="58"/>
      <c r="L261" s="90"/>
      <c r="M261" s="90"/>
      <c r="N261" s="58"/>
    </row>
    <row r="262" spans="1:20" s="57" customFormat="1" ht="15.75" customHeight="1" x14ac:dyDescent="0.35">
      <c r="A262" s="59">
        <f t="shared" ref="A262:A274" si="55">A261+1</f>
        <v>2</v>
      </c>
      <c r="B262" s="59" t="s">
        <v>221</v>
      </c>
      <c r="C262" s="59" t="s">
        <v>211</v>
      </c>
      <c r="D262" s="64">
        <f t="shared" si="52"/>
        <v>300.10031999999995</v>
      </c>
      <c r="E262" s="64">
        <f t="shared" si="53"/>
        <v>71.042399999999986</v>
      </c>
      <c r="F262" s="59">
        <f t="shared" ref="F262" si="56">D262+E262</f>
        <v>371.14271999999994</v>
      </c>
      <c r="G262" s="59">
        <v>0</v>
      </c>
      <c r="H262" s="59">
        <f t="shared" si="54"/>
        <v>556.71407999999997</v>
      </c>
      <c r="I262" s="58"/>
      <c r="L262" s="90"/>
      <c r="M262" s="90"/>
      <c r="N262" s="58"/>
    </row>
    <row r="263" spans="1:20" s="57" customFormat="1" ht="15.75" customHeight="1" x14ac:dyDescent="0.35">
      <c r="A263" s="59">
        <f t="shared" si="55"/>
        <v>3</v>
      </c>
      <c r="B263" s="59" t="s">
        <v>221</v>
      </c>
      <c r="C263" s="59" t="s">
        <v>211</v>
      </c>
      <c r="D263" s="64">
        <f t="shared" si="52"/>
        <v>300.10031999999995</v>
      </c>
      <c r="E263" s="64">
        <f t="shared" si="53"/>
        <v>71.042399999999986</v>
      </c>
      <c r="F263" s="59">
        <f>D263+E263</f>
        <v>371.14271999999994</v>
      </c>
      <c r="G263" s="59">
        <v>0</v>
      </c>
      <c r="H263" s="59">
        <f t="shared" si="54"/>
        <v>556.71407999999997</v>
      </c>
      <c r="I263" s="58"/>
      <c r="L263" s="90"/>
      <c r="M263" s="90"/>
      <c r="N263" s="58"/>
    </row>
    <row r="264" spans="1:20" s="57" customFormat="1" ht="15.75" customHeight="1" x14ac:dyDescent="0.35">
      <c r="A264" s="59">
        <f t="shared" si="55"/>
        <v>4</v>
      </c>
      <c r="B264" s="59" t="s">
        <v>221</v>
      </c>
      <c r="C264" s="59" t="s">
        <v>211</v>
      </c>
      <c r="D264" s="64">
        <f t="shared" si="52"/>
        <v>300.10031999999995</v>
      </c>
      <c r="E264" s="64">
        <f t="shared" si="53"/>
        <v>71.042399999999986</v>
      </c>
      <c r="F264" s="59">
        <f>D264+E264</f>
        <v>371.14271999999994</v>
      </c>
      <c r="G264" s="59">
        <v>0</v>
      </c>
      <c r="H264" s="59">
        <f t="shared" si="54"/>
        <v>556.71407999999997</v>
      </c>
      <c r="I264" s="58"/>
      <c r="L264" s="90"/>
      <c r="M264" s="90"/>
      <c r="N264" s="58"/>
      <c r="T264" s="54"/>
    </row>
    <row r="265" spans="1:20" s="57" customFormat="1" ht="15.75" customHeight="1" x14ac:dyDescent="0.35">
      <c r="A265" s="59">
        <f t="shared" si="55"/>
        <v>5</v>
      </c>
      <c r="B265" s="59" t="s">
        <v>221</v>
      </c>
      <c r="C265" s="59" t="s">
        <v>211</v>
      </c>
      <c r="D265" s="64">
        <f t="shared" si="52"/>
        <v>300.10031999999995</v>
      </c>
      <c r="E265" s="64">
        <f t="shared" si="53"/>
        <v>71.042399999999986</v>
      </c>
      <c r="F265" s="59">
        <f t="shared" ref="F265" si="57">D265+E265</f>
        <v>371.14271999999994</v>
      </c>
      <c r="G265" s="59">
        <v>0</v>
      </c>
      <c r="H265" s="59">
        <f t="shared" si="54"/>
        <v>556.71407999999997</v>
      </c>
      <c r="I265" s="58"/>
      <c r="L265" s="90"/>
      <c r="M265" s="90"/>
      <c r="N265" s="58"/>
    </row>
    <row r="266" spans="1:20" s="57" customFormat="1" ht="15.75" customHeight="1" x14ac:dyDescent="0.35">
      <c r="A266" s="59">
        <f t="shared" si="55"/>
        <v>6</v>
      </c>
      <c r="B266" s="59" t="s">
        <v>221</v>
      </c>
      <c r="C266" s="59" t="s">
        <v>211</v>
      </c>
      <c r="D266" s="64">
        <f t="shared" si="52"/>
        <v>300.10031999999995</v>
      </c>
      <c r="E266" s="64">
        <f t="shared" si="53"/>
        <v>71.042399999999986</v>
      </c>
      <c r="F266" s="59">
        <f>D266+E266</f>
        <v>371.14271999999994</v>
      </c>
      <c r="G266" s="59">
        <v>0</v>
      </c>
      <c r="H266" s="59">
        <f t="shared" si="54"/>
        <v>556.71407999999997</v>
      </c>
      <c r="I266" s="58"/>
      <c r="L266" s="90"/>
      <c r="M266" s="90"/>
      <c r="N266" s="58"/>
    </row>
    <row r="267" spans="1:20" s="57" customFormat="1" ht="15.75" customHeight="1" x14ac:dyDescent="0.35">
      <c r="A267" s="59">
        <f t="shared" si="55"/>
        <v>7</v>
      </c>
      <c r="B267" s="59" t="s">
        <v>221</v>
      </c>
      <c r="C267" s="59" t="s">
        <v>211</v>
      </c>
      <c r="D267" s="64">
        <f t="shared" si="52"/>
        <v>300.10031999999995</v>
      </c>
      <c r="E267" s="64">
        <f t="shared" si="53"/>
        <v>71.042399999999986</v>
      </c>
      <c r="F267" s="59">
        <f>D267+E267</f>
        <v>371.14271999999994</v>
      </c>
      <c r="G267" s="59">
        <v>0</v>
      </c>
      <c r="H267" s="59">
        <f t="shared" si="54"/>
        <v>556.71407999999997</v>
      </c>
      <c r="I267" s="58"/>
      <c r="L267" s="90"/>
      <c r="M267" s="90"/>
      <c r="N267" s="58"/>
      <c r="T267" s="54"/>
    </row>
    <row r="268" spans="1:20" s="57" customFormat="1" ht="15.75" customHeight="1" x14ac:dyDescent="0.35">
      <c r="A268" s="59">
        <f t="shared" si="55"/>
        <v>8</v>
      </c>
      <c r="B268" s="59" t="s">
        <v>221</v>
      </c>
      <c r="C268" s="59" t="s">
        <v>211</v>
      </c>
      <c r="D268" s="64">
        <f t="shared" si="52"/>
        <v>300.10031999999995</v>
      </c>
      <c r="E268" s="64">
        <f t="shared" si="53"/>
        <v>71.042399999999986</v>
      </c>
      <c r="F268" s="59">
        <f t="shared" ref="F268:F272" si="58">D268+E268</f>
        <v>371.14271999999994</v>
      </c>
      <c r="G268" s="59">
        <v>0</v>
      </c>
      <c r="H268" s="59">
        <f t="shared" si="54"/>
        <v>556.71407999999997</v>
      </c>
      <c r="I268" s="58"/>
      <c r="L268" s="90"/>
      <c r="M268" s="90"/>
      <c r="N268" s="58"/>
    </row>
    <row r="269" spans="1:20" s="57" customFormat="1" ht="15.75" customHeight="1" x14ac:dyDescent="0.35">
      <c r="A269" s="59">
        <f t="shared" si="55"/>
        <v>9</v>
      </c>
      <c r="B269" s="59" t="s">
        <v>221</v>
      </c>
      <c r="C269" s="59" t="s">
        <v>211</v>
      </c>
      <c r="D269" s="64">
        <f t="shared" si="52"/>
        <v>300.10031999999995</v>
      </c>
      <c r="E269" s="64">
        <f t="shared" si="53"/>
        <v>71.042399999999986</v>
      </c>
      <c r="F269" s="59">
        <f t="shared" si="58"/>
        <v>371.14271999999994</v>
      </c>
      <c r="G269" s="59">
        <v>0</v>
      </c>
      <c r="H269" s="59">
        <f t="shared" si="54"/>
        <v>556.71407999999997</v>
      </c>
      <c r="I269" s="58"/>
      <c r="L269" s="90"/>
      <c r="M269" s="90"/>
      <c r="N269" s="58"/>
    </row>
    <row r="270" spans="1:20" s="57" customFormat="1" ht="15.75" customHeight="1" x14ac:dyDescent="0.35">
      <c r="A270" s="59">
        <f t="shared" si="55"/>
        <v>10</v>
      </c>
      <c r="B270" s="59" t="s">
        <v>221</v>
      </c>
      <c r="C270" s="59" t="s">
        <v>211</v>
      </c>
      <c r="D270" s="64">
        <f t="shared" si="52"/>
        <v>300.10031999999995</v>
      </c>
      <c r="E270" s="64">
        <f t="shared" si="53"/>
        <v>71.042399999999986</v>
      </c>
      <c r="F270" s="59">
        <f t="shared" si="58"/>
        <v>371.14271999999994</v>
      </c>
      <c r="G270" s="59">
        <v>0</v>
      </c>
      <c r="H270" s="59">
        <f t="shared" si="54"/>
        <v>556.71407999999997</v>
      </c>
      <c r="I270" s="58"/>
      <c r="L270" s="90"/>
      <c r="M270" s="90"/>
      <c r="N270" s="58"/>
      <c r="T270" s="54"/>
    </row>
    <row r="271" spans="1:20" s="57" customFormat="1" ht="15.75" customHeight="1" x14ac:dyDescent="0.35">
      <c r="A271" s="59">
        <f t="shared" si="55"/>
        <v>11</v>
      </c>
      <c r="B271" s="59" t="s">
        <v>222</v>
      </c>
      <c r="C271" s="85" t="s">
        <v>218</v>
      </c>
      <c r="D271" s="86"/>
      <c r="E271" s="86"/>
      <c r="F271" s="86"/>
      <c r="G271" s="86"/>
      <c r="H271" s="87"/>
      <c r="I271" s="58"/>
      <c r="L271" s="90"/>
      <c r="M271" s="90"/>
      <c r="N271" s="58"/>
    </row>
    <row r="272" spans="1:20" s="57" customFormat="1" ht="15.75" customHeight="1" x14ac:dyDescent="0.35">
      <c r="A272" s="59">
        <f t="shared" si="55"/>
        <v>12</v>
      </c>
      <c r="B272" s="59" t="s">
        <v>221</v>
      </c>
      <c r="C272" s="59" t="s">
        <v>211</v>
      </c>
      <c r="D272" s="64">
        <f>(27.88)*(10.764)</f>
        <v>300.10031999999995</v>
      </c>
      <c r="E272" s="64">
        <f>(2*2.75*1.2)*(10.764)</f>
        <v>71.042399999999986</v>
      </c>
      <c r="F272" s="59">
        <f t="shared" si="58"/>
        <v>371.14271999999994</v>
      </c>
      <c r="G272" s="59">
        <v>0</v>
      </c>
      <c r="H272" s="59">
        <f>F272*(($H$209)+1)+(IF(G272&lt;101,G272,IF(G272&lt;201,G272/2,IF(G272&lt;=301,G272/3,G272/4))))</f>
        <v>556.71407999999997</v>
      </c>
      <c r="I272" s="58"/>
      <c r="L272" s="90"/>
      <c r="M272" s="90"/>
      <c r="N272" s="58"/>
    </row>
    <row r="273" spans="1:20" s="57" customFormat="1" ht="15.75" customHeight="1" x14ac:dyDescent="0.35">
      <c r="A273" s="59">
        <f t="shared" si="55"/>
        <v>13</v>
      </c>
      <c r="B273" s="59" t="s">
        <v>221</v>
      </c>
      <c r="C273" s="59" t="s">
        <v>211</v>
      </c>
      <c r="D273" s="64">
        <f>(27.88)*(10.764)</f>
        <v>300.10031999999995</v>
      </c>
      <c r="E273" s="64">
        <f>(2*2.75*1.2)*(10.764)</f>
        <v>71.042399999999986</v>
      </c>
      <c r="F273" s="59">
        <f>D273+E273</f>
        <v>371.14271999999994</v>
      </c>
      <c r="G273" s="59">
        <v>0</v>
      </c>
      <c r="H273" s="59">
        <f>F273*(($H$209)+1)+(IF(G273&lt;101,G273,IF(G273&lt;201,G273/2,IF(G273&lt;=301,G273/3,G273/4))))</f>
        <v>556.71407999999997</v>
      </c>
      <c r="I273" s="58"/>
      <c r="L273" s="90"/>
      <c r="M273" s="90"/>
      <c r="N273" s="58"/>
      <c r="T273" s="54"/>
    </row>
    <row r="274" spans="1:20" s="57" customFormat="1" ht="15.75" customHeight="1" x14ac:dyDescent="0.35">
      <c r="A274" s="59">
        <f t="shared" si="55"/>
        <v>14</v>
      </c>
      <c r="B274" s="59" t="s">
        <v>221</v>
      </c>
      <c r="C274" s="59" t="s">
        <v>211</v>
      </c>
      <c r="D274" s="64">
        <f>(27.88)*(10.764)</f>
        <v>300.10031999999995</v>
      </c>
      <c r="E274" s="64">
        <f>(2*2.75*1.2)*(10.764)</f>
        <v>71.042399999999986</v>
      </c>
      <c r="F274" s="59">
        <f>D274+E274</f>
        <v>371.14271999999994</v>
      </c>
      <c r="G274" s="59">
        <v>0</v>
      </c>
      <c r="H274" s="59">
        <f>F274*(($H$209)+1)+(IF(G274&lt;101,G274,IF(G274&lt;201,G274/2,IF(G274&lt;=301,G274/3,G274/4))))</f>
        <v>556.71407999999997</v>
      </c>
      <c r="I274" s="58"/>
      <c r="L274" s="90"/>
      <c r="M274" s="90"/>
      <c r="N274" s="58"/>
      <c r="T274" s="54"/>
    </row>
    <row r="275" spans="1:20" s="57" customFormat="1" x14ac:dyDescent="0.35">
      <c r="A275" s="88" t="s">
        <v>223</v>
      </c>
      <c r="B275" s="88"/>
      <c r="C275" s="88"/>
      <c r="D275" s="88"/>
      <c r="E275" s="88"/>
      <c r="F275" s="88"/>
      <c r="G275" s="88"/>
      <c r="H275" s="88"/>
      <c r="J275" s="58"/>
    </row>
    <row r="276" spans="1:20" s="57" customFormat="1" ht="15.75" customHeight="1" x14ac:dyDescent="0.35">
      <c r="A276" s="71">
        <v>1</v>
      </c>
      <c r="B276" s="71" t="s">
        <v>221</v>
      </c>
      <c r="C276" s="71" t="s">
        <v>211</v>
      </c>
      <c r="D276" s="71">
        <f t="shared" ref="D276:D289" si="59">(27.88)*(10.764)</f>
        <v>300.10031999999995</v>
      </c>
      <c r="E276" s="71">
        <f t="shared" ref="E276:E289" si="60">(2*2.75*1.2)*(10.764)</f>
        <v>71.042399999999986</v>
      </c>
      <c r="F276" s="71">
        <f>D276+E276</f>
        <v>371.14271999999994</v>
      </c>
      <c r="G276" s="71">
        <v>0</v>
      </c>
      <c r="H276" s="71">
        <f>F276*(($H$209)+1)+(IF(G276&lt;101,G276,IF(G276&lt;201,G276/2,IF(G276&lt;=301,G276/3,G276/4))))</f>
        <v>556.71407999999997</v>
      </c>
      <c r="I276" s="58"/>
      <c r="L276" s="90"/>
      <c r="M276" s="90"/>
      <c r="N276" s="58"/>
    </row>
    <row r="277" spans="1:20" s="57" customFormat="1" ht="15.75" customHeight="1" x14ac:dyDescent="0.35">
      <c r="A277" s="71">
        <f t="shared" ref="A277:A289" si="61">A276+1</f>
        <v>2</v>
      </c>
      <c r="B277" s="71" t="s">
        <v>221</v>
      </c>
      <c r="C277" s="71" t="s">
        <v>211</v>
      </c>
      <c r="D277" s="71">
        <f t="shared" si="59"/>
        <v>300.10031999999995</v>
      </c>
      <c r="E277" s="71">
        <f t="shared" si="60"/>
        <v>71.042399999999986</v>
      </c>
      <c r="F277" s="71">
        <f t="shared" ref="F277" si="62">D277+E277</f>
        <v>371.14271999999994</v>
      </c>
      <c r="G277" s="71">
        <v>0</v>
      </c>
      <c r="H277" s="71">
        <f t="shared" ref="H277:H289" si="63">F277*(($H$209)+1)+(IF(G277&lt;101,G277,IF(G277&lt;201,G277/2,IF(G277&lt;=301,G277/3,G277/4))))</f>
        <v>556.71407999999997</v>
      </c>
      <c r="I277" s="58"/>
      <c r="L277" s="90"/>
      <c r="M277" s="90"/>
      <c r="N277" s="58"/>
    </row>
    <row r="278" spans="1:20" s="57" customFormat="1" ht="15.75" customHeight="1" x14ac:dyDescent="0.35">
      <c r="A278" s="71">
        <f t="shared" si="61"/>
        <v>3</v>
      </c>
      <c r="B278" s="71" t="s">
        <v>221</v>
      </c>
      <c r="C278" s="71" t="s">
        <v>211</v>
      </c>
      <c r="D278" s="71">
        <f t="shared" si="59"/>
        <v>300.10031999999995</v>
      </c>
      <c r="E278" s="71">
        <f t="shared" si="60"/>
        <v>71.042399999999986</v>
      </c>
      <c r="F278" s="71">
        <f>D278+E278</f>
        <v>371.14271999999994</v>
      </c>
      <c r="G278" s="71">
        <v>0</v>
      </c>
      <c r="H278" s="71">
        <f t="shared" si="63"/>
        <v>556.71407999999997</v>
      </c>
      <c r="I278" s="58"/>
      <c r="L278" s="90"/>
      <c r="M278" s="90"/>
      <c r="N278" s="58"/>
    </row>
    <row r="279" spans="1:20" s="57" customFormat="1" ht="15.75" customHeight="1" x14ac:dyDescent="0.35">
      <c r="A279" s="71">
        <f t="shared" si="61"/>
        <v>4</v>
      </c>
      <c r="B279" s="71" t="s">
        <v>221</v>
      </c>
      <c r="C279" s="71" t="s">
        <v>211</v>
      </c>
      <c r="D279" s="71">
        <f t="shared" si="59"/>
        <v>300.10031999999995</v>
      </c>
      <c r="E279" s="71">
        <f t="shared" si="60"/>
        <v>71.042399999999986</v>
      </c>
      <c r="F279" s="71">
        <f>D279+E279</f>
        <v>371.14271999999994</v>
      </c>
      <c r="G279" s="71">
        <v>0</v>
      </c>
      <c r="H279" s="71">
        <f t="shared" si="63"/>
        <v>556.71407999999997</v>
      </c>
      <c r="I279" s="58"/>
      <c r="L279" s="90"/>
      <c r="M279" s="90"/>
      <c r="N279" s="58"/>
      <c r="T279" s="54"/>
    </row>
    <row r="280" spans="1:20" s="57" customFormat="1" ht="15.75" customHeight="1" x14ac:dyDescent="0.35">
      <c r="A280" s="71">
        <f t="shared" si="61"/>
        <v>5</v>
      </c>
      <c r="B280" s="71" t="s">
        <v>224</v>
      </c>
      <c r="C280" s="71" t="s">
        <v>211</v>
      </c>
      <c r="D280" s="71">
        <f t="shared" si="59"/>
        <v>300.10031999999995</v>
      </c>
      <c r="E280" s="71">
        <f t="shared" si="60"/>
        <v>71.042399999999986</v>
      </c>
      <c r="F280" s="71">
        <f t="shared" ref="F280" si="64">D280+E280</f>
        <v>371.14271999999994</v>
      </c>
      <c r="G280" s="71">
        <v>0</v>
      </c>
      <c r="H280" s="71">
        <f t="shared" si="63"/>
        <v>556.71407999999997</v>
      </c>
      <c r="I280" s="58"/>
      <c r="L280" s="90"/>
      <c r="M280" s="90"/>
      <c r="N280" s="58"/>
    </row>
    <row r="281" spans="1:20" s="57" customFormat="1" ht="15.75" customHeight="1" x14ac:dyDescent="0.35">
      <c r="A281" s="71">
        <f t="shared" si="61"/>
        <v>6</v>
      </c>
      <c r="B281" s="71" t="s">
        <v>224</v>
      </c>
      <c r="C281" s="71" t="s">
        <v>211</v>
      </c>
      <c r="D281" s="71">
        <f t="shared" si="59"/>
        <v>300.10031999999995</v>
      </c>
      <c r="E281" s="71">
        <f t="shared" si="60"/>
        <v>71.042399999999986</v>
      </c>
      <c r="F281" s="71">
        <f>D281+E281</f>
        <v>371.14271999999994</v>
      </c>
      <c r="G281" s="71">
        <v>0</v>
      </c>
      <c r="H281" s="71">
        <f t="shared" si="63"/>
        <v>556.71407999999997</v>
      </c>
      <c r="I281" s="58"/>
      <c r="L281" s="90"/>
      <c r="M281" s="90"/>
      <c r="N281" s="58"/>
    </row>
    <row r="282" spans="1:20" s="57" customFormat="1" ht="15.75" customHeight="1" x14ac:dyDescent="0.35">
      <c r="A282" s="59">
        <f t="shared" si="61"/>
        <v>7</v>
      </c>
      <c r="B282" s="59" t="s">
        <v>224</v>
      </c>
      <c r="C282" s="59" t="s">
        <v>211</v>
      </c>
      <c r="D282" s="64">
        <f t="shared" si="59"/>
        <v>300.10031999999995</v>
      </c>
      <c r="E282" s="64">
        <f t="shared" si="60"/>
        <v>71.042399999999986</v>
      </c>
      <c r="F282" s="59">
        <f>D282+E282</f>
        <v>371.14271999999994</v>
      </c>
      <c r="G282" s="59">
        <v>0</v>
      </c>
      <c r="H282" s="59">
        <f t="shared" si="63"/>
        <v>556.71407999999997</v>
      </c>
      <c r="I282" s="58"/>
      <c r="L282" s="90"/>
      <c r="M282" s="90"/>
      <c r="N282" s="58"/>
      <c r="T282" s="54"/>
    </row>
    <row r="283" spans="1:20" s="57" customFormat="1" ht="15.75" customHeight="1" x14ac:dyDescent="0.35">
      <c r="A283" s="59">
        <f t="shared" si="61"/>
        <v>8</v>
      </c>
      <c r="B283" s="59" t="s">
        <v>224</v>
      </c>
      <c r="C283" s="59" t="s">
        <v>211</v>
      </c>
      <c r="D283" s="64">
        <f t="shared" si="59"/>
        <v>300.10031999999995</v>
      </c>
      <c r="E283" s="64">
        <f t="shared" si="60"/>
        <v>71.042399999999986</v>
      </c>
      <c r="F283" s="59">
        <f t="shared" ref="F283:F287" si="65">D283+E283</f>
        <v>371.14271999999994</v>
      </c>
      <c r="G283" s="59">
        <v>0</v>
      </c>
      <c r="H283" s="59">
        <f t="shared" si="63"/>
        <v>556.71407999999997</v>
      </c>
      <c r="I283" s="58"/>
      <c r="L283" s="90"/>
      <c r="M283" s="90"/>
      <c r="N283" s="58"/>
    </row>
    <row r="284" spans="1:20" s="57" customFormat="1" ht="15.75" customHeight="1" x14ac:dyDescent="0.35">
      <c r="A284" s="59">
        <f t="shared" si="61"/>
        <v>9</v>
      </c>
      <c r="B284" s="59" t="s">
        <v>224</v>
      </c>
      <c r="C284" s="59" t="s">
        <v>211</v>
      </c>
      <c r="D284" s="64">
        <f t="shared" si="59"/>
        <v>300.10031999999995</v>
      </c>
      <c r="E284" s="64">
        <f t="shared" si="60"/>
        <v>71.042399999999986</v>
      </c>
      <c r="F284" s="59">
        <f t="shared" si="65"/>
        <v>371.14271999999994</v>
      </c>
      <c r="G284" s="59">
        <v>0</v>
      </c>
      <c r="H284" s="59">
        <f t="shared" si="63"/>
        <v>556.71407999999997</v>
      </c>
      <c r="I284" s="58"/>
      <c r="L284" s="90"/>
      <c r="M284" s="90"/>
      <c r="N284" s="58"/>
    </row>
    <row r="285" spans="1:20" s="57" customFormat="1" ht="15.75" customHeight="1" x14ac:dyDescent="0.35">
      <c r="A285" s="59">
        <f t="shared" si="61"/>
        <v>10</v>
      </c>
      <c r="B285" s="59" t="s">
        <v>224</v>
      </c>
      <c r="C285" s="59" t="s">
        <v>211</v>
      </c>
      <c r="D285" s="64">
        <f t="shared" si="59"/>
        <v>300.10031999999995</v>
      </c>
      <c r="E285" s="64">
        <f t="shared" si="60"/>
        <v>71.042399999999986</v>
      </c>
      <c r="F285" s="59">
        <f t="shared" si="65"/>
        <v>371.14271999999994</v>
      </c>
      <c r="G285" s="59">
        <v>0</v>
      </c>
      <c r="H285" s="59">
        <f t="shared" si="63"/>
        <v>556.71407999999997</v>
      </c>
      <c r="I285" s="58"/>
      <c r="L285" s="90"/>
      <c r="M285" s="90"/>
      <c r="N285" s="58"/>
      <c r="T285" s="54"/>
    </row>
    <row r="286" spans="1:20" s="57" customFormat="1" ht="15.75" customHeight="1" x14ac:dyDescent="0.35">
      <c r="A286" s="59">
        <f t="shared" si="61"/>
        <v>11</v>
      </c>
      <c r="B286" s="59" t="s">
        <v>224</v>
      </c>
      <c r="C286" s="59" t="s">
        <v>211</v>
      </c>
      <c r="D286" s="64">
        <f t="shared" si="59"/>
        <v>300.10031999999995</v>
      </c>
      <c r="E286" s="64">
        <f t="shared" si="60"/>
        <v>71.042399999999986</v>
      </c>
      <c r="F286" s="59">
        <f t="shared" si="65"/>
        <v>371.14271999999994</v>
      </c>
      <c r="G286" s="59">
        <v>0</v>
      </c>
      <c r="H286" s="59">
        <f t="shared" si="63"/>
        <v>556.71407999999997</v>
      </c>
      <c r="I286" s="58"/>
      <c r="L286" s="90"/>
      <c r="M286" s="90"/>
      <c r="N286" s="58"/>
    </row>
    <row r="287" spans="1:20" s="57" customFormat="1" ht="15.75" customHeight="1" x14ac:dyDescent="0.35">
      <c r="A287" s="59">
        <f t="shared" si="61"/>
        <v>12</v>
      </c>
      <c r="B287" s="59" t="s">
        <v>224</v>
      </c>
      <c r="C287" s="59" t="s">
        <v>211</v>
      </c>
      <c r="D287" s="64">
        <f t="shared" si="59"/>
        <v>300.10031999999995</v>
      </c>
      <c r="E287" s="64">
        <f t="shared" si="60"/>
        <v>71.042399999999986</v>
      </c>
      <c r="F287" s="59">
        <f t="shared" si="65"/>
        <v>371.14271999999994</v>
      </c>
      <c r="G287" s="59">
        <v>0</v>
      </c>
      <c r="H287" s="59">
        <f t="shared" si="63"/>
        <v>556.71407999999997</v>
      </c>
      <c r="I287" s="58"/>
      <c r="L287" s="90"/>
      <c r="M287" s="90"/>
      <c r="N287" s="58"/>
    </row>
    <row r="288" spans="1:20" s="57" customFormat="1" ht="15.75" customHeight="1" x14ac:dyDescent="0.35">
      <c r="A288" s="59">
        <f t="shared" si="61"/>
        <v>13</v>
      </c>
      <c r="B288" s="59" t="s">
        <v>224</v>
      </c>
      <c r="C288" s="59" t="s">
        <v>211</v>
      </c>
      <c r="D288" s="64">
        <f t="shared" si="59"/>
        <v>300.10031999999995</v>
      </c>
      <c r="E288" s="64">
        <f t="shared" si="60"/>
        <v>71.042399999999986</v>
      </c>
      <c r="F288" s="59">
        <f>D288+E288</f>
        <v>371.14271999999994</v>
      </c>
      <c r="G288" s="59">
        <v>0</v>
      </c>
      <c r="H288" s="59">
        <f t="shared" si="63"/>
        <v>556.71407999999997</v>
      </c>
      <c r="I288" s="58"/>
      <c r="L288" s="90"/>
      <c r="M288" s="90"/>
      <c r="N288" s="58"/>
      <c r="T288" s="54"/>
    </row>
    <row r="289" spans="1:20" s="57" customFormat="1" ht="15.75" customHeight="1" x14ac:dyDescent="0.35">
      <c r="A289" s="59">
        <f t="shared" si="61"/>
        <v>14</v>
      </c>
      <c r="B289" s="59" t="s">
        <v>224</v>
      </c>
      <c r="C289" s="59" t="s">
        <v>211</v>
      </c>
      <c r="D289" s="64">
        <f t="shared" si="59"/>
        <v>300.10031999999995</v>
      </c>
      <c r="E289" s="64">
        <f t="shared" si="60"/>
        <v>71.042399999999986</v>
      </c>
      <c r="F289" s="59">
        <f>D289+E289</f>
        <v>371.14271999999994</v>
      </c>
      <c r="G289" s="59">
        <v>0</v>
      </c>
      <c r="H289" s="59">
        <f t="shared" si="63"/>
        <v>556.71407999999997</v>
      </c>
      <c r="I289" s="58"/>
      <c r="L289" s="90"/>
      <c r="M289" s="90"/>
      <c r="N289" s="58"/>
      <c r="T289" s="54"/>
    </row>
    <row r="290" spans="1:20" s="70" customFormat="1" x14ac:dyDescent="0.35">
      <c r="A290" s="82" t="s">
        <v>262</v>
      </c>
      <c r="B290" s="83"/>
      <c r="C290" s="83"/>
      <c r="D290" s="83"/>
      <c r="E290" s="83"/>
      <c r="F290" s="83"/>
      <c r="G290" s="83"/>
      <c r="H290" s="84"/>
      <c r="J290" s="58"/>
    </row>
    <row r="291" spans="1:20" s="63" customFormat="1" x14ac:dyDescent="0.35">
      <c r="A291" s="82" t="s">
        <v>226</v>
      </c>
      <c r="B291" s="83"/>
      <c r="C291" s="83"/>
      <c r="D291" s="83"/>
      <c r="E291" s="83"/>
      <c r="F291" s="83"/>
      <c r="G291" s="83"/>
      <c r="H291" s="84"/>
      <c r="J291" s="58"/>
    </row>
    <row r="292" spans="1:20" s="63" customFormat="1" x14ac:dyDescent="0.35">
      <c r="A292" s="82" t="s">
        <v>230</v>
      </c>
      <c r="B292" s="83"/>
      <c r="C292" s="83"/>
      <c r="D292" s="83"/>
      <c r="E292" s="83"/>
      <c r="F292" s="83"/>
      <c r="G292" s="83"/>
      <c r="H292" s="84"/>
      <c r="J292" s="58"/>
    </row>
    <row r="293" spans="1:20" s="63" customFormat="1" ht="15.75" customHeight="1" x14ac:dyDescent="0.35">
      <c r="A293" s="64">
        <v>1</v>
      </c>
      <c r="B293" s="64" t="s">
        <v>222</v>
      </c>
      <c r="C293" s="91" t="s">
        <v>231</v>
      </c>
      <c r="D293" s="92"/>
      <c r="E293" s="92"/>
      <c r="F293" s="92"/>
      <c r="G293" s="92"/>
      <c r="H293" s="93"/>
      <c r="I293" s="58"/>
      <c r="L293" s="90"/>
      <c r="M293" s="90"/>
      <c r="N293" s="58"/>
    </row>
    <row r="294" spans="1:20" s="63" customFormat="1" ht="15.75" customHeight="1" x14ac:dyDescent="0.35">
      <c r="A294" s="64">
        <f t="shared" ref="A294:A306" si="66">A293+1</f>
        <v>2</v>
      </c>
      <c r="B294" s="64" t="s">
        <v>222</v>
      </c>
      <c r="C294" s="94"/>
      <c r="D294" s="95"/>
      <c r="E294" s="95"/>
      <c r="F294" s="95"/>
      <c r="G294" s="95"/>
      <c r="H294" s="96"/>
      <c r="I294" s="58"/>
      <c r="L294" s="90"/>
      <c r="M294" s="90"/>
      <c r="N294" s="58"/>
    </row>
    <row r="295" spans="1:20" s="63" customFormat="1" ht="15.75" customHeight="1" x14ac:dyDescent="0.35">
      <c r="A295" s="64">
        <f t="shared" si="66"/>
        <v>3</v>
      </c>
      <c r="B295" s="64" t="s">
        <v>222</v>
      </c>
      <c r="C295" s="97"/>
      <c r="D295" s="98"/>
      <c r="E295" s="98"/>
      <c r="F295" s="98"/>
      <c r="G295" s="98"/>
      <c r="H295" s="99"/>
      <c r="I295" s="58"/>
      <c r="L295" s="90"/>
      <c r="M295" s="90"/>
      <c r="N295" s="58"/>
    </row>
    <row r="296" spans="1:20" s="63" customFormat="1" ht="15.75" customHeight="1" x14ac:dyDescent="0.35">
      <c r="A296" s="64">
        <f t="shared" si="66"/>
        <v>4</v>
      </c>
      <c r="B296" s="64" t="s">
        <v>224</v>
      </c>
      <c r="C296" s="64" t="s">
        <v>211</v>
      </c>
      <c r="D296" s="64">
        <f>(28.41)*(10.764)</f>
        <v>305.80523999999997</v>
      </c>
      <c r="E296" s="64">
        <v>0</v>
      </c>
      <c r="F296" s="64">
        <f>D296+E296</f>
        <v>305.80523999999997</v>
      </c>
      <c r="G296" s="64">
        <v>0</v>
      </c>
      <c r="H296" s="64">
        <f t="shared" ref="H296:H305" si="67">F296*(($H$209)+1)+(IF(G296&lt;101,G296,IF(G296&lt;201,G296/2,IF(G296&lt;=301,G296/3,G296/4))))</f>
        <v>458.70785999999998</v>
      </c>
      <c r="I296" s="58"/>
      <c r="L296" s="90"/>
      <c r="M296" s="90"/>
      <c r="N296" s="58"/>
      <c r="T296" s="54"/>
    </row>
    <row r="297" spans="1:20" s="63" customFormat="1" ht="15.75" customHeight="1" x14ac:dyDescent="0.35">
      <c r="A297" s="64">
        <f t="shared" si="66"/>
        <v>5</v>
      </c>
      <c r="B297" s="64" t="s">
        <v>224</v>
      </c>
      <c r="C297" s="64" t="s">
        <v>211</v>
      </c>
      <c r="D297" s="64">
        <f>(29.71)*(10.764)</f>
        <v>319.79843999999997</v>
      </c>
      <c r="E297" s="64">
        <v>0</v>
      </c>
      <c r="F297" s="64">
        <f t="shared" ref="F297" si="68">D297+E297</f>
        <v>319.79843999999997</v>
      </c>
      <c r="G297" s="64">
        <v>0</v>
      </c>
      <c r="H297" s="64">
        <f t="shared" si="67"/>
        <v>479.69765999999993</v>
      </c>
      <c r="I297" s="58"/>
      <c r="L297" s="90"/>
      <c r="M297" s="90"/>
      <c r="N297" s="58"/>
    </row>
    <row r="298" spans="1:20" s="63" customFormat="1" ht="15.75" customHeight="1" x14ac:dyDescent="0.35">
      <c r="A298" s="64">
        <f t="shared" si="66"/>
        <v>6</v>
      </c>
      <c r="B298" s="64" t="s">
        <v>224</v>
      </c>
      <c r="C298" s="64" t="s">
        <v>211</v>
      </c>
      <c r="D298" s="64">
        <f>(29.71)*(10.764)</f>
        <v>319.79843999999997</v>
      </c>
      <c r="E298" s="64">
        <v>0</v>
      </c>
      <c r="F298" s="64">
        <f>D298+E298</f>
        <v>319.79843999999997</v>
      </c>
      <c r="G298" s="64">
        <v>0</v>
      </c>
      <c r="H298" s="64">
        <f t="shared" si="67"/>
        <v>479.69765999999993</v>
      </c>
      <c r="I298" s="58"/>
      <c r="L298" s="90"/>
      <c r="M298" s="90"/>
      <c r="N298" s="58"/>
    </row>
    <row r="299" spans="1:20" s="63" customFormat="1" ht="15.75" customHeight="1" x14ac:dyDescent="0.35">
      <c r="A299" s="64">
        <f t="shared" si="66"/>
        <v>7</v>
      </c>
      <c r="B299" s="64" t="s">
        <v>224</v>
      </c>
      <c r="C299" s="64" t="s">
        <v>211</v>
      </c>
      <c r="D299" s="64">
        <f>(29.71)*(10.764)</f>
        <v>319.79843999999997</v>
      </c>
      <c r="E299" s="64">
        <v>0</v>
      </c>
      <c r="F299" s="64">
        <f>D299+E299</f>
        <v>319.79843999999997</v>
      </c>
      <c r="G299" s="64">
        <v>0</v>
      </c>
      <c r="H299" s="64">
        <f t="shared" si="67"/>
        <v>479.69765999999993</v>
      </c>
      <c r="I299" s="58"/>
      <c r="L299" s="90"/>
      <c r="M299" s="90"/>
      <c r="N299" s="58"/>
      <c r="T299" s="54"/>
    </row>
    <row r="300" spans="1:20" s="63" customFormat="1" ht="15.75" customHeight="1" x14ac:dyDescent="0.35">
      <c r="A300" s="64">
        <f t="shared" si="66"/>
        <v>8</v>
      </c>
      <c r="B300" s="64" t="s">
        <v>224</v>
      </c>
      <c r="C300" s="64" t="s">
        <v>211</v>
      </c>
      <c r="D300" s="64">
        <f>(29.79)*(10.764)</f>
        <v>320.65956</v>
      </c>
      <c r="E300" s="64">
        <v>0</v>
      </c>
      <c r="F300" s="64">
        <f t="shared" ref="F300" si="69">D300+E300</f>
        <v>320.65956</v>
      </c>
      <c r="G300" s="64">
        <v>0</v>
      </c>
      <c r="H300" s="64">
        <f t="shared" si="67"/>
        <v>480.98933999999997</v>
      </c>
      <c r="I300" s="58"/>
      <c r="L300" s="90"/>
      <c r="M300" s="90"/>
      <c r="N300" s="58"/>
    </row>
    <row r="301" spans="1:20" s="63" customFormat="1" ht="15.75" customHeight="1" x14ac:dyDescent="0.35">
      <c r="A301" s="64">
        <f t="shared" si="66"/>
        <v>9</v>
      </c>
      <c r="B301" s="64" t="s">
        <v>224</v>
      </c>
      <c r="C301" s="64" t="s">
        <v>211</v>
      </c>
      <c r="D301" s="64">
        <f>(26.76)*(10.764)</f>
        <v>288.04464000000002</v>
      </c>
      <c r="E301" s="64">
        <v>0</v>
      </c>
      <c r="F301" s="64">
        <f>D301+E301</f>
        <v>288.04464000000002</v>
      </c>
      <c r="G301" s="64">
        <v>0</v>
      </c>
      <c r="H301" s="64">
        <f t="shared" si="67"/>
        <v>432.06695999999999</v>
      </c>
      <c r="I301" s="58"/>
      <c r="L301" s="90"/>
      <c r="M301" s="90"/>
      <c r="N301" s="58"/>
    </row>
    <row r="302" spans="1:20" s="63" customFormat="1" ht="15.75" customHeight="1" x14ac:dyDescent="0.35">
      <c r="A302" s="64">
        <f t="shared" si="66"/>
        <v>10</v>
      </c>
      <c r="B302" s="64" t="s">
        <v>224</v>
      </c>
      <c r="C302" s="64" t="s">
        <v>211</v>
      </c>
      <c r="D302" s="64">
        <f>(26.76)*(10.764)</f>
        <v>288.04464000000002</v>
      </c>
      <c r="E302" s="64">
        <v>0</v>
      </c>
      <c r="F302" s="64">
        <f>D302+E302</f>
        <v>288.04464000000002</v>
      </c>
      <c r="G302" s="64">
        <v>0</v>
      </c>
      <c r="H302" s="64">
        <f t="shared" si="67"/>
        <v>432.06695999999999</v>
      </c>
      <c r="I302" s="58"/>
      <c r="L302" s="90"/>
      <c r="M302" s="90"/>
      <c r="N302" s="58"/>
      <c r="T302" s="54"/>
    </row>
    <row r="303" spans="1:20" s="63" customFormat="1" ht="15.75" customHeight="1" x14ac:dyDescent="0.35">
      <c r="A303" s="64">
        <f t="shared" si="66"/>
        <v>11</v>
      </c>
      <c r="B303" s="64" t="s">
        <v>224</v>
      </c>
      <c r="C303" s="64" t="s">
        <v>211</v>
      </c>
      <c r="D303" s="64">
        <f>(26.82)*(10.764)</f>
        <v>288.69047999999998</v>
      </c>
      <c r="E303" s="64">
        <v>0</v>
      </c>
      <c r="F303" s="64">
        <f t="shared" ref="F303" si="70">D303+E303</f>
        <v>288.69047999999998</v>
      </c>
      <c r="G303" s="64">
        <v>0</v>
      </c>
      <c r="H303" s="64">
        <f t="shared" si="67"/>
        <v>433.03571999999997</v>
      </c>
      <c r="I303" s="58"/>
      <c r="L303" s="90"/>
      <c r="M303" s="90"/>
      <c r="N303" s="58"/>
    </row>
    <row r="304" spans="1:20" s="63" customFormat="1" ht="15.75" customHeight="1" x14ac:dyDescent="0.35">
      <c r="A304" s="64">
        <f t="shared" si="66"/>
        <v>12</v>
      </c>
      <c r="B304" s="64" t="s">
        <v>224</v>
      </c>
      <c r="C304" s="64" t="s">
        <v>211</v>
      </c>
      <c r="D304" s="64">
        <f>(29.73)*(10.764)</f>
        <v>320.01371999999998</v>
      </c>
      <c r="E304" s="64">
        <v>0</v>
      </c>
      <c r="F304" s="64">
        <f>D304+E304</f>
        <v>320.01371999999998</v>
      </c>
      <c r="G304" s="64">
        <v>0</v>
      </c>
      <c r="H304" s="64">
        <f t="shared" si="67"/>
        <v>480.02058</v>
      </c>
      <c r="I304" s="58"/>
      <c r="L304" s="90"/>
      <c r="M304" s="90"/>
      <c r="N304" s="58"/>
    </row>
    <row r="305" spans="1:20" s="63" customFormat="1" ht="15.75" customHeight="1" x14ac:dyDescent="0.35">
      <c r="A305" s="64">
        <f t="shared" si="66"/>
        <v>13</v>
      </c>
      <c r="B305" s="64" t="s">
        <v>224</v>
      </c>
      <c r="C305" s="64" t="s">
        <v>211</v>
      </c>
      <c r="D305" s="64">
        <f>(29.74)*(10.764)</f>
        <v>320.12135999999998</v>
      </c>
      <c r="E305" s="64">
        <v>0</v>
      </c>
      <c r="F305" s="64">
        <f>D305+E305</f>
        <v>320.12135999999998</v>
      </c>
      <c r="G305" s="64">
        <v>0</v>
      </c>
      <c r="H305" s="64">
        <f t="shared" si="67"/>
        <v>480.18203999999997</v>
      </c>
      <c r="I305" s="58"/>
      <c r="L305" s="90"/>
      <c r="M305" s="90"/>
      <c r="N305" s="58"/>
      <c r="T305" s="54"/>
    </row>
    <row r="306" spans="1:20" s="63" customFormat="1" ht="15.75" customHeight="1" x14ac:dyDescent="0.35">
      <c r="A306" s="64">
        <f t="shared" si="66"/>
        <v>14</v>
      </c>
      <c r="B306" s="64" t="s">
        <v>222</v>
      </c>
      <c r="C306" s="85" t="s">
        <v>231</v>
      </c>
      <c r="D306" s="86"/>
      <c r="E306" s="86"/>
      <c r="F306" s="86"/>
      <c r="G306" s="86"/>
      <c r="H306" s="87"/>
      <c r="I306" s="58"/>
      <c r="L306" s="90"/>
      <c r="M306" s="90"/>
      <c r="N306" s="58"/>
      <c r="T306" s="54"/>
    </row>
    <row r="307" spans="1:20" s="63" customFormat="1" x14ac:dyDescent="0.35">
      <c r="A307" s="82" t="s">
        <v>232</v>
      </c>
      <c r="B307" s="83"/>
      <c r="C307" s="83"/>
      <c r="D307" s="83"/>
      <c r="E307" s="83"/>
      <c r="F307" s="83"/>
      <c r="G307" s="83"/>
      <c r="H307" s="84"/>
      <c r="J307" s="58"/>
    </row>
    <row r="308" spans="1:20" s="63" customFormat="1" ht="15.75" customHeight="1" x14ac:dyDescent="0.35">
      <c r="A308" s="64">
        <v>1</v>
      </c>
      <c r="B308" s="64" t="s">
        <v>224</v>
      </c>
      <c r="C308" s="64" t="s">
        <v>211</v>
      </c>
      <c r="D308" s="64">
        <f>(29.74)*(10.764)</f>
        <v>320.12135999999998</v>
      </c>
      <c r="E308" s="64">
        <v>0</v>
      </c>
      <c r="F308" s="64">
        <f>D308+E308</f>
        <v>320.12135999999998</v>
      </c>
      <c r="G308" s="64">
        <v>0</v>
      </c>
      <c r="H308" s="64">
        <f>F308*(($H$209)+1)+(IF(G308&lt;101,G308,IF(G308&lt;201,G308/2,IF(G308&lt;=301,G308/3,G308/4))))</f>
        <v>480.18203999999997</v>
      </c>
      <c r="I308" s="58"/>
      <c r="L308" s="90"/>
      <c r="M308" s="90"/>
      <c r="N308" s="58"/>
    </row>
    <row r="309" spans="1:20" s="63" customFormat="1" ht="15.75" customHeight="1" x14ac:dyDescent="0.35">
      <c r="A309" s="64">
        <f t="shared" ref="A309:A321" si="71">A308+1</f>
        <v>2</v>
      </c>
      <c r="B309" s="64" t="s">
        <v>224</v>
      </c>
      <c r="C309" s="64" t="s">
        <v>211</v>
      </c>
      <c r="D309" s="64">
        <f>(29.71)*(10.764)</f>
        <v>319.79843999999997</v>
      </c>
      <c r="E309" s="64">
        <v>0</v>
      </c>
      <c r="F309" s="64">
        <f t="shared" ref="F309" si="72">D309+E309</f>
        <v>319.79843999999997</v>
      </c>
      <c r="G309" s="64">
        <v>0</v>
      </c>
      <c r="H309" s="64">
        <f t="shared" ref="H309:H321" si="73">F309*(($H$209)+1)+(IF(G309&lt;101,G309,IF(G309&lt;201,G309/2,IF(G309&lt;=301,G309/3,G309/4))))</f>
        <v>479.69765999999993</v>
      </c>
      <c r="I309" s="58"/>
      <c r="L309" s="90"/>
      <c r="M309" s="90"/>
      <c r="N309" s="58"/>
    </row>
    <row r="310" spans="1:20" s="63" customFormat="1" ht="15.75" customHeight="1" x14ac:dyDescent="0.35">
      <c r="A310" s="64">
        <f t="shared" si="71"/>
        <v>3</v>
      </c>
      <c r="B310" s="64" t="s">
        <v>224</v>
      </c>
      <c r="C310" s="64" t="s">
        <v>211</v>
      </c>
      <c r="D310" s="64">
        <f>(28.41)*(10.764)</f>
        <v>305.80523999999997</v>
      </c>
      <c r="E310" s="64">
        <v>0</v>
      </c>
      <c r="F310" s="64">
        <f>D310+E310</f>
        <v>305.80523999999997</v>
      </c>
      <c r="G310" s="64">
        <v>0</v>
      </c>
      <c r="H310" s="64">
        <f t="shared" si="73"/>
        <v>458.70785999999998</v>
      </c>
      <c r="I310" s="58"/>
      <c r="L310" s="90"/>
      <c r="M310" s="90"/>
      <c r="N310" s="58"/>
    </row>
    <row r="311" spans="1:20" s="63" customFormat="1" ht="15.75" customHeight="1" x14ac:dyDescent="0.35">
      <c r="A311" s="64">
        <f t="shared" si="71"/>
        <v>4</v>
      </c>
      <c r="B311" s="64" t="s">
        <v>224</v>
      </c>
      <c r="C311" s="64" t="s">
        <v>211</v>
      </c>
      <c r="D311" s="64">
        <f>(28.41)*(10.764)</f>
        <v>305.80523999999997</v>
      </c>
      <c r="E311" s="64">
        <v>0</v>
      </c>
      <c r="F311" s="64">
        <f>D311+E311</f>
        <v>305.80523999999997</v>
      </c>
      <c r="G311" s="64">
        <v>0</v>
      </c>
      <c r="H311" s="64">
        <f t="shared" si="73"/>
        <v>458.70785999999998</v>
      </c>
      <c r="I311" s="58"/>
      <c r="L311" s="90"/>
      <c r="M311" s="90"/>
      <c r="N311" s="58"/>
      <c r="T311" s="54"/>
    </row>
    <row r="312" spans="1:20" s="63" customFormat="1" ht="15.75" customHeight="1" x14ac:dyDescent="0.35">
      <c r="A312" s="64">
        <f t="shared" si="71"/>
        <v>5</v>
      </c>
      <c r="B312" s="64" t="s">
        <v>224</v>
      </c>
      <c r="C312" s="64" t="s">
        <v>211</v>
      </c>
      <c r="D312" s="64">
        <f>(29.71)*(10.764)</f>
        <v>319.79843999999997</v>
      </c>
      <c r="E312" s="64">
        <v>0</v>
      </c>
      <c r="F312" s="64">
        <f t="shared" ref="F312" si="74">D312+E312</f>
        <v>319.79843999999997</v>
      </c>
      <c r="G312" s="64">
        <v>0</v>
      </c>
      <c r="H312" s="64">
        <f t="shared" si="73"/>
        <v>479.69765999999993</v>
      </c>
      <c r="I312" s="58"/>
      <c r="L312" s="90"/>
      <c r="M312" s="90"/>
      <c r="N312" s="58"/>
    </row>
    <row r="313" spans="1:20" s="63" customFormat="1" ht="15.75" customHeight="1" x14ac:dyDescent="0.35">
      <c r="A313" s="64">
        <f t="shared" si="71"/>
        <v>6</v>
      </c>
      <c r="B313" s="64" t="s">
        <v>224</v>
      </c>
      <c r="C313" s="64" t="s">
        <v>211</v>
      </c>
      <c r="D313" s="64">
        <f>(29.71)*(10.764)</f>
        <v>319.79843999999997</v>
      </c>
      <c r="E313" s="64">
        <v>0</v>
      </c>
      <c r="F313" s="64">
        <f>D313+E313</f>
        <v>319.79843999999997</v>
      </c>
      <c r="G313" s="64">
        <v>0</v>
      </c>
      <c r="H313" s="64">
        <f t="shared" si="73"/>
        <v>479.69765999999993</v>
      </c>
      <c r="I313" s="58"/>
      <c r="L313" s="90"/>
      <c r="M313" s="90"/>
      <c r="N313" s="58"/>
    </row>
    <row r="314" spans="1:20" s="63" customFormat="1" ht="15.75" customHeight="1" x14ac:dyDescent="0.35">
      <c r="A314" s="64">
        <f t="shared" si="71"/>
        <v>7</v>
      </c>
      <c r="B314" s="64" t="s">
        <v>224</v>
      </c>
      <c r="C314" s="64" t="s">
        <v>211</v>
      </c>
      <c r="D314" s="64">
        <f>(29.71)*(10.764)</f>
        <v>319.79843999999997</v>
      </c>
      <c r="E314" s="64">
        <v>0</v>
      </c>
      <c r="F314" s="64">
        <f>D314+E314</f>
        <v>319.79843999999997</v>
      </c>
      <c r="G314" s="64">
        <v>0</v>
      </c>
      <c r="H314" s="64">
        <f t="shared" si="73"/>
        <v>479.69765999999993</v>
      </c>
      <c r="I314" s="58"/>
      <c r="L314" s="90"/>
      <c r="M314" s="90"/>
      <c r="N314" s="58"/>
      <c r="T314" s="54"/>
    </row>
    <row r="315" spans="1:20" s="63" customFormat="1" ht="15.75" customHeight="1" x14ac:dyDescent="0.35">
      <c r="A315" s="64">
        <f t="shared" si="71"/>
        <v>8</v>
      </c>
      <c r="B315" s="64" t="s">
        <v>224</v>
      </c>
      <c r="C315" s="64" t="s">
        <v>211</v>
      </c>
      <c r="D315" s="64">
        <f>(29.79)*(10.764)</f>
        <v>320.65956</v>
      </c>
      <c r="E315" s="64">
        <v>0</v>
      </c>
      <c r="F315" s="64">
        <f t="shared" ref="F315" si="75">D315+E315</f>
        <v>320.65956</v>
      </c>
      <c r="G315" s="64">
        <v>0</v>
      </c>
      <c r="H315" s="64">
        <f t="shared" si="73"/>
        <v>480.98933999999997</v>
      </c>
      <c r="I315" s="58"/>
      <c r="L315" s="90"/>
      <c r="M315" s="90"/>
      <c r="N315" s="58"/>
    </row>
    <row r="316" spans="1:20" s="63" customFormat="1" ht="15.75" customHeight="1" x14ac:dyDescent="0.35">
      <c r="A316" s="64">
        <f t="shared" si="71"/>
        <v>9</v>
      </c>
      <c r="B316" s="64" t="s">
        <v>224</v>
      </c>
      <c r="C316" s="64" t="s">
        <v>211</v>
      </c>
      <c r="D316" s="64">
        <f>(26.76)*(10.764)</f>
        <v>288.04464000000002</v>
      </c>
      <c r="E316" s="64">
        <v>0</v>
      </c>
      <c r="F316" s="64">
        <f>D316+E316</f>
        <v>288.04464000000002</v>
      </c>
      <c r="G316" s="64">
        <v>0</v>
      </c>
      <c r="H316" s="64">
        <f t="shared" si="73"/>
        <v>432.06695999999999</v>
      </c>
      <c r="I316" s="58"/>
      <c r="K316" s="63">
        <f>6500000/H320</f>
        <v>13536.53293655048</v>
      </c>
      <c r="L316" s="90"/>
      <c r="M316" s="90"/>
      <c r="N316" s="58"/>
    </row>
    <row r="317" spans="1:20" s="63" customFormat="1" ht="15.75" customHeight="1" x14ac:dyDescent="0.35">
      <c r="A317" s="71">
        <f t="shared" si="71"/>
        <v>10</v>
      </c>
      <c r="B317" s="71" t="s">
        <v>224</v>
      </c>
      <c r="C317" s="71" t="s">
        <v>211</v>
      </c>
      <c r="D317" s="71">
        <f>(26.76)*(10.764)</f>
        <v>288.04464000000002</v>
      </c>
      <c r="E317" s="71">
        <v>0</v>
      </c>
      <c r="F317" s="71">
        <f>D317+E317</f>
        <v>288.04464000000002</v>
      </c>
      <c r="G317" s="71">
        <v>0</v>
      </c>
      <c r="H317" s="71">
        <f t="shared" si="73"/>
        <v>432.06695999999999</v>
      </c>
      <c r="I317" s="58"/>
      <c r="L317" s="90"/>
      <c r="M317" s="90"/>
      <c r="N317" s="58"/>
      <c r="T317" s="54"/>
    </row>
    <row r="318" spans="1:20" s="63" customFormat="1" ht="15.75" customHeight="1" x14ac:dyDescent="0.35">
      <c r="A318" s="71">
        <f t="shared" si="71"/>
        <v>11</v>
      </c>
      <c r="B318" s="71" t="s">
        <v>224</v>
      </c>
      <c r="C318" s="71" t="s">
        <v>211</v>
      </c>
      <c r="D318" s="71">
        <f>(26.82)*(10.764)</f>
        <v>288.69047999999998</v>
      </c>
      <c r="E318" s="71">
        <v>0</v>
      </c>
      <c r="F318" s="71">
        <f t="shared" ref="F318" si="76">D318+E318</f>
        <v>288.69047999999998</v>
      </c>
      <c r="G318" s="71">
        <v>0</v>
      </c>
      <c r="H318" s="71">
        <f t="shared" si="73"/>
        <v>433.03571999999997</v>
      </c>
      <c r="I318" s="58"/>
      <c r="L318" s="90"/>
      <c r="M318" s="90"/>
      <c r="N318" s="58"/>
    </row>
    <row r="319" spans="1:20" s="63" customFormat="1" ht="15.75" customHeight="1" x14ac:dyDescent="0.35">
      <c r="A319" s="71">
        <f t="shared" si="71"/>
        <v>12</v>
      </c>
      <c r="B319" s="71" t="s">
        <v>224</v>
      </c>
      <c r="C319" s="71" t="s">
        <v>211</v>
      </c>
      <c r="D319" s="71">
        <f>(29.73)*(10.764)</f>
        <v>320.01371999999998</v>
      </c>
      <c r="E319" s="71">
        <v>0</v>
      </c>
      <c r="F319" s="71">
        <f>D319+E319</f>
        <v>320.01371999999998</v>
      </c>
      <c r="G319" s="71">
        <v>0</v>
      </c>
      <c r="H319" s="71">
        <f t="shared" si="73"/>
        <v>480.02058</v>
      </c>
      <c r="I319" s="58"/>
      <c r="L319" s="90"/>
      <c r="M319" s="90"/>
      <c r="N319" s="58"/>
    </row>
    <row r="320" spans="1:20" s="63" customFormat="1" ht="15.75" customHeight="1" x14ac:dyDescent="0.35">
      <c r="A320" s="71">
        <f t="shared" si="71"/>
        <v>13</v>
      </c>
      <c r="B320" s="71" t="s">
        <v>224</v>
      </c>
      <c r="C320" s="71" t="s">
        <v>211</v>
      </c>
      <c r="D320" s="71">
        <f>(29.74)*(10.764)</f>
        <v>320.12135999999998</v>
      </c>
      <c r="E320" s="71">
        <v>0</v>
      </c>
      <c r="F320" s="71">
        <f>D320+E320</f>
        <v>320.12135999999998</v>
      </c>
      <c r="G320" s="71">
        <v>0</v>
      </c>
      <c r="H320" s="71">
        <f t="shared" si="73"/>
        <v>480.18203999999997</v>
      </c>
      <c r="I320" s="58"/>
      <c r="L320" s="90"/>
      <c r="M320" s="90"/>
      <c r="N320" s="58"/>
      <c r="T320" s="54"/>
    </row>
    <row r="321" spans="1:20" s="63" customFormat="1" ht="15.75" customHeight="1" x14ac:dyDescent="0.35">
      <c r="A321" s="71">
        <f t="shared" si="71"/>
        <v>14</v>
      </c>
      <c r="B321" s="71" t="s">
        <v>224</v>
      </c>
      <c r="C321" s="71" t="s">
        <v>211</v>
      </c>
      <c r="D321" s="71">
        <f>(29.89)*(10.764)</f>
        <v>321.73595999999998</v>
      </c>
      <c r="E321" s="71">
        <v>0</v>
      </c>
      <c r="F321" s="71">
        <f>D321+E321</f>
        <v>321.73595999999998</v>
      </c>
      <c r="G321" s="71">
        <v>0</v>
      </c>
      <c r="H321" s="71">
        <f t="shared" si="73"/>
        <v>482.60393999999997</v>
      </c>
      <c r="I321" s="58"/>
      <c r="L321" s="90"/>
      <c r="M321" s="90"/>
      <c r="N321" s="58"/>
      <c r="T321" s="54"/>
    </row>
    <row r="322" spans="1:20" s="63" customFormat="1" x14ac:dyDescent="0.35">
      <c r="A322" s="88" t="s">
        <v>217</v>
      </c>
      <c r="B322" s="88"/>
      <c r="C322" s="88"/>
      <c r="D322" s="88"/>
      <c r="E322" s="88"/>
      <c r="F322" s="88"/>
      <c r="G322" s="88"/>
      <c r="H322" s="88"/>
      <c r="J322" s="58"/>
    </row>
    <row r="323" spans="1:20" s="63" customFormat="1" ht="15.75" customHeight="1" x14ac:dyDescent="0.35">
      <c r="A323" s="71">
        <v>1</v>
      </c>
      <c r="B323" s="71" t="s">
        <v>224</v>
      </c>
      <c r="C323" s="71" t="s">
        <v>211</v>
      </c>
      <c r="D323" s="71">
        <f>(29.74)*(10.764)</f>
        <v>320.12135999999998</v>
      </c>
      <c r="E323" s="71">
        <v>0</v>
      </c>
      <c r="F323" s="71">
        <f>D323+E323</f>
        <v>320.12135999999998</v>
      </c>
      <c r="G323" s="71">
        <v>0</v>
      </c>
      <c r="H323" s="71">
        <f>F323*(($H$209)+1)+(IF(G323&lt;101,G323,IF(G323&lt;201,G323/2,IF(G323&lt;=301,G323/3,G323/4))))</f>
        <v>480.18203999999997</v>
      </c>
      <c r="I323" s="58"/>
      <c r="L323" s="90"/>
      <c r="M323" s="90"/>
      <c r="N323" s="58"/>
    </row>
    <row r="324" spans="1:20" s="63" customFormat="1" ht="15.75" customHeight="1" x14ac:dyDescent="0.35">
      <c r="A324" s="64">
        <f t="shared" ref="A324:A336" si="77">A323+1</f>
        <v>2</v>
      </c>
      <c r="B324" s="64" t="s">
        <v>224</v>
      </c>
      <c r="C324" s="64" t="s">
        <v>211</v>
      </c>
      <c r="D324" s="64">
        <f>(29.71)*(10.764)</f>
        <v>319.79843999999997</v>
      </c>
      <c r="E324" s="64">
        <v>0</v>
      </c>
      <c r="F324" s="64">
        <f t="shared" ref="F324" si="78">D324+E324</f>
        <v>319.79843999999997</v>
      </c>
      <c r="G324" s="64">
        <v>0</v>
      </c>
      <c r="H324" s="64">
        <f>F324*(($H$209)+1)+(IF(G324&lt;101,G324,IF(G324&lt;201,G324/2,IF(G324&lt;=301,G324/3,G324/4))))</f>
        <v>479.69765999999993</v>
      </c>
      <c r="I324" s="58"/>
      <c r="L324" s="90"/>
      <c r="M324" s="90"/>
      <c r="N324" s="58"/>
    </row>
    <row r="325" spans="1:20" s="63" customFormat="1" ht="15.75" customHeight="1" x14ac:dyDescent="0.35">
      <c r="A325" s="64">
        <f t="shared" si="77"/>
        <v>3</v>
      </c>
      <c r="B325" s="64" t="s">
        <v>224</v>
      </c>
      <c r="C325" s="64" t="s">
        <v>211</v>
      </c>
      <c r="D325" s="64">
        <f>(28.41)*(10.764)</f>
        <v>305.80523999999997</v>
      </c>
      <c r="E325" s="64">
        <v>0</v>
      </c>
      <c r="F325" s="64">
        <f>D325+E325</f>
        <v>305.80523999999997</v>
      </c>
      <c r="G325" s="64">
        <v>0</v>
      </c>
      <c r="H325" s="64">
        <f>F325*(($H$209)+1)+(IF(G325&lt;101,G325,IF(G325&lt;201,G325/2,IF(G325&lt;=301,G325/3,G325/4))))</f>
        <v>458.70785999999998</v>
      </c>
      <c r="I325" s="58"/>
      <c r="L325" s="90"/>
      <c r="M325" s="90"/>
      <c r="N325" s="58"/>
    </row>
    <row r="326" spans="1:20" s="63" customFormat="1" ht="15.75" customHeight="1" x14ac:dyDescent="0.35">
      <c r="A326" s="64">
        <f t="shared" si="77"/>
        <v>4</v>
      </c>
      <c r="B326" s="64" t="s">
        <v>224</v>
      </c>
      <c r="C326" s="64" t="s">
        <v>211</v>
      </c>
      <c r="D326" s="64">
        <f>(28.41)*(10.764)</f>
        <v>305.80523999999997</v>
      </c>
      <c r="E326" s="64">
        <v>0</v>
      </c>
      <c r="F326" s="64">
        <f>D326+E326</f>
        <v>305.80523999999997</v>
      </c>
      <c r="G326" s="64">
        <v>0</v>
      </c>
      <c r="H326" s="64">
        <f>F326*(($H$209)+1)+(IF(G326&lt;101,G326,IF(G326&lt;201,G326/2,IF(G326&lt;=301,G326/3,G326/4))))</f>
        <v>458.70785999999998</v>
      </c>
      <c r="I326" s="58"/>
      <c r="L326" s="90"/>
      <c r="M326" s="90"/>
      <c r="N326" s="58"/>
      <c r="T326" s="54"/>
    </row>
    <row r="327" spans="1:20" s="63" customFormat="1" ht="15.75" customHeight="1" x14ac:dyDescent="0.35">
      <c r="A327" s="64">
        <f t="shared" si="77"/>
        <v>5</v>
      </c>
      <c r="B327" s="64" t="s">
        <v>222</v>
      </c>
      <c r="C327" s="91" t="s">
        <v>218</v>
      </c>
      <c r="D327" s="92"/>
      <c r="E327" s="92"/>
      <c r="F327" s="92"/>
      <c r="G327" s="92"/>
      <c r="H327" s="93"/>
      <c r="I327" s="58"/>
      <c r="L327" s="90"/>
      <c r="M327" s="90"/>
      <c r="N327" s="58"/>
    </row>
    <row r="328" spans="1:20" s="63" customFormat="1" ht="15.75" customHeight="1" x14ac:dyDescent="0.35">
      <c r="A328" s="64">
        <f t="shared" si="77"/>
        <v>6</v>
      </c>
      <c r="B328" s="64" t="s">
        <v>222</v>
      </c>
      <c r="C328" s="94"/>
      <c r="D328" s="95"/>
      <c r="E328" s="95"/>
      <c r="F328" s="95"/>
      <c r="G328" s="95"/>
      <c r="H328" s="96"/>
      <c r="I328" s="58"/>
      <c r="L328" s="90"/>
      <c r="M328" s="90"/>
      <c r="N328" s="58"/>
    </row>
    <row r="329" spans="1:20" s="63" customFormat="1" ht="15.75" customHeight="1" x14ac:dyDescent="0.35">
      <c r="A329" s="64">
        <f t="shared" si="77"/>
        <v>7</v>
      </c>
      <c r="B329" s="64" t="s">
        <v>222</v>
      </c>
      <c r="C329" s="94"/>
      <c r="D329" s="95"/>
      <c r="E329" s="95"/>
      <c r="F329" s="95"/>
      <c r="G329" s="95"/>
      <c r="H329" s="96"/>
      <c r="I329" s="58"/>
      <c r="L329" s="90"/>
      <c r="M329" s="90"/>
      <c r="N329" s="58"/>
      <c r="T329" s="54"/>
    </row>
    <row r="330" spans="1:20" s="63" customFormat="1" ht="15.75" customHeight="1" x14ac:dyDescent="0.35">
      <c r="A330" s="64">
        <f t="shared" si="77"/>
        <v>8</v>
      </c>
      <c r="B330" s="64" t="s">
        <v>222</v>
      </c>
      <c r="C330" s="97"/>
      <c r="D330" s="98"/>
      <c r="E330" s="98"/>
      <c r="F330" s="98"/>
      <c r="G330" s="98"/>
      <c r="H330" s="99"/>
      <c r="I330" s="58"/>
      <c r="L330" s="90"/>
      <c r="M330" s="90"/>
      <c r="N330" s="58"/>
    </row>
    <row r="331" spans="1:20" s="63" customFormat="1" ht="15.75" customHeight="1" x14ac:dyDescent="0.35">
      <c r="A331" s="64">
        <f t="shared" si="77"/>
        <v>9</v>
      </c>
      <c r="B331" s="64" t="s">
        <v>224</v>
      </c>
      <c r="C331" s="64" t="s">
        <v>211</v>
      </c>
      <c r="D331" s="64">
        <f>(26.76)*(10.764)</f>
        <v>288.04464000000002</v>
      </c>
      <c r="E331" s="64">
        <v>0</v>
      </c>
      <c r="F331" s="64">
        <f>D331+E331</f>
        <v>288.04464000000002</v>
      </c>
      <c r="G331" s="64">
        <v>0</v>
      </c>
      <c r="H331" s="64">
        <f t="shared" ref="H331:H336" si="79">F331*(($H$209)+1)+(IF(G331&lt;101,G331,IF(G331&lt;201,G331/2,IF(G331&lt;=301,G331/3,G331/4))))</f>
        <v>432.06695999999999</v>
      </c>
      <c r="I331" s="58"/>
      <c r="L331" s="90"/>
      <c r="M331" s="90"/>
      <c r="N331" s="58"/>
    </row>
    <row r="332" spans="1:20" s="63" customFormat="1" ht="15.75" customHeight="1" x14ac:dyDescent="0.35">
      <c r="A332" s="64">
        <f t="shared" si="77"/>
        <v>10</v>
      </c>
      <c r="B332" s="64" t="s">
        <v>224</v>
      </c>
      <c r="C332" s="64" t="s">
        <v>211</v>
      </c>
      <c r="D332" s="64">
        <f>(26.76)*(10.764)</f>
        <v>288.04464000000002</v>
      </c>
      <c r="E332" s="64">
        <v>0</v>
      </c>
      <c r="F332" s="64">
        <f>D332+E332</f>
        <v>288.04464000000002</v>
      </c>
      <c r="G332" s="64">
        <v>0</v>
      </c>
      <c r="H332" s="64">
        <f t="shared" si="79"/>
        <v>432.06695999999999</v>
      </c>
      <c r="I332" s="58"/>
      <c r="L332" s="90"/>
      <c r="M332" s="90"/>
      <c r="N332" s="58"/>
      <c r="T332" s="54"/>
    </row>
    <row r="333" spans="1:20" s="63" customFormat="1" ht="15.75" customHeight="1" x14ac:dyDescent="0.35">
      <c r="A333" s="64">
        <f t="shared" si="77"/>
        <v>11</v>
      </c>
      <c r="B333" s="64" t="s">
        <v>224</v>
      </c>
      <c r="C333" s="64" t="s">
        <v>211</v>
      </c>
      <c r="D333" s="64">
        <f>(26.82)*(10.764)</f>
        <v>288.69047999999998</v>
      </c>
      <c r="E333" s="64">
        <v>0</v>
      </c>
      <c r="F333" s="64">
        <f t="shared" ref="F333" si="80">D333+E333</f>
        <v>288.69047999999998</v>
      </c>
      <c r="G333" s="64">
        <v>0</v>
      </c>
      <c r="H333" s="64">
        <f t="shared" si="79"/>
        <v>433.03571999999997</v>
      </c>
      <c r="I333" s="58"/>
      <c r="L333" s="90"/>
      <c r="M333" s="90"/>
      <c r="N333" s="58"/>
    </row>
    <row r="334" spans="1:20" s="63" customFormat="1" ht="15.75" customHeight="1" x14ac:dyDescent="0.35">
      <c r="A334" s="64">
        <f t="shared" si="77"/>
        <v>12</v>
      </c>
      <c r="B334" s="64" t="s">
        <v>224</v>
      </c>
      <c r="C334" s="64" t="s">
        <v>211</v>
      </c>
      <c r="D334" s="64">
        <f>(29.73)*(10.764)</f>
        <v>320.01371999999998</v>
      </c>
      <c r="E334" s="64">
        <v>0</v>
      </c>
      <c r="F334" s="64">
        <f>D334+E334</f>
        <v>320.01371999999998</v>
      </c>
      <c r="G334" s="64">
        <v>0</v>
      </c>
      <c r="H334" s="64">
        <f t="shared" si="79"/>
        <v>480.02058</v>
      </c>
      <c r="I334" s="58"/>
      <c r="L334" s="90"/>
      <c r="M334" s="90"/>
      <c r="N334" s="58"/>
    </row>
    <row r="335" spans="1:20" s="63" customFormat="1" ht="15.75" customHeight="1" x14ac:dyDescent="0.35">
      <c r="A335" s="64">
        <f t="shared" si="77"/>
        <v>13</v>
      </c>
      <c r="B335" s="64" t="s">
        <v>224</v>
      </c>
      <c r="C335" s="64" t="s">
        <v>211</v>
      </c>
      <c r="D335" s="64">
        <f>(29.74)*(10.764)</f>
        <v>320.12135999999998</v>
      </c>
      <c r="E335" s="64">
        <v>0</v>
      </c>
      <c r="F335" s="64">
        <f>D335+E335</f>
        <v>320.12135999999998</v>
      </c>
      <c r="G335" s="64">
        <v>0</v>
      </c>
      <c r="H335" s="64">
        <f t="shared" si="79"/>
        <v>480.18203999999997</v>
      </c>
      <c r="I335" s="58"/>
      <c r="L335" s="90"/>
      <c r="M335" s="90"/>
      <c r="N335" s="58"/>
      <c r="T335" s="54"/>
    </row>
    <row r="336" spans="1:20" s="63" customFormat="1" ht="15.75" customHeight="1" x14ac:dyDescent="0.35">
      <c r="A336" s="64">
        <f t="shared" si="77"/>
        <v>14</v>
      </c>
      <c r="B336" s="64" t="s">
        <v>224</v>
      </c>
      <c r="C336" s="64" t="s">
        <v>211</v>
      </c>
      <c r="D336" s="64">
        <f>(29.89)*(10.764)</f>
        <v>321.73595999999998</v>
      </c>
      <c r="E336" s="64">
        <v>0</v>
      </c>
      <c r="F336" s="64">
        <f>D336+E336</f>
        <v>321.73595999999998</v>
      </c>
      <c r="G336" s="64">
        <v>0</v>
      </c>
      <c r="H336" s="64">
        <f t="shared" si="79"/>
        <v>482.60393999999997</v>
      </c>
      <c r="I336" s="58"/>
      <c r="L336" s="90"/>
      <c r="M336" s="90"/>
      <c r="N336" s="58"/>
      <c r="T336" s="54"/>
    </row>
    <row r="337" spans="1:20" s="63" customFormat="1" x14ac:dyDescent="0.35">
      <c r="A337" s="82" t="s">
        <v>219</v>
      </c>
      <c r="B337" s="83"/>
      <c r="C337" s="83"/>
      <c r="D337" s="83"/>
      <c r="E337" s="83"/>
      <c r="F337" s="83"/>
      <c r="G337" s="83"/>
      <c r="H337" s="84"/>
      <c r="J337" s="58"/>
    </row>
    <row r="338" spans="1:20" s="63" customFormat="1" ht="15.75" customHeight="1" x14ac:dyDescent="0.35">
      <c r="A338" s="64">
        <v>1</v>
      </c>
      <c r="B338" s="64" t="s">
        <v>224</v>
      </c>
      <c r="C338" s="64" t="s">
        <v>211</v>
      </c>
      <c r="D338" s="64">
        <f>(29.74)*(10.764)</f>
        <v>320.12135999999998</v>
      </c>
      <c r="E338" s="64">
        <v>0</v>
      </c>
      <c r="F338" s="64">
        <f>D338+E338</f>
        <v>320.12135999999998</v>
      </c>
      <c r="G338" s="64">
        <v>0</v>
      </c>
      <c r="H338" s="64">
        <f>F338*(($H$209)+1)+(IF(G338&lt;101,G338,IF(G338&lt;201,G338/2,IF(G338&lt;=301,G338/3,G338/4))))</f>
        <v>480.18203999999997</v>
      </c>
      <c r="I338" s="58"/>
      <c r="L338" s="90"/>
      <c r="M338" s="90"/>
      <c r="N338" s="58"/>
    </row>
    <row r="339" spans="1:20" s="63" customFormat="1" ht="15.75" customHeight="1" x14ac:dyDescent="0.35">
      <c r="A339" s="64">
        <f t="shared" ref="A339:A351" si="81">A338+1</f>
        <v>2</v>
      </c>
      <c r="B339" s="64" t="s">
        <v>224</v>
      </c>
      <c r="C339" s="64" t="s">
        <v>211</v>
      </c>
      <c r="D339" s="64">
        <f>(29.71)*(10.764)</f>
        <v>319.79843999999997</v>
      </c>
      <c r="E339" s="64">
        <v>0</v>
      </c>
      <c r="F339" s="64">
        <f t="shared" ref="F339" si="82">D339+E339</f>
        <v>319.79843999999997</v>
      </c>
      <c r="G339" s="64">
        <v>0</v>
      </c>
      <c r="H339" s="64">
        <f>F339*(($H$209)+1)+(IF(G339&lt;101,G339,IF(G339&lt;201,G339/2,IF(G339&lt;=301,G339/3,G339/4))))</f>
        <v>479.69765999999993</v>
      </c>
      <c r="I339" s="58"/>
      <c r="L339" s="90"/>
      <c r="M339" s="90"/>
      <c r="N339" s="58"/>
    </row>
    <row r="340" spans="1:20" s="63" customFormat="1" ht="15.75" customHeight="1" x14ac:dyDescent="0.35">
      <c r="A340" s="64">
        <f t="shared" si="81"/>
        <v>3</v>
      </c>
      <c r="B340" s="64" t="s">
        <v>224</v>
      </c>
      <c r="C340" s="64" t="s">
        <v>211</v>
      </c>
      <c r="D340" s="64">
        <f>(28.41)*(10.764)</f>
        <v>305.80523999999997</v>
      </c>
      <c r="E340" s="64">
        <v>0</v>
      </c>
      <c r="F340" s="64">
        <f>D340+E340</f>
        <v>305.80523999999997</v>
      </c>
      <c r="G340" s="64">
        <v>0</v>
      </c>
      <c r="H340" s="64">
        <f>F340*(($H$209)+1)+(IF(G340&lt;101,G340,IF(G340&lt;201,G340/2,IF(G340&lt;=301,G340/3,G340/4))))</f>
        <v>458.70785999999998</v>
      </c>
      <c r="I340" s="58"/>
      <c r="L340" s="90"/>
      <c r="M340" s="90"/>
      <c r="N340" s="58"/>
    </row>
    <row r="341" spans="1:20" s="63" customFormat="1" ht="15.75" customHeight="1" x14ac:dyDescent="0.35">
      <c r="A341" s="64">
        <f t="shared" si="81"/>
        <v>4</v>
      </c>
      <c r="B341" s="64" t="s">
        <v>224</v>
      </c>
      <c r="C341" s="64" t="s">
        <v>211</v>
      </c>
      <c r="D341" s="64">
        <f>(28.41)*(10.764)</f>
        <v>305.80523999999997</v>
      </c>
      <c r="E341" s="64">
        <v>0</v>
      </c>
      <c r="F341" s="64">
        <f>D341+E341</f>
        <v>305.80523999999997</v>
      </c>
      <c r="G341" s="64">
        <v>0</v>
      </c>
      <c r="H341" s="64">
        <f>F341*(($H$209)+1)+(IF(G341&lt;101,G341,IF(G341&lt;201,G341/2,IF(G341&lt;=301,G341/3,G341/4))))</f>
        <v>458.70785999999998</v>
      </c>
      <c r="I341" s="58"/>
      <c r="L341" s="90"/>
      <c r="M341" s="90"/>
      <c r="N341" s="58"/>
      <c r="T341" s="54"/>
    </row>
    <row r="342" spans="1:20" s="63" customFormat="1" ht="15.75" customHeight="1" x14ac:dyDescent="0.35">
      <c r="A342" s="64">
        <f t="shared" si="81"/>
        <v>5</v>
      </c>
      <c r="B342" s="64" t="s">
        <v>224</v>
      </c>
      <c r="C342" s="64" t="s">
        <v>211</v>
      </c>
      <c r="D342" s="64">
        <f>(29.71)*(10.764)</f>
        <v>319.79843999999997</v>
      </c>
      <c r="E342" s="64">
        <v>0</v>
      </c>
      <c r="F342" s="64">
        <f t="shared" ref="F342" si="83">D342+E342</f>
        <v>319.79843999999997</v>
      </c>
      <c r="G342" s="64">
        <v>0</v>
      </c>
      <c r="H342" s="64">
        <f>F342*(($H$209)+1)+(IF(G342&lt;101,G342,IF(G342&lt;201,G342/2,IF(G342&lt;=301,G342/3,G342/4))))</f>
        <v>479.69765999999993</v>
      </c>
      <c r="I342" s="58"/>
      <c r="L342" s="90"/>
      <c r="M342" s="90"/>
      <c r="N342" s="58"/>
    </row>
    <row r="343" spans="1:20" s="63" customFormat="1" ht="15.75" customHeight="1" x14ac:dyDescent="0.35">
      <c r="A343" s="64">
        <f t="shared" si="81"/>
        <v>6</v>
      </c>
      <c r="B343" s="64" t="s">
        <v>222</v>
      </c>
      <c r="C343" s="91" t="s">
        <v>218</v>
      </c>
      <c r="D343" s="92"/>
      <c r="E343" s="92"/>
      <c r="F343" s="92"/>
      <c r="G343" s="92"/>
      <c r="H343" s="93"/>
      <c r="I343" s="58"/>
      <c r="L343" s="90"/>
      <c r="M343" s="90"/>
      <c r="N343" s="58"/>
    </row>
    <row r="344" spans="1:20" s="63" customFormat="1" ht="15.75" customHeight="1" x14ac:dyDescent="0.35">
      <c r="A344" s="64">
        <f t="shared" si="81"/>
        <v>7</v>
      </c>
      <c r="B344" s="64" t="s">
        <v>222</v>
      </c>
      <c r="C344" s="97"/>
      <c r="D344" s="98"/>
      <c r="E344" s="98"/>
      <c r="F344" s="98"/>
      <c r="G344" s="98"/>
      <c r="H344" s="99"/>
      <c r="I344" s="58"/>
      <c r="L344" s="90"/>
      <c r="M344" s="90"/>
      <c r="N344" s="58"/>
      <c r="T344" s="54"/>
    </row>
    <row r="345" spans="1:20" s="63" customFormat="1" ht="15.75" customHeight="1" x14ac:dyDescent="0.35">
      <c r="A345" s="64">
        <f t="shared" si="81"/>
        <v>8</v>
      </c>
      <c r="B345" s="64" t="s">
        <v>224</v>
      </c>
      <c r="C345" s="64" t="s">
        <v>211</v>
      </c>
      <c r="D345" s="64">
        <f>(29.79)*(10.764)</f>
        <v>320.65956</v>
      </c>
      <c r="E345" s="64">
        <v>0</v>
      </c>
      <c r="F345" s="64">
        <f t="shared" ref="F345" si="84">D345+E345</f>
        <v>320.65956</v>
      </c>
      <c r="G345" s="64">
        <v>0</v>
      </c>
      <c r="H345" s="64">
        <f t="shared" ref="H345:H351" si="85">F345*(($H$209)+1)+(IF(G345&lt;101,G345,IF(G345&lt;201,G345/2,IF(G345&lt;=301,G345/3,G345/4))))</f>
        <v>480.98933999999997</v>
      </c>
      <c r="I345" s="58"/>
      <c r="L345" s="90"/>
      <c r="M345" s="90"/>
      <c r="N345" s="58"/>
    </row>
    <row r="346" spans="1:20" s="63" customFormat="1" ht="15.75" customHeight="1" x14ac:dyDescent="0.35">
      <c r="A346" s="64">
        <f t="shared" si="81"/>
        <v>9</v>
      </c>
      <c r="B346" s="64" t="s">
        <v>224</v>
      </c>
      <c r="C346" s="64" t="s">
        <v>211</v>
      </c>
      <c r="D346" s="64">
        <f>(26.76)*(10.764)</f>
        <v>288.04464000000002</v>
      </c>
      <c r="E346" s="64">
        <v>0</v>
      </c>
      <c r="F346" s="64">
        <f>D346+E346</f>
        <v>288.04464000000002</v>
      </c>
      <c r="G346" s="64">
        <v>0</v>
      </c>
      <c r="H346" s="64">
        <f t="shared" si="85"/>
        <v>432.06695999999999</v>
      </c>
      <c r="I346" s="58"/>
      <c r="L346" s="90"/>
      <c r="M346" s="90"/>
      <c r="N346" s="58"/>
    </row>
    <row r="347" spans="1:20" s="63" customFormat="1" ht="15.75" customHeight="1" x14ac:dyDescent="0.35">
      <c r="A347" s="64">
        <f t="shared" si="81"/>
        <v>10</v>
      </c>
      <c r="B347" s="64" t="s">
        <v>224</v>
      </c>
      <c r="C347" s="64" t="s">
        <v>211</v>
      </c>
      <c r="D347" s="64">
        <f>(26.76)*(10.764)</f>
        <v>288.04464000000002</v>
      </c>
      <c r="E347" s="64">
        <v>0</v>
      </c>
      <c r="F347" s="64">
        <f>D347+E347</f>
        <v>288.04464000000002</v>
      </c>
      <c r="G347" s="64">
        <v>0</v>
      </c>
      <c r="H347" s="64">
        <f t="shared" si="85"/>
        <v>432.06695999999999</v>
      </c>
      <c r="I347" s="58"/>
      <c r="L347" s="90"/>
      <c r="M347" s="90"/>
      <c r="N347" s="58"/>
      <c r="T347" s="54"/>
    </row>
    <row r="348" spans="1:20" s="63" customFormat="1" ht="15.75" customHeight="1" x14ac:dyDescent="0.35">
      <c r="A348" s="64">
        <f t="shared" si="81"/>
        <v>11</v>
      </c>
      <c r="B348" s="64" t="s">
        <v>224</v>
      </c>
      <c r="C348" s="64" t="s">
        <v>211</v>
      </c>
      <c r="D348" s="64">
        <f>(26.82)*(10.764)</f>
        <v>288.69047999999998</v>
      </c>
      <c r="E348" s="64">
        <v>0</v>
      </c>
      <c r="F348" s="64">
        <f t="shared" ref="F348" si="86">D348+E348</f>
        <v>288.69047999999998</v>
      </c>
      <c r="G348" s="64">
        <v>0</v>
      </c>
      <c r="H348" s="64">
        <f t="shared" si="85"/>
        <v>433.03571999999997</v>
      </c>
      <c r="I348" s="58"/>
      <c r="L348" s="90"/>
      <c r="M348" s="90"/>
      <c r="N348" s="58"/>
    </row>
    <row r="349" spans="1:20" s="63" customFormat="1" ht="15.75" customHeight="1" x14ac:dyDescent="0.35">
      <c r="A349" s="64">
        <f t="shared" si="81"/>
        <v>12</v>
      </c>
      <c r="B349" s="64" t="s">
        <v>224</v>
      </c>
      <c r="C349" s="64" t="s">
        <v>211</v>
      </c>
      <c r="D349" s="64">
        <f>(29.73)*(10.764)</f>
        <v>320.01371999999998</v>
      </c>
      <c r="E349" s="64">
        <v>0</v>
      </c>
      <c r="F349" s="64">
        <f>D349+E349</f>
        <v>320.01371999999998</v>
      </c>
      <c r="G349" s="64">
        <v>0</v>
      </c>
      <c r="H349" s="64">
        <f t="shared" si="85"/>
        <v>480.02058</v>
      </c>
      <c r="I349" s="58"/>
      <c r="L349" s="90"/>
      <c r="M349" s="90"/>
      <c r="N349" s="58"/>
    </row>
    <row r="350" spans="1:20" s="63" customFormat="1" ht="15.75" customHeight="1" x14ac:dyDescent="0.35">
      <c r="A350" s="64">
        <f t="shared" si="81"/>
        <v>13</v>
      </c>
      <c r="B350" s="64" t="s">
        <v>224</v>
      </c>
      <c r="C350" s="64" t="s">
        <v>211</v>
      </c>
      <c r="D350" s="64">
        <f>(29.74)*(10.764)</f>
        <v>320.12135999999998</v>
      </c>
      <c r="E350" s="64">
        <v>0</v>
      </c>
      <c r="F350" s="64">
        <f>D350+E350</f>
        <v>320.12135999999998</v>
      </c>
      <c r="G350" s="64">
        <v>0</v>
      </c>
      <c r="H350" s="64">
        <f t="shared" si="85"/>
        <v>480.18203999999997</v>
      </c>
      <c r="I350" s="58"/>
      <c r="L350" s="90"/>
      <c r="M350" s="90"/>
      <c r="N350" s="58"/>
      <c r="T350" s="54"/>
    </row>
    <row r="351" spans="1:20" s="63" customFormat="1" ht="15.75" customHeight="1" x14ac:dyDescent="0.35">
      <c r="A351" s="64">
        <f t="shared" si="81"/>
        <v>14</v>
      </c>
      <c r="B351" s="64" t="s">
        <v>224</v>
      </c>
      <c r="C351" s="64" t="s">
        <v>211</v>
      </c>
      <c r="D351" s="64">
        <f>(29.89)*(10.764)</f>
        <v>321.73595999999998</v>
      </c>
      <c r="E351" s="64">
        <v>0</v>
      </c>
      <c r="F351" s="64">
        <f>D351+E351</f>
        <v>321.73595999999998</v>
      </c>
      <c r="G351" s="64">
        <v>0</v>
      </c>
      <c r="H351" s="64">
        <f t="shared" si="85"/>
        <v>482.60393999999997</v>
      </c>
      <c r="I351" s="58"/>
      <c r="L351" s="90"/>
      <c r="M351" s="90"/>
      <c r="N351" s="58"/>
      <c r="T351" s="54"/>
    </row>
    <row r="352" spans="1:20" s="70" customFormat="1" x14ac:dyDescent="0.35">
      <c r="A352" s="82" t="s">
        <v>263</v>
      </c>
      <c r="B352" s="83"/>
      <c r="C352" s="83"/>
      <c r="D352" s="83"/>
      <c r="E352" s="83"/>
      <c r="F352" s="83"/>
      <c r="G352" s="83"/>
      <c r="H352" s="84"/>
      <c r="J352" s="58"/>
    </row>
    <row r="353" spans="1:20" s="63" customFormat="1" x14ac:dyDescent="0.35">
      <c r="A353" s="82" t="s">
        <v>239</v>
      </c>
      <c r="B353" s="83"/>
      <c r="C353" s="83"/>
      <c r="D353" s="83"/>
      <c r="E353" s="83"/>
      <c r="F353" s="83"/>
      <c r="G353" s="83"/>
      <c r="H353" s="84"/>
      <c r="J353" s="58"/>
    </row>
    <row r="354" spans="1:20" s="63" customFormat="1" x14ac:dyDescent="0.35">
      <c r="A354" s="82" t="s">
        <v>210</v>
      </c>
      <c r="B354" s="83"/>
      <c r="C354" s="83"/>
      <c r="D354" s="83"/>
      <c r="E354" s="83"/>
      <c r="F354" s="83"/>
      <c r="G354" s="83"/>
      <c r="H354" s="84"/>
      <c r="J354" s="58"/>
    </row>
    <row r="355" spans="1:20" s="63" customFormat="1" ht="15.75" customHeight="1" x14ac:dyDescent="0.35">
      <c r="A355" s="64">
        <v>1</v>
      </c>
      <c r="B355" s="64" t="s">
        <v>224</v>
      </c>
      <c r="C355" s="64" t="s">
        <v>211</v>
      </c>
      <c r="D355" s="64">
        <f>(29.81)*(10.764)</f>
        <v>320.87483999999995</v>
      </c>
      <c r="E355" s="64">
        <v>0</v>
      </c>
      <c r="F355" s="64">
        <f>D355+E355</f>
        <v>320.87483999999995</v>
      </c>
      <c r="G355" s="64">
        <v>0</v>
      </c>
      <c r="H355" s="64">
        <f t="shared" ref="H355:H360" si="87">F355*(($H$209)+1)+(IF(G355&lt;101,G355,IF(G355&lt;201,G355/2,IF(G355&lt;=301,G355/3,G355/4))))</f>
        <v>481.31225999999992</v>
      </c>
      <c r="I355" s="58"/>
      <c r="L355" s="90"/>
      <c r="M355" s="90"/>
      <c r="N355" s="58"/>
    </row>
    <row r="356" spans="1:20" s="63" customFormat="1" ht="15.75" customHeight="1" x14ac:dyDescent="0.35">
      <c r="A356" s="64">
        <f t="shared" ref="A356:A360" si="88">A355+1</f>
        <v>2</v>
      </c>
      <c r="B356" s="64" t="s">
        <v>224</v>
      </c>
      <c r="C356" s="64" t="s">
        <v>211</v>
      </c>
      <c r="D356" s="64">
        <f>(29.81)*(10.764)</f>
        <v>320.87483999999995</v>
      </c>
      <c r="E356" s="64">
        <v>0</v>
      </c>
      <c r="F356" s="64">
        <f t="shared" ref="F356" si="89">D356+E356</f>
        <v>320.87483999999995</v>
      </c>
      <c r="G356" s="64">
        <v>0</v>
      </c>
      <c r="H356" s="64">
        <f t="shared" si="87"/>
        <v>481.31225999999992</v>
      </c>
      <c r="I356" s="58"/>
      <c r="L356" s="90"/>
      <c r="M356" s="90"/>
      <c r="N356" s="58"/>
    </row>
    <row r="357" spans="1:20" s="63" customFormat="1" ht="15.75" customHeight="1" x14ac:dyDescent="0.35">
      <c r="A357" s="64">
        <f t="shared" si="88"/>
        <v>3</v>
      </c>
      <c r="B357" s="64" t="s">
        <v>224</v>
      </c>
      <c r="C357" s="64" t="s">
        <v>211</v>
      </c>
      <c r="D357" s="64">
        <f>(29.85)*(10.764)</f>
        <v>321.30540000000002</v>
      </c>
      <c r="E357" s="64">
        <v>0</v>
      </c>
      <c r="F357" s="64">
        <f>D357+E357</f>
        <v>321.30540000000002</v>
      </c>
      <c r="G357" s="64">
        <v>0</v>
      </c>
      <c r="H357" s="64">
        <f t="shared" si="87"/>
        <v>481.95810000000006</v>
      </c>
      <c r="I357" s="58"/>
      <c r="L357" s="90"/>
      <c r="M357" s="90"/>
      <c r="N357" s="58"/>
    </row>
    <row r="358" spans="1:20" s="63" customFormat="1" ht="15.75" customHeight="1" x14ac:dyDescent="0.35">
      <c r="A358" s="64">
        <f t="shared" si="88"/>
        <v>4</v>
      </c>
      <c r="B358" s="64" t="s">
        <v>224</v>
      </c>
      <c r="C358" s="64" t="s">
        <v>211</v>
      </c>
      <c r="D358" s="64">
        <f>(29.85)*(10.764)</f>
        <v>321.30540000000002</v>
      </c>
      <c r="E358" s="64">
        <v>0</v>
      </c>
      <c r="F358" s="64">
        <f>D358+E358</f>
        <v>321.30540000000002</v>
      </c>
      <c r="G358" s="64">
        <v>0</v>
      </c>
      <c r="H358" s="64">
        <f t="shared" si="87"/>
        <v>481.95810000000006</v>
      </c>
      <c r="I358" s="58"/>
      <c r="L358" s="90"/>
      <c r="M358" s="90"/>
      <c r="N358" s="58"/>
      <c r="T358" s="54"/>
    </row>
    <row r="359" spans="1:20" s="63" customFormat="1" ht="15.75" customHeight="1" x14ac:dyDescent="0.35">
      <c r="A359" s="64">
        <f t="shared" si="88"/>
        <v>5</v>
      </c>
      <c r="B359" s="64" t="s">
        <v>224</v>
      </c>
      <c r="C359" s="64" t="s">
        <v>211</v>
      </c>
      <c r="D359" s="64">
        <f>(29.81)*(10.764)</f>
        <v>320.87483999999995</v>
      </c>
      <c r="E359" s="64">
        <v>0</v>
      </c>
      <c r="F359" s="64">
        <f t="shared" ref="F359" si="90">D359+E359</f>
        <v>320.87483999999995</v>
      </c>
      <c r="G359" s="64">
        <v>0</v>
      </c>
      <c r="H359" s="64">
        <f t="shared" si="87"/>
        <v>481.31225999999992</v>
      </c>
      <c r="I359" s="58"/>
      <c r="L359" s="90"/>
      <c r="M359" s="90"/>
      <c r="N359" s="58"/>
    </row>
    <row r="360" spans="1:20" s="63" customFormat="1" ht="15.75" customHeight="1" x14ac:dyDescent="0.35">
      <c r="A360" s="64">
        <f t="shared" si="88"/>
        <v>6</v>
      </c>
      <c r="B360" s="64" t="s">
        <v>224</v>
      </c>
      <c r="C360" s="64" t="s">
        <v>211</v>
      </c>
      <c r="D360" s="64">
        <f>(29.81)*(10.764)</f>
        <v>320.87483999999995</v>
      </c>
      <c r="E360" s="64">
        <v>0</v>
      </c>
      <c r="F360" s="64">
        <f>D360+E360</f>
        <v>320.87483999999995</v>
      </c>
      <c r="G360" s="64">
        <v>0</v>
      </c>
      <c r="H360" s="64">
        <f t="shared" si="87"/>
        <v>481.31225999999992</v>
      </c>
      <c r="I360" s="58"/>
      <c r="L360" s="90"/>
      <c r="M360" s="90"/>
      <c r="N360" s="58"/>
    </row>
    <row r="361" spans="1:20" s="63" customFormat="1" x14ac:dyDescent="0.35">
      <c r="A361" s="88" t="s">
        <v>240</v>
      </c>
      <c r="B361" s="88"/>
      <c r="C361" s="88"/>
      <c r="D361" s="88"/>
      <c r="E361" s="88"/>
      <c r="F361" s="88"/>
      <c r="G361" s="88"/>
      <c r="H361" s="88"/>
      <c r="J361" s="58"/>
    </row>
    <row r="362" spans="1:20" s="63" customFormat="1" ht="15.75" customHeight="1" x14ac:dyDescent="0.35">
      <c r="A362" s="71">
        <v>1</v>
      </c>
      <c r="B362" s="71" t="s">
        <v>224</v>
      </c>
      <c r="C362" s="71" t="s">
        <v>211</v>
      </c>
      <c r="D362" s="71">
        <f>(29.81)*(10.764)</f>
        <v>320.87483999999995</v>
      </c>
      <c r="E362" s="71">
        <v>0</v>
      </c>
      <c r="F362" s="71">
        <f>D362+E362</f>
        <v>320.87483999999995</v>
      </c>
      <c r="G362" s="71">
        <v>0</v>
      </c>
      <c r="H362" s="71">
        <f>F362*(($H$209)+1)+(IF(G362&lt;101,G362,IF(G362&lt;201,G362/2,IF(G362&lt;=301,G362/3,G362/4))))</f>
        <v>481.31225999999992</v>
      </c>
      <c r="I362" s="58"/>
      <c r="L362" s="90"/>
      <c r="M362" s="90"/>
      <c r="N362" s="58"/>
    </row>
    <row r="363" spans="1:20" s="63" customFormat="1" ht="15.75" customHeight="1" x14ac:dyDescent="0.35">
      <c r="A363" s="71">
        <f t="shared" ref="A363:A367" si="91">A362+1</f>
        <v>2</v>
      </c>
      <c r="B363" s="71" t="s">
        <v>224</v>
      </c>
      <c r="C363" s="71" t="s">
        <v>211</v>
      </c>
      <c r="D363" s="71">
        <f>(29.81)*(10.764)</f>
        <v>320.87483999999995</v>
      </c>
      <c r="E363" s="71">
        <v>0</v>
      </c>
      <c r="F363" s="71">
        <f t="shared" ref="F363" si="92">D363+E363</f>
        <v>320.87483999999995</v>
      </c>
      <c r="G363" s="71">
        <v>0</v>
      </c>
      <c r="H363" s="71">
        <f t="shared" ref="H363:H367" si="93">F363*(($H$209)+1)+(IF(G363&lt;101,G363,IF(G363&lt;201,G363/2,IF(G363&lt;=301,G363/3,G363/4))))</f>
        <v>481.31225999999992</v>
      </c>
      <c r="I363" s="58"/>
      <c r="L363" s="90"/>
      <c r="M363" s="90"/>
      <c r="N363" s="58"/>
    </row>
    <row r="364" spans="1:20" s="63" customFormat="1" ht="15.75" customHeight="1" x14ac:dyDescent="0.35">
      <c r="A364" s="71">
        <f t="shared" si="91"/>
        <v>3</v>
      </c>
      <c r="B364" s="71" t="s">
        <v>224</v>
      </c>
      <c r="C364" s="71" t="s">
        <v>211</v>
      </c>
      <c r="D364" s="71">
        <f>(29.85)*(10.764)</f>
        <v>321.30540000000002</v>
      </c>
      <c r="E364" s="71">
        <v>0</v>
      </c>
      <c r="F364" s="71">
        <f>D364+E364</f>
        <v>321.30540000000002</v>
      </c>
      <c r="G364" s="71">
        <v>0</v>
      </c>
      <c r="H364" s="71">
        <f t="shared" si="93"/>
        <v>481.95810000000006</v>
      </c>
      <c r="I364" s="58"/>
      <c r="L364" s="90"/>
      <c r="M364" s="90"/>
      <c r="N364" s="58"/>
    </row>
    <row r="365" spans="1:20" s="63" customFormat="1" ht="15.75" customHeight="1" x14ac:dyDescent="0.35">
      <c r="A365" s="71">
        <f t="shared" si="91"/>
        <v>4</v>
      </c>
      <c r="B365" s="71" t="s">
        <v>224</v>
      </c>
      <c r="C365" s="71" t="s">
        <v>211</v>
      </c>
      <c r="D365" s="71">
        <f>(29.85)*(10.764)</f>
        <v>321.30540000000002</v>
      </c>
      <c r="E365" s="71">
        <v>0</v>
      </c>
      <c r="F365" s="71">
        <f>D365+E365</f>
        <v>321.30540000000002</v>
      </c>
      <c r="G365" s="71">
        <v>0</v>
      </c>
      <c r="H365" s="71">
        <f t="shared" si="93"/>
        <v>481.95810000000006</v>
      </c>
      <c r="I365" s="58"/>
      <c r="L365" s="90"/>
      <c r="M365" s="90"/>
      <c r="N365" s="58"/>
      <c r="T365" s="54"/>
    </row>
    <row r="366" spans="1:20" s="63" customFormat="1" ht="15.75" customHeight="1" x14ac:dyDescent="0.35">
      <c r="A366" s="71">
        <f t="shared" si="91"/>
        <v>5</v>
      </c>
      <c r="B366" s="71" t="s">
        <v>224</v>
      </c>
      <c r="C366" s="71" t="s">
        <v>211</v>
      </c>
      <c r="D366" s="71">
        <f>(29.81)*(10.764)</f>
        <v>320.87483999999995</v>
      </c>
      <c r="E366" s="71">
        <v>0</v>
      </c>
      <c r="F366" s="71">
        <f t="shared" ref="F366" si="94">D366+E366</f>
        <v>320.87483999999995</v>
      </c>
      <c r="G366" s="71">
        <v>0</v>
      </c>
      <c r="H366" s="71">
        <f t="shared" si="93"/>
        <v>481.31225999999992</v>
      </c>
      <c r="I366" s="58"/>
      <c r="L366" s="90"/>
      <c r="M366" s="90"/>
      <c r="N366" s="58"/>
    </row>
    <row r="367" spans="1:20" s="63" customFormat="1" ht="15.75" customHeight="1" x14ac:dyDescent="0.35">
      <c r="A367" s="64">
        <f t="shared" si="91"/>
        <v>6</v>
      </c>
      <c r="B367" s="64" t="s">
        <v>224</v>
      </c>
      <c r="C367" s="64" t="s">
        <v>211</v>
      </c>
      <c r="D367" s="64">
        <f>(29.81)*(10.764)</f>
        <v>320.87483999999995</v>
      </c>
      <c r="E367" s="64">
        <v>0</v>
      </c>
      <c r="F367" s="64">
        <f>D367+E367</f>
        <v>320.87483999999995</v>
      </c>
      <c r="G367" s="64">
        <v>0</v>
      </c>
      <c r="H367" s="64">
        <f t="shared" si="93"/>
        <v>481.31225999999992</v>
      </c>
      <c r="I367" s="58"/>
      <c r="L367" s="90"/>
      <c r="M367" s="90"/>
      <c r="N367" s="58"/>
    </row>
    <row r="368" spans="1:20" s="63" customFormat="1" x14ac:dyDescent="0.35">
      <c r="A368" s="82" t="s">
        <v>217</v>
      </c>
      <c r="B368" s="83"/>
      <c r="C368" s="83"/>
      <c r="D368" s="83"/>
      <c r="E368" s="83"/>
      <c r="F368" s="83"/>
      <c r="G368" s="83"/>
      <c r="H368" s="84"/>
      <c r="J368" s="58"/>
    </row>
    <row r="369" spans="1:20" s="63" customFormat="1" ht="15.75" customHeight="1" x14ac:dyDescent="0.35">
      <c r="A369" s="64">
        <v>1</v>
      </c>
      <c r="B369" s="64" t="s">
        <v>222</v>
      </c>
      <c r="C369" s="91" t="s">
        <v>218</v>
      </c>
      <c r="D369" s="92"/>
      <c r="E369" s="92"/>
      <c r="F369" s="92"/>
      <c r="G369" s="92"/>
      <c r="H369" s="93"/>
      <c r="I369" s="58"/>
      <c r="L369" s="90"/>
      <c r="M369" s="90"/>
      <c r="N369" s="58"/>
    </row>
    <row r="370" spans="1:20" s="63" customFormat="1" ht="15.75" customHeight="1" x14ac:dyDescent="0.35">
      <c r="A370" s="64">
        <f t="shared" ref="A370:A374" si="95">A369+1</f>
        <v>2</v>
      </c>
      <c r="B370" s="64" t="s">
        <v>222</v>
      </c>
      <c r="C370" s="97"/>
      <c r="D370" s="98"/>
      <c r="E370" s="98"/>
      <c r="F370" s="98"/>
      <c r="G370" s="98"/>
      <c r="H370" s="99"/>
      <c r="I370" s="58"/>
      <c r="L370" s="90"/>
      <c r="M370" s="90"/>
      <c r="N370" s="58"/>
    </row>
    <row r="371" spans="1:20" s="63" customFormat="1" ht="15.75" customHeight="1" x14ac:dyDescent="0.35">
      <c r="A371" s="64">
        <f t="shared" si="95"/>
        <v>3</v>
      </c>
      <c r="B371" s="64" t="s">
        <v>224</v>
      </c>
      <c r="C371" s="64" t="s">
        <v>211</v>
      </c>
      <c r="D371" s="64">
        <f>(29.85)*(10.764)</f>
        <v>321.30540000000002</v>
      </c>
      <c r="E371" s="64">
        <v>0</v>
      </c>
      <c r="F371" s="64">
        <f>D371+E371</f>
        <v>321.30540000000002</v>
      </c>
      <c r="G371" s="64">
        <v>0</v>
      </c>
      <c r="H371" s="64">
        <f>F371*(($H$209)+1)+(IF(G371&lt;101,G371,IF(G371&lt;201,G371/2,IF(G371&lt;=301,G371/3,G371/4))))</f>
        <v>481.95810000000006</v>
      </c>
      <c r="I371" s="58"/>
      <c r="L371" s="90"/>
      <c r="M371" s="90"/>
      <c r="N371" s="58"/>
    </row>
    <row r="372" spans="1:20" s="63" customFormat="1" ht="15.75" customHeight="1" x14ac:dyDescent="0.35">
      <c r="A372" s="64">
        <f t="shared" si="95"/>
        <v>4</v>
      </c>
      <c r="B372" s="64" t="s">
        <v>224</v>
      </c>
      <c r="C372" s="64" t="s">
        <v>211</v>
      </c>
      <c r="D372" s="64">
        <f>(29.85)*(10.764)</f>
        <v>321.30540000000002</v>
      </c>
      <c r="E372" s="64">
        <v>0</v>
      </c>
      <c r="F372" s="64">
        <f>D372+E372</f>
        <v>321.30540000000002</v>
      </c>
      <c r="G372" s="64">
        <v>0</v>
      </c>
      <c r="H372" s="64">
        <f>F372*(($H$209)+1)+(IF(G372&lt;101,G372,IF(G372&lt;201,G372/2,IF(G372&lt;=301,G372/3,G372/4))))</f>
        <v>481.95810000000006</v>
      </c>
      <c r="I372" s="58"/>
      <c r="L372" s="90"/>
      <c r="M372" s="90"/>
      <c r="N372" s="58"/>
      <c r="T372" s="54"/>
    </row>
    <row r="373" spans="1:20" s="63" customFormat="1" ht="15.75" customHeight="1" x14ac:dyDescent="0.35">
      <c r="A373" s="64">
        <f t="shared" si="95"/>
        <v>5</v>
      </c>
      <c r="B373" s="64" t="s">
        <v>224</v>
      </c>
      <c r="C373" s="64" t="s">
        <v>211</v>
      </c>
      <c r="D373" s="64">
        <f>(29.81)*(10.764)</f>
        <v>320.87483999999995</v>
      </c>
      <c r="E373" s="64">
        <v>0</v>
      </c>
      <c r="F373" s="64">
        <f t="shared" ref="F373" si="96">D373+E373</f>
        <v>320.87483999999995</v>
      </c>
      <c r="G373" s="64">
        <v>0</v>
      </c>
      <c r="H373" s="64">
        <f>F373*(($H$209)+1)+(IF(G373&lt;101,G373,IF(G373&lt;201,G373/2,IF(G373&lt;=301,G373/3,G373/4))))</f>
        <v>481.31225999999992</v>
      </c>
      <c r="I373" s="58"/>
      <c r="L373" s="90"/>
      <c r="M373" s="90"/>
      <c r="N373" s="58"/>
    </row>
    <row r="374" spans="1:20" s="63" customFormat="1" ht="15.75" customHeight="1" x14ac:dyDescent="0.35">
      <c r="A374" s="64">
        <f t="shared" si="95"/>
        <v>6</v>
      </c>
      <c r="B374" s="64" t="s">
        <v>224</v>
      </c>
      <c r="C374" s="64" t="s">
        <v>211</v>
      </c>
      <c r="D374" s="64">
        <f>(29.81)*(10.764)</f>
        <v>320.87483999999995</v>
      </c>
      <c r="E374" s="64">
        <v>0</v>
      </c>
      <c r="F374" s="64">
        <f>D374+E374</f>
        <v>320.87483999999995</v>
      </c>
      <c r="G374" s="64">
        <v>0</v>
      </c>
      <c r="H374" s="64">
        <f>F374*(($H$209)+1)+(IF(G374&lt;101,G374,IF(G374&lt;201,G374/2,IF(G374&lt;=301,G374/3,G374/4))))</f>
        <v>481.31225999999992</v>
      </c>
      <c r="I374" s="58"/>
      <c r="L374" s="90"/>
      <c r="M374" s="90"/>
      <c r="N374" s="58"/>
    </row>
    <row r="375" spans="1:20" s="63" customFormat="1" x14ac:dyDescent="0.35">
      <c r="A375" s="82" t="s">
        <v>219</v>
      </c>
      <c r="B375" s="83"/>
      <c r="C375" s="83"/>
      <c r="D375" s="83"/>
      <c r="E375" s="83"/>
      <c r="F375" s="83"/>
      <c r="G375" s="83"/>
      <c r="H375" s="84"/>
      <c r="J375" s="58"/>
    </row>
    <row r="376" spans="1:20" s="63" customFormat="1" ht="15.75" customHeight="1" x14ac:dyDescent="0.35">
      <c r="A376" s="64">
        <v>1</v>
      </c>
      <c r="B376" s="64" t="s">
        <v>222</v>
      </c>
      <c r="C376" s="85" t="s">
        <v>218</v>
      </c>
      <c r="D376" s="86"/>
      <c r="E376" s="86"/>
      <c r="F376" s="86"/>
      <c r="G376" s="86"/>
      <c r="H376" s="87"/>
      <c r="I376" s="58"/>
      <c r="L376" s="90"/>
      <c r="M376" s="90"/>
      <c r="N376" s="58"/>
    </row>
    <row r="377" spans="1:20" s="63" customFormat="1" ht="15.75" customHeight="1" x14ac:dyDescent="0.35">
      <c r="A377" s="64">
        <f t="shared" ref="A377:A381" si="97">A376+1</f>
        <v>2</v>
      </c>
      <c r="B377" s="64" t="s">
        <v>224</v>
      </c>
      <c r="C377" s="64" t="s">
        <v>211</v>
      </c>
      <c r="D377" s="64">
        <f>(29.81)*(10.764)</f>
        <v>320.87483999999995</v>
      </c>
      <c r="E377" s="64">
        <v>0</v>
      </c>
      <c r="F377" s="64">
        <f t="shared" ref="F377" si="98">D377+E377</f>
        <v>320.87483999999995</v>
      </c>
      <c r="G377" s="64">
        <v>0</v>
      </c>
      <c r="H377" s="64">
        <f t="shared" ref="H377:H381" si="99">F377*(($H$209)+1)+(IF(G377&lt;101,G377,IF(G377&lt;201,G377/2,IF(G377&lt;=301,G377/3,G377/4))))</f>
        <v>481.31225999999992</v>
      </c>
      <c r="I377" s="58"/>
      <c r="L377" s="90"/>
      <c r="M377" s="90"/>
      <c r="N377" s="58"/>
    </row>
    <row r="378" spans="1:20" s="63" customFormat="1" ht="15.75" customHeight="1" x14ac:dyDescent="0.35">
      <c r="A378" s="64">
        <f t="shared" si="97"/>
        <v>3</v>
      </c>
      <c r="B378" s="64" t="s">
        <v>224</v>
      </c>
      <c r="C378" s="64" t="s">
        <v>211</v>
      </c>
      <c r="D378" s="64">
        <f>(29.85)*(10.764)</f>
        <v>321.30540000000002</v>
      </c>
      <c r="E378" s="64">
        <v>0</v>
      </c>
      <c r="F378" s="64">
        <f>D378+E378</f>
        <v>321.30540000000002</v>
      </c>
      <c r="G378" s="64">
        <v>0</v>
      </c>
      <c r="H378" s="64">
        <f t="shared" si="99"/>
        <v>481.95810000000006</v>
      </c>
      <c r="I378" s="58"/>
      <c r="L378" s="90"/>
      <c r="M378" s="90"/>
      <c r="N378" s="58"/>
    </row>
    <row r="379" spans="1:20" s="63" customFormat="1" ht="15.75" customHeight="1" x14ac:dyDescent="0.35">
      <c r="A379" s="64">
        <f t="shared" si="97"/>
        <v>4</v>
      </c>
      <c r="B379" s="64" t="s">
        <v>224</v>
      </c>
      <c r="C379" s="64" t="s">
        <v>211</v>
      </c>
      <c r="D379" s="64">
        <f>(29.85)*(10.764)</f>
        <v>321.30540000000002</v>
      </c>
      <c r="E379" s="64">
        <v>0</v>
      </c>
      <c r="F379" s="64">
        <f>D379+E379</f>
        <v>321.30540000000002</v>
      </c>
      <c r="G379" s="64">
        <v>0</v>
      </c>
      <c r="H379" s="64">
        <f t="shared" si="99"/>
        <v>481.95810000000006</v>
      </c>
      <c r="I379" s="58"/>
      <c r="L379" s="90"/>
      <c r="M379" s="90"/>
      <c r="N379" s="58"/>
      <c r="T379" s="54"/>
    </row>
    <row r="380" spans="1:20" s="63" customFormat="1" ht="15.75" customHeight="1" x14ac:dyDescent="0.35">
      <c r="A380" s="64">
        <f t="shared" si="97"/>
        <v>5</v>
      </c>
      <c r="B380" s="64" t="s">
        <v>224</v>
      </c>
      <c r="C380" s="64" t="s">
        <v>211</v>
      </c>
      <c r="D380" s="64">
        <f>(29.81)*(10.764)</f>
        <v>320.87483999999995</v>
      </c>
      <c r="E380" s="64">
        <v>0</v>
      </c>
      <c r="F380" s="64">
        <f t="shared" ref="F380" si="100">D380+E380</f>
        <v>320.87483999999995</v>
      </c>
      <c r="G380" s="64">
        <v>0</v>
      </c>
      <c r="H380" s="64">
        <f t="shared" si="99"/>
        <v>481.31225999999992</v>
      </c>
      <c r="I380" s="58"/>
      <c r="L380" s="90"/>
      <c r="M380" s="90"/>
      <c r="N380" s="58"/>
    </row>
    <row r="381" spans="1:20" s="63" customFormat="1" ht="15.75" customHeight="1" x14ac:dyDescent="0.35">
      <c r="A381" s="64">
        <f t="shared" si="97"/>
        <v>6</v>
      </c>
      <c r="B381" s="64" t="s">
        <v>224</v>
      </c>
      <c r="C381" s="64" t="s">
        <v>211</v>
      </c>
      <c r="D381" s="64">
        <f>(29.81)*(10.764)</f>
        <v>320.87483999999995</v>
      </c>
      <c r="E381" s="64">
        <v>0</v>
      </c>
      <c r="F381" s="64">
        <f>D381+E381</f>
        <v>320.87483999999995</v>
      </c>
      <c r="G381" s="64">
        <v>0</v>
      </c>
      <c r="H381" s="64">
        <f t="shared" si="99"/>
        <v>481.31225999999992</v>
      </c>
      <c r="I381" s="58"/>
      <c r="L381" s="90"/>
      <c r="M381" s="90"/>
      <c r="N381" s="58"/>
    </row>
    <row r="382" spans="1:20" s="63" customFormat="1" x14ac:dyDescent="0.35">
      <c r="A382" s="82" t="s">
        <v>241</v>
      </c>
      <c r="B382" s="83"/>
      <c r="C382" s="83"/>
      <c r="D382" s="83"/>
      <c r="E382" s="83"/>
      <c r="F382" s="83"/>
      <c r="G382" s="83"/>
      <c r="H382" s="84"/>
      <c r="J382" s="58"/>
    </row>
    <row r="383" spans="1:20" s="63" customFormat="1" x14ac:dyDescent="0.35">
      <c r="A383" s="82" t="s">
        <v>210</v>
      </c>
      <c r="B383" s="83"/>
      <c r="C383" s="83"/>
      <c r="D383" s="83"/>
      <c r="E383" s="83"/>
      <c r="F383" s="83"/>
      <c r="G383" s="83"/>
      <c r="H383" s="84"/>
      <c r="J383" s="58"/>
    </row>
    <row r="384" spans="1:20" s="63" customFormat="1" ht="15.75" customHeight="1" x14ac:dyDescent="0.35">
      <c r="A384" s="64">
        <v>7</v>
      </c>
      <c r="B384" s="64" t="s">
        <v>224</v>
      </c>
      <c r="C384" s="64" t="s">
        <v>211</v>
      </c>
      <c r="D384" s="64">
        <f>(29.81)*(10.764)</f>
        <v>320.87483999999995</v>
      </c>
      <c r="E384" s="64">
        <v>0</v>
      </c>
      <c r="F384" s="64">
        <f>D384+E384</f>
        <v>320.87483999999995</v>
      </c>
      <c r="G384" s="64">
        <v>0</v>
      </c>
      <c r="H384" s="64">
        <f>F384*(($H$209)+1)+(IF(G384&lt;101,G384,IF(G384&lt;201,G384/2,IF(G384&lt;=301,G384/3,G384/4))))</f>
        <v>481.31225999999992</v>
      </c>
      <c r="I384" s="58"/>
      <c r="L384" s="90"/>
      <c r="M384" s="90"/>
      <c r="N384" s="58"/>
    </row>
    <row r="385" spans="1:20" s="63" customFormat="1" ht="15.75" customHeight="1" x14ac:dyDescent="0.35">
      <c r="A385" s="64">
        <f t="shared" ref="A385:A389" si="101">A384+1</f>
        <v>8</v>
      </c>
      <c r="B385" s="64" t="s">
        <v>224</v>
      </c>
      <c r="C385" s="64" t="s">
        <v>211</v>
      </c>
      <c r="D385" s="64">
        <f>(29.81)*(10.764)</f>
        <v>320.87483999999995</v>
      </c>
      <c r="E385" s="64">
        <v>0</v>
      </c>
      <c r="F385" s="64">
        <f t="shared" ref="F385" si="102">D385+E385</f>
        <v>320.87483999999995</v>
      </c>
      <c r="G385" s="64">
        <v>0</v>
      </c>
      <c r="H385" s="64">
        <f>F385*(($H$209)+1)+(IF(G385&lt;101,G385,IF(G385&lt;201,G385/2,IF(G385&lt;=301,G385/3,G385/4))))</f>
        <v>481.31225999999992</v>
      </c>
      <c r="I385" s="58"/>
      <c r="L385" s="90"/>
      <c r="M385" s="90"/>
      <c r="N385" s="58"/>
    </row>
    <row r="386" spans="1:20" s="63" customFormat="1" ht="15.75" customHeight="1" x14ac:dyDescent="0.35">
      <c r="A386" s="64">
        <f t="shared" si="101"/>
        <v>9</v>
      </c>
      <c r="B386" s="64" t="s">
        <v>224</v>
      </c>
      <c r="C386" s="64" t="s">
        <v>211</v>
      </c>
      <c r="D386" s="64">
        <f>(29.81)*(10.764)</f>
        <v>320.87483999999995</v>
      </c>
      <c r="E386" s="64">
        <v>0</v>
      </c>
      <c r="F386" s="64">
        <f>D386+E386</f>
        <v>320.87483999999995</v>
      </c>
      <c r="G386" s="64">
        <v>0</v>
      </c>
      <c r="H386" s="64">
        <f>F386*(($H$209)+1)+(IF(G386&lt;101,G386,IF(G386&lt;201,G386/2,IF(G386&lt;=301,G386/3,G386/4))))</f>
        <v>481.31225999999992</v>
      </c>
      <c r="I386" s="58"/>
      <c r="L386" s="90"/>
      <c r="M386" s="90"/>
      <c r="N386" s="58"/>
    </row>
    <row r="387" spans="1:20" s="63" customFormat="1" ht="15.75" customHeight="1" x14ac:dyDescent="0.35">
      <c r="A387" s="64">
        <f t="shared" si="101"/>
        <v>10</v>
      </c>
      <c r="B387" s="64" t="s">
        <v>224</v>
      </c>
      <c r="C387" s="64" t="s">
        <v>211</v>
      </c>
      <c r="D387" s="64">
        <f>(29.81)*(10.764)</f>
        <v>320.87483999999995</v>
      </c>
      <c r="E387" s="64">
        <v>0</v>
      </c>
      <c r="F387" s="64">
        <f>D387+E387</f>
        <v>320.87483999999995</v>
      </c>
      <c r="G387" s="64">
        <v>0</v>
      </c>
      <c r="H387" s="64">
        <f>F387*(($H$209)+1)+(IF(G387&lt;101,G387,IF(G387&lt;201,G387/2,IF(G387&lt;=301,G387/3,G387/4))))</f>
        <v>481.31225999999992</v>
      </c>
      <c r="I387" s="58"/>
      <c r="L387" s="90"/>
      <c r="M387" s="90"/>
      <c r="N387" s="58"/>
      <c r="T387" s="54"/>
    </row>
    <row r="388" spans="1:20" s="63" customFormat="1" ht="15.75" customHeight="1" x14ac:dyDescent="0.35">
      <c r="A388" s="64">
        <f t="shared" si="101"/>
        <v>11</v>
      </c>
      <c r="B388" s="64" t="s">
        <v>222</v>
      </c>
      <c r="C388" s="85" t="s">
        <v>222</v>
      </c>
      <c r="D388" s="86"/>
      <c r="E388" s="86"/>
      <c r="F388" s="86"/>
      <c r="G388" s="86"/>
      <c r="H388" s="87"/>
      <c r="I388" s="58"/>
      <c r="L388" s="90"/>
      <c r="M388" s="90"/>
      <c r="N388" s="58"/>
    </row>
    <row r="389" spans="1:20" s="63" customFormat="1" ht="15.75" customHeight="1" x14ac:dyDescent="0.35">
      <c r="A389" s="64">
        <f t="shared" si="101"/>
        <v>12</v>
      </c>
      <c r="B389" s="64" t="s">
        <v>224</v>
      </c>
      <c r="C389" s="64" t="s">
        <v>242</v>
      </c>
      <c r="D389" s="64">
        <f>(18.75)*(10.764)</f>
        <v>201.82499999999999</v>
      </c>
      <c r="E389" s="64">
        <v>0</v>
      </c>
      <c r="F389" s="64">
        <f>D389+E389</f>
        <v>201.82499999999999</v>
      </c>
      <c r="G389" s="64">
        <v>0</v>
      </c>
      <c r="H389" s="64">
        <f>F389*(($H$209)+1)+(IF(G389&lt;101,G389,IF(G389&lt;201,G389/2,IF(G389&lt;=301,G389/3,G389/4))))</f>
        <v>302.73749999999995</v>
      </c>
      <c r="I389" s="58"/>
      <c r="L389" s="90"/>
      <c r="M389" s="90"/>
      <c r="N389" s="58"/>
    </row>
    <row r="390" spans="1:20" s="63" customFormat="1" ht="15.75" customHeight="1" x14ac:dyDescent="0.35">
      <c r="A390" s="82" t="s">
        <v>240</v>
      </c>
      <c r="B390" s="83"/>
      <c r="C390" s="83"/>
      <c r="D390" s="83"/>
      <c r="E390" s="83"/>
      <c r="F390" s="83"/>
      <c r="G390" s="83"/>
      <c r="H390" s="84"/>
      <c r="J390" s="58"/>
    </row>
    <row r="391" spans="1:20" s="63" customFormat="1" ht="15.75" customHeight="1" x14ac:dyDescent="0.35">
      <c r="A391" s="64">
        <v>7</v>
      </c>
      <c r="B391" s="64" t="s">
        <v>224</v>
      </c>
      <c r="C391" s="64" t="s">
        <v>211</v>
      </c>
      <c r="D391" s="64">
        <f>(29.81)*(10.764)</f>
        <v>320.87483999999995</v>
      </c>
      <c r="E391" s="64">
        <v>0</v>
      </c>
      <c r="F391" s="64">
        <f>D391+E391</f>
        <v>320.87483999999995</v>
      </c>
      <c r="G391" s="64">
        <v>0</v>
      </c>
      <c r="H391" s="64">
        <f>F391*(($H$209)+1)+(IF(G391&lt;101,G391,IF(G391&lt;201,G391/2,IF(G391&lt;=301,G391/3,G391/4))))</f>
        <v>481.31225999999992</v>
      </c>
      <c r="I391" s="58"/>
      <c r="L391" s="90"/>
      <c r="M391" s="90"/>
      <c r="N391" s="58"/>
    </row>
    <row r="392" spans="1:20" s="63" customFormat="1" ht="15.75" customHeight="1" x14ac:dyDescent="0.35">
      <c r="A392" s="64">
        <f t="shared" ref="A392:A396" si="103">A391+1</f>
        <v>8</v>
      </c>
      <c r="B392" s="64" t="s">
        <v>224</v>
      </c>
      <c r="C392" s="64" t="s">
        <v>211</v>
      </c>
      <c r="D392" s="64">
        <f>(29.81)*(10.764)</f>
        <v>320.87483999999995</v>
      </c>
      <c r="E392" s="64">
        <v>0</v>
      </c>
      <c r="F392" s="64">
        <f t="shared" ref="F392" si="104">D392+E392</f>
        <v>320.87483999999995</v>
      </c>
      <c r="G392" s="64">
        <v>0</v>
      </c>
      <c r="H392" s="64">
        <f t="shared" ref="H392:H395" si="105">F392*(($H$209)+1)+(IF(G392&lt;101,G392,IF(G392&lt;201,G392/2,IF(G392&lt;=301,G392/3,G392/4))))</f>
        <v>481.31225999999992</v>
      </c>
      <c r="I392" s="58"/>
      <c r="L392" s="90"/>
      <c r="M392" s="90"/>
      <c r="N392" s="58"/>
    </row>
    <row r="393" spans="1:20" s="63" customFormat="1" ht="15.75" customHeight="1" x14ac:dyDescent="0.35">
      <c r="A393" s="64">
        <f t="shared" si="103"/>
        <v>9</v>
      </c>
      <c r="B393" s="64" t="s">
        <v>224</v>
      </c>
      <c r="C393" s="64" t="s">
        <v>211</v>
      </c>
      <c r="D393" s="64">
        <f>(29.81)*(10.764)</f>
        <v>320.87483999999995</v>
      </c>
      <c r="E393" s="64">
        <v>0</v>
      </c>
      <c r="F393" s="64">
        <f>D393+E393</f>
        <v>320.87483999999995</v>
      </c>
      <c r="G393" s="64">
        <v>0</v>
      </c>
      <c r="H393" s="64">
        <f t="shared" si="105"/>
        <v>481.31225999999992</v>
      </c>
      <c r="I393" s="58"/>
      <c r="L393" s="90"/>
      <c r="M393" s="90"/>
      <c r="N393" s="58"/>
    </row>
    <row r="394" spans="1:20" s="63" customFormat="1" ht="15.75" customHeight="1" x14ac:dyDescent="0.35">
      <c r="A394" s="64">
        <f t="shared" si="103"/>
        <v>10</v>
      </c>
      <c r="B394" s="64" t="s">
        <v>224</v>
      </c>
      <c r="C394" s="64" t="s">
        <v>211</v>
      </c>
      <c r="D394" s="64">
        <f>(29.81)*(10.764)</f>
        <v>320.87483999999995</v>
      </c>
      <c r="E394" s="64">
        <v>0</v>
      </c>
      <c r="F394" s="64">
        <f>D394+E394</f>
        <v>320.87483999999995</v>
      </c>
      <c r="G394" s="64">
        <v>0</v>
      </c>
      <c r="H394" s="64">
        <f t="shared" si="105"/>
        <v>481.31225999999992</v>
      </c>
      <c r="I394" s="58"/>
      <c r="L394" s="90"/>
      <c r="M394" s="90"/>
      <c r="N394" s="58"/>
      <c r="T394" s="54"/>
    </row>
    <row r="395" spans="1:20" s="63" customFormat="1" ht="15.75" customHeight="1" x14ac:dyDescent="0.35">
      <c r="A395" s="64">
        <f t="shared" si="103"/>
        <v>11</v>
      </c>
      <c r="B395" s="64" t="s">
        <v>224</v>
      </c>
      <c r="C395" s="64" t="s">
        <v>242</v>
      </c>
      <c r="D395" s="64">
        <f>(18.75)*(10.764)</f>
        <v>201.82499999999999</v>
      </c>
      <c r="E395" s="64">
        <v>0</v>
      </c>
      <c r="F395" s="64">
        <f>D395+E395</f>
        <v>201.82499999999999</v>
      </c>
      <c r="G395" s="64">
        <v>0</v>
      </c>
      <c r="H395" s="64">
        <f t="shared" si="105"/>
        <v>302.73749999999995</v>
      </c>
      <c r="I395" s="58"/>
      <c r="L395" s="90"/>
      <c r="M395" s="90"/>
      <c r="N395" s="58"/>
    </row>
    <row r="396" spans="1:20" s="63" customFormat="1" ht="15.75" customHeight="1" x14ac:dyDescent="0.35">
      <c r="A396" s="64">
        <f t="shared" si="103"/>
        <v>12</v>
      </c>
      <c r="B396" s="64" t="s">
        <v>224</v>
      </c>
      <c r="C396" s="64" t="s">
        <v>242</v>
      </c>
      <c r="D396" s="64">
        <f>(18.75)*(10.764)</f>
        <v>201.82499999999999</v>
      </c>
      <c r="E396" s="64">
        <v>0</v>
      </c>
      <c r="F396" s="64">
        <f>D396+E396</f>
        <v>201.82499999999999</v>
      </c>
      <c r="G396" s="64">
        <v>0</v>
      </c>
      <c r="H396" s="64">
        <f t="shared" ref="H396" si="106">F396*(($H$209)+1)+(IF(G396&lt;101,G396,IF(G396&lt;201,G396/2,IF(G396&lt;=301,G396/3,G396/4))))</f>
        <v>302.73749999999995</v>
      </c>
      <c r="I396" s="58"/>
      <c r="L396" s="90"/>
      <c r="M396" s="90"/>
      <c r="N396" s="58"/>
    </row>
    <row r="397" spans="1:20" s="63" customFormat="1" ht="15.75" customHeight="1" x14ac:dyDescent="0.35">
      <c r="A397" s="82" t="s">
        <v>217</v>
      </c>
      <c r="B397" s="83"/>
      <c r="C397" s="83"/>
      <c r="D397" s="83"/>
      <c r="E397" s="83"/>
      <c r="F397" s="83"/>
      <c r="G397" s="83"/>
      <c r="H397" s="84"/>
      <c r="J397" s="58"/>
    </row>
    <row r="398" spans="1:20" s="63" customFormat="1" ht="15.75" customHeight="1" x14ac:dyDescent="0.35">
      <c r="A398" s="64">
        <v>7</v>
      </c>
      <c r="B398" s="64" t="s">
        <v>224</v>
      </c>
      <c r="C398" s="64" t="s">
        <v>211</v>
      </c>
      <c r="D398" s="64">
        <f>(29.81)*(10.764)</f>
        <v>320.87483999999995</v>
      </c>
      <c r="E398" s="64">
        <v>0</v>
      </c>
      <c r="F398" s="64">
        <f>D398+E398</f>
        <v>320.87483999999995</v>
      </c>
      <c r="G398" s="64">
        <v>0</v>
      </c>
      <c r="H398" s="64">
        <f>F398*(($H$209)+1)+(IF(G398&lt;101,G398,IF(G398&lt;201,G398/2,IF(G398&lt;=301,G398/3,G398/4))))</f>
        <v>481.31225999999992</v>
      </c>
      <c r="I398" s="58"/>
      <c r="L398" s="90"/>
      <c r="M398" s="90"/>
      <c r="N398" s="58"/>
    </row>
    <row r="399" spans="1:20" s="63" customFormat="1" ht="15.75" customHeight="1" x14ac:dyDescent="0.35">
      <c r="A399" s="64">
        <f t="shared" ref="A399:A403" si="107">A398+1</f>
        <v>8</v>
      </c>
      <c r="B399" s="64" t="s">
        <v>224</v>
      </c>
      <c r="C399" s="64" t="s">
        <v>211</v>
      </c>
      <c r="D399" s="64">
        <f>(29.81)*(10.764)</f>
        <v>320.87483999999995</v>
      </c>
      <c r="E399" s="64">
        <v>0</v>
      </c>
      <c r="F399" s="64">
        <f t="shared" ref="F399" si="108">D399+E399</f>
        <v>320.87483999999995</v>
      </c>
      <c r="G399" s="64">
        <v>0</v>
      </c>
      <c r="H399" s="64">
        <f>F399*(($H$209)+1)+(IF(G399&lt;101,G399,IF(G399&lt;201,G399/2,IF(G399&lt;=301,G399/3,G399/4))))</f>
        <v>481.31225999999992</v>
      </c>
      <c r="I399" s="58"/>
      <c r="L399" s="90"/>
      <c r="M399" s="90"/>
      <c r="N399" s="58"/>
    </row>
    <row r="400" spans="1:20" s="63" customFormat="1" ht="15.75" customHeight="1" x14ac:dyDescent="0.35">
      <c r="A400" s="64">
        <f t="shared" si="107"/>
        <v>9</v>
      </c>
      <c r="B400" s="64" t="s">
        <v>224</v>
      </c>
      <c r="C400" s="64" t="s">
        <v>211</v>
      </c>
      <c r="D400" s="64">
        <f>(29.81)*(10.764)</f>
        <v>320.87483999999995</v>
      </c>
      <c r="E400" s="64">
        <v>0</v>
      </c>
      <c r="F400" s="64">
        <f>D400+E400</f>
        <v>320.87483999999995</v>
      </c>
      <c r="G400" s="64">
        <v>0</v>
      </c>
      <c r="H400" s="64">
        <f>F400*(($H$209)+1)+(IF(G400&lt;101,G400,IF(G400&lt;201,G400/2,IF(G400&lt;=301,G400/3,G400/4))))</f>
        <v>481.31225999999992</v>
      </c>
      <c r="I400" s="58"/>
      <c r="L400" s="90"/>
      <c r="M400" s="90"/>
      <c r="N400" s="58"/>
    </row>
    <row r="401" spans="1:20" s="63" customFormat="1" ht="15.75" customHeight="1" x14ac:dyDescent="0.35">
      <c r="A401" s="64">
        <f t="shared" si="107"/>
        <v>10</v>
      </c>
      <c r="B401" s="64" t="s">
        <v>222</v>
      </c>
      <c r="C401" s="85" t="s">
        <v>218</v>
      </c>
      <c r="D401" s="86"/>
      <c r="E401" s="86"/>
      <c r="F401" s="86"/>
      <c r="G401" s="86"/>
      <c r="H401" s="87"/>
      <c r="I401" s="58"/>
      <c r="L401" s="90"/>
      <c r="M401" s="90"/>
      <c r="N401" s="58"/>
      <c r="T401" s="54"/>
    </row>
    <row r="402" spans="1:20" s="63" customFormat="1" ht="15.75" customHeight="1" x14ac:dyDescent="0.35">
      <c r="A402" s="64">
        <f t="shared" si="107"/>
        <v>11</v>
      </c>
      <c r="B402" s="64" t="s">
        <v>224</v>
      </c>
      <c r="C402" s="64" t="s">
        <v>242</v>
      </c>
      <c r="D402" s="64">
        <f>(18.75)*(10.764)</f>
        <v>201.82499999999999</v>
      </c>
      <c r="E402" s="64">
        <v>0</v>
      </c>
      <c r="F402" s="64">
        <f>D402+E402</f>
        <v>201.82499999999999</v>
      </c>
      <c r="G402" s="64">
        <v>0</v>
      </c>
      <c r="H402" s="64">
        <f>F402*(($H$209)+1)+(IF(G402&lt;101,G402,IF(G402&lt;201,G402/2,IF(G402&lt;=301,G402/3,G402/4))))</f>
        <v>302.73749999999995</v>
      </c>
      <c r="I402" s="58"/>
      <c r="L402" s="90"/>
      <c r="M402" s="90"/>
      <c r="N402" s="58"/>
    </row>
    <row r="403" spans="1:20" s="63" customFormat="1" ht="15.75" customHeight="1" x14ac:dyDescent="0.35">
      <c r="A403" s="64">
        <f t="shared" si="107"/>
        <v>12</v>
      </c>
      <c r="B403" s="64" t="s">
        <v>224</v>
      </c>
      <c r="C403" s="64" t="s">
        <v>242</v>
      </c>
      <c r="D403" s="64">
        <f>(18.75)*(10.764)</f>
        <v>201.82499999999999</v>
      </c>
      <c r="E403" s="64">
        <v>0</v>
      </c>
      <c r="F403" s="64">
        <f>D403+E403</f>
        <v>201.82499999999999</v>
      </c>
      <c r="G403" s="64">
        <v>0</v>
      </c>
      <c r="H403" s="64">
        <f>F403*(($H$209)+1)+(IF(G403&lt;101,G403,IF(G403&lt;201,G403/2,IF(G403&lt;=301,G403/3,G403/4))))</f>
        <v>302.73749999999995</v>
      </c>
      <c r="I403" s="58"/>
      <c r="L403" s="90"/>
      <c r="M403" s="90"/>
      <c r="N403" s="58"/>
    </row>
    <row r="404" spans="1:20" s="63" customFormat="1" ht="15.75" customHeight="1" x14ac:dyDescent="0.35">
      <c r="A404" s="88" t="s">
        <v>219</v>
      </c>
      <c r="B404" s="88"/>
      <c r="C404" s="88"/>
      <c r="D404" s="88"/>
      <c r="E404" s="88"/>
      <c r="F404" s="88"/>
      <c r="G404" s="88"/>
      <c r="H404" s="88"/>
      <c r="J404" s="58"/>
    </row>
    <row r="405" spans="1:20" s="63" customFormat="1" ht="15.75" customHeight="1" x14ac:dyDescent="0.35">
      <c r="A405" s="71">
        <v>7</v>
      </c>
      <c r="B405" s="71" t="s">
        <v>224</v>
      </c>
      <c r="C405" s="71" t="s">
        <v>211</v>
      </c>
      <c r="D405" s="71">
        <f>(29.81)*(10.764)</f>
        <v>320.87483999999995</v>
      </c>
      <c r="E405" s="71">
        <v>0</v>
      </c>
      <c r="F405" s="71">
        <f>D405+E405</f>
        <v>320.87483999999995</v>
      </c>
      <c r="G405" s="71">
        <v>0</v>
      </c>
      <c r="H405" s="71">
        <f>F405*(($H$209)+1)+(IF(G405&lt;101,G405,IF(G405&lt;201,G405/2,IF(G405&lt;=301,G405/3,G405/4))))</f>
        <v>481.31225999999992</v>
      </c>
      <c r="I405" s="58"/>
      <c r="L405" s="90"/>
      <c r="M405" s="90"/>
      <c r="N405" s="58"/>
    </row>
    <row r="406" spans="1:20" s="63" customFormat="1" ht="15.75" customHeight="1" x14ac:dyDescent="0.35">
      <c r="A406" s="71">
        <f t="shared" ref="A406:A410" si="109">A405+1</f>
        <v>8</v>
      </c>
      <c r="B406" s="71" t="s">
        <v>224</v>
      </c>
      <c r="C406" s="71" t="s">
        <v>211</v>
      </c>
      <c r="D406" s="71">
        <f>(29.81)*(10.764)</f>
        <v>320.87483999999995</v>
      </c>
      <c r="E406" s="71">
        <v>0</v>
      </c>
      <c r="F406" s="71">
        <f t="shared" ref="F406" si="110">D406+E406</f>
        <v>320.87483999999995</v>
      </c>
      <c r="G406" s="71">
        <v>0</v>
      </c>
      <c r="H406" s="71">
        <f t="shared" ref="H406:H407" si="111">F406*(($H$209)+1)+(IF(G406&lt;101,G406,IF(G406&lt;201,G406/2,IF(G406&lt;=301,G406/3,G406/4))))</f>
        <v>481.31225999999992</v>
      </c>
      <c r="I406" s="58"/>
      <c r="L406" s="90"/>
      <c r="M406" s="90"/>
      <c r="N406" s="58"/>
    </row>
    <row r="407" spans="1:20" s="63" customFormat="1" ht="15.75" customHeight="1" x14ac:dyDescent="0.35">
      <c r="A407" s="71">
        <f t="shared" si="109"/>
        <v>9</v>
      </c>
      <c r="B407" s="71" t="s">
        <v>224</v>
      </c>
      <c r="C407" s="71" t="s">
        <v>211</v>
      </c>
      <c r="D407" s="71">
        <f>(29.81)*(10.764)</f>
        <v>320.87483999999995</v>
      </c>
      <c r="E407" s="71">
        <v>0</v>
      </c>
      <c r="F407" s="71">
        <f>D407+E407</f>
        <v>320.87483999999995</v>
      </c>
      <c r="G407" s="71">
        <v>0</v>
      </c>
      <c r="H407" s="71">
        <f t="shared" si="111"/>
        <v>481.31225999999992</v>
      </c>
      <c r="I407" s="58"/>
      <c r="L407" s="90"/>
      <c r="M407" s="90"/>
      <c r="N407" s="58"/>
    </row>
    <row r="408" spans="1:20" s="63" customFormat="1" ht="15.75" customHeight="1" x14ac:dyDescent="0.35">
      <c r="A408" s="71">
        <f t="shared" si="109"/>
        <v>10</v>
      </c>
      <c r="B408" s="71" t="s">
        <v>222</v>
      </c>
      <c r="C408" s="89" t="s">
        <v>218</v>
      </c>
      <c r="D408" s="89"/>
      <c r="E408" s="89"/>
      <c r="F408" s="89"/>
      <c r="G408" s="89"/>
      <c r="H408" s="89"/>
      <c r="I408" s="58"/>
      <c r="L408" s="90"/>
      <c r="M408" s="90"/>
      <c r="N408" s="58"/>
      <c r="T408" s="54"/>
    </row>
    <row r="409" spans="1:20" s="63" customFormat="1" ht="15.75" customHeight="1" x14ac:dyDescent="0.35">
      <c r="A409" s="71">
        <f t="shared" si="109"/>
        <v>11</v>
      </c>
      <c r="B409" s="71" t="s">
        <v>224</v>
      </c>
      <c r="C409" s="71" t="s">
        <v>242</v>
      </c>
      <c r="D409" s="71">
        <f>(18.75)*(10.764)</f>
        <v>201.82499999999999</v>
      </c>
      <c r="E409" s="71">
        <v>0</v>
      </c>
      <c r="F409" s="71">
        <f>D409+E409</f>
        <v>201.82499999999999</v>
      </c>
      <c r="G409" s="71">
        <v>0</v>
      </c>
      <c r="H409" s="71">
        <f t="shared" ref="H409:H410" si="112">F409*(($H$209)+1)+(IF(G409&lt;101,G409,IF(G409&lt;201,G409/2,IF(G409&lt;=301,G409/3,G409/4))))</f>
        <v>302.73749999999995</v>
      </c>
      <c r="I409" s="58"/>
      <c r="J409" s="63">
        <f>4200000/H409</f>
        <v>13873.405177753006</v>
      </c>
      <c r="L409" s="90"/>
      <c r="M409" s="90"/>
      <c r="N409" s="58"/>
    </row>
    <row r="410" spans="1:20" s="63" customFormat="1" ht="15.75" customHeight="1" x14ac:dyDescent="0.35">
      <c r="A410" s="71">
        <f t="shared" si="109"/>
        <v>12</v>
      </c>
      <c r="B410" s="71" t="s">
        <v>224</v>
      </c>
      <c r="C410" s="71" t="s">
        <v>242</v>
      </c>
      <c r="D410" s="71">
        <f>(18.75)*(10.764)</f>
        <v>201.82499999999999</v>
      </c>
      <c r="E410" s="71">
        <v>0</v>
      </c>
      <c r="F410" s="71">
        <f>D410+E410</f>
        <v>201.82499999999999</v>
      </c>
      <c r="G410" s="71">
        <v>0</v>
      </c>
      <c r="H410" s="71">
        <f t="shared" si="112"/>
        <v>302.73749999999995</v>
      </c>
      <c r="I410" s="58"/>
      <c r="L410" s="90"/>
      <c r="M410" s="90"/>
      <c r="N410" s="58"/>
    </row>
    <row r="411" spans="1:20" s="57" customFormat="1" hidden="1" x14ac:dyDescent="0.35">
      <c r="A411" s="82" t="s">
        <v>210</v>
      </c>
      <c r="B411" s="83"/>
      <c r="C411" s="83"/>
      <c r="D411" s="83"/>
      <c r="E411" s="83"/>
      <c r="F411" s="83"/>
      <c r="G411" s="83"/>
      <c r="H411" s="84"/>
      <c r="J411" s="58"/>
    </row>
    <row r="412" spans="1:20" s="57" customFormat="1" ht="15.75" hidden="1" customHeight="1" x14ac:dyDescent="0.35">
      <c r="A412" s="64">
        <v>1</v>
      </c>
      <c r="B412" s="64"/>
      <c r="C412" s="59"/>
      <c r="D412" s="59"/>
      <c r="E412" s="59">
        <v>0</v>
      </c>
      <c r="F412" s="59">
        <f>D412+E412</f>
        <v>0</v>
      </c>
      <c r="G412" s="59">
        <v>0</v>
      </c>
      <c r="H412" s="59">
        <f>F412*(($H$209)+1)+(IF(G412&lt;101,G412,IF(G412&lt;201,G412/2,IF(G412&lt;=301,G412/3,G412/4))))</f>
        <v>0</v>
      </c>
      <c r="I412" s="58"/>
      <c r="L412" s="90"/>
      <c r="M412" s="90"/>
      <c r="N412" s="58"/>
    </row>
    <row r="413" spans="1:20" s="57" customFormat="1" ht="15.75" hidden="1" customHeight="1" x14ac:dyDescent="0.35">
      <c r="A413" s="64">
        <f t="shared" ref="A413:A425" si="113">A412+1</f>
        <v>2</v>
      </c>
      <c r="B413" s="64"/>
      <c r="C413" s="59"/>
      <c r="D413" s="59"/>
      <c r="E413" s="59">
        <v>0</v>
      </c>
      <c r="F413" s="59">
        <f t="shared" ref="F413" si="114">D413+E413</f>
        <v>0</v>
      </c>
      <c r="G413" s="59">
        <v>0</v>
      </c>
      <c r="H413" s="59">
        <f t="shared" ref="H413:H425" si="115">F413*(($H$209)+1)+(IF(G413&lt;101,G413,IF(G413&lt;201,G413/2,IF(G413&lt;=301,G413/3,G413/4))))</f>
        <v>0</v>
      </c>
      <c r="I413" s="58"/>
      <c r="L413" s="90"/>
      <c r="M413" s="90"/>
      <c r="N413" s="58"/>
    </row>
    <row r="414" spans="1:20" s="57" customFormat="1" ht="15.75" hidden="1" customHeight="1" x14ac:dyDescent="0.35">
      <c r="A414" s="64">
        <f t="shared" si="113"/>
        <v>3</v>
      </c>
      <c r="B414" s="64"/>
      <c r="C414" s="59"/>
      <c r="D414" s="59"/>
      <c r="E414" s="59">
        <v>0</v>
      </c>
      <c r="F414" s="59">
        <f>D414+E414</f>
        <v>0</v>
      </c>
      <c r="G414" s="59">
        <v>0</v>
      </c>
      <c r="H414" s="59">
        <f t="shared" si="115"/>
        <v>0</v>
      </c>
      <c r="I414" s="58"/>
      <c r="L414" s="90"/>
      <c r="M414" s="90"/>
      <c r="N414" s="58"/>
    </row>
    <row r="415" spans="1:20" s="57" customFormat="1" ht="15.75" hidden="1" customHeight="1" x14ac:dyDescent="0.35">
      <c r="A415" s="64">
        <f t="shared" si="113"/>
        <v>4</v>
      </c>
      <c r="B415" s="64"/>
      <c r="C415" s="59"/>
      <c r="D415" s="59"/>
      <c r="E415" s="59">
        <v>0</v>
      </c>
      <c r="F415" s="59">
        <f>D415+E415</f>
        <v>0</v>
      </c>
      <c r="G415" s="59">
        <v>0</v>
      </c>
      <c r="H415" s="59">
        <f t="shared" si="115"/>
        <v>0</v>
      </c>
      <c r="I415" s="58"/>
      <c r="L415" s="90"/>
      <c r="M415" s="90"/>
      <c r="N415" s="58"/>
      <c r="T415" s="54"/>
    </row>
    <row r="416" spans="1:20" s="57" customFormat="1" ht="15.75" hidden="1" customHeight="1" x14ac:dyDescent="0.35">
      <c r="A416" s="64">
        <f t="shared" si="113"/>
        <v>5</v>
      </c>
      <c r="B416" s="64"/>
      <c r="C416" s="59"/>
      <c r="D416" s="59"/>
      <c r="E416" s="59">
        <v>0</v>
      </c>
      <c r="F416" s="59">
        <f t="shared" ref="F416" si="116">D416+E416</f>
        <v>0</v>
      </c>
      <c r="G416" s="59">
        <v>0</v>
      </c>
      <c r="H416" s="59">
        <f t="shared" si="115"/>
        <v>0</v>
      </c>
      <c r="I416" s="58"/>
      <c r="L416" s="90"/>
      <c r="M416" s="90"/>
      <c r="N416" s="58"/>
    </row>
    <row r="417" spans="1:20" s="57" customFormat="1" ht="15.75" hidden="1" customHeight="1" x14ac:dyDescent="0.35">
      <c r="A417" s="64">
        <f t="shared" si="113"/>
        <v>6</v>
      </c>
      <c r="B417" s="64"/>
      <c r="C417" s="59"/>
      <c r="D417" s="59"/>
      <c r="E417" s="59">
        <v>0</v>
      </c>
      <c r="F417" s="59">
        <f>D417+E417</f>
        <v>0</v>
      </c>
      <c r="G417" s="59">
        <v>0</v>
      </c>
      <c r="H417" s="59">
        <f t="shared" si="115"/>
        <v>0</v>
      </c>
      <c r="I417" s="58"/>
      <c r="L417" s="90"/>
      <c r="M417" s="90"/>
      <c r="N417" s="58"/>
    </row>
    <row r="418" spans="1:20" s="57" customFormat="1" ht="15.75" hidden="1" customHeight="1" x14ac:dyDescent="0.35">
      <c r="A418" s="64">
        <f t="shared" si="113"/>
        <v>7</v>
      </c>
      <c r="B418" s="64"/>
      <c r="C418" s="59"/>
      <c r="D418" s="59"/>
      <c r="E418" s="59">
        <v>0</v>
      </c>
      <c r="F418" s="59">
        <f>D418+E418</f>
        <v>0</v>
      </c>
      <c r="G418" s="59">
        <v>0</v>
      </c>
      <c r="H418" s="59">
        <f t="shared" si="115"/>
        <v>0</v>
      </c>
      <c r="I418" s="58"/>
      <c r="L418" s="90"/>
      <c r="M418" s="90"/>
      <c r="N418" s="58"/>
      <c r="T418" s="54"/>
    </row>
    <row r="419" spans="1:20" s="57" customFormat="1" ht="15.75" hidden="1" customHeight="1" x14ac:dyDescent="0.35">
      <c r="A419" s="64">
        <f t="shared" si="113"/>
        <v>8</v>
      </c>
      <c r="B419" s="64"/>
      <c r="C419" s="59"/>
      <c r="D419" s="59"/>
      <c r="E419" s="59">
        <v>0</v>
      </c>
      <c r="F419" s="59">
        <f t="shared" ref="F419" si="117">D419+E419</f>
        <v>0</v>
      </c>
      <c r="G419" s="59">
        <v>0</v>
      </c>
      <c r="H419" s="59">
        <f t="shared" si="115"/>
        <v>0</v>
      </c>
      <c r="I419" s="58"/>
      <c r="L419" s="90"/>
      <c r="M419" s="90"/>
      <c r="N419" s="58"/>
    </row>
    <row r="420" spans="1:20" s="57" customFormat="1" ht="15.75" hidden="1" customHeight="1" x14ac:dyDescent="0.35">
      <c r="A420" s="64">
        <f t="shared" si="113"/>
        <v>9</v>
      </c>
      <c r="B420" s="64"/>
      <c r="C420" s="59"/>
      <c r="D420" s="59"/>
      <c r="E420" s="59">
        <v>0</v>
      </c>
      <c r="F420" s="59">
        <f>D420+E420</f>
        <v>0</v>
      </c>
      <c r="G420" s="59">
        <v>0</v>
      </c>
      <c r="H420" s="59">
        <f t="shared" si="115"/>
        <v>0</v>
      </c>
      <c r="I420" s="58"/>
      <c r="L420" s="90"/>
      <c r="M420" s="90"/>
      <c r="N420" s="58"/>
    </row>
    <row r="421" spans="1:20" s="57" customFormat="1" ht="15.75" hidden="1" customHeight="1" x14ac:dyDescent="0.35">
      <c r="A421" s="64">
        <f t="shared" si="113"/>
        <v>10</v>
      </c>
      <c r="B421" s="64"/>
      <c r="C421" s="59"/>
      <c r="D421" s="59"/>
      <c r="E421" s="59">
        <v>0</v>
      </c>
      <c r="F421" s="59">
        <f>D421+E421</f>
        <v>0</v>
      </c>
      <c r="G421" s="59">
        <v>0</v>
      </c>
      <c r="H421" s="59">
        <f t="shared" si="115"/>
        <v>0</v>
      </c>
      <c r="I421" s="58"/>
      <c r="L421" s="90"/>
      <c r="M421" s="90"/>
      <c r="N421" s="58"/>
      <c r="T421" s="54"/>
    </row>
    <row r="422" spans="1:20" s="57" customFormat="1" ht="15.75" hidden="1" customHeight="1" x14ac:dyDescent="0.35">
      <c r="A422" s="64">
        <f t="shared" si="113"/>
        <v>11</v>
      </c>
      <c r="B422" s="64"/>
      <c r="C422" s="59"/>
      <c r="D422" s="59"/>
      <c r="E422" s="59">
        <v>0</v>
      </c>
      <c r="F422" s="59">
        <f t="shared" ref="F422" si="118">D422+E422</f>
        <v>0</v>
      </c>
      <c r="G422" s="59">
        <v>0</v>
      </c>
      <c r="H422" s="59">
        <f t="shared" si="115"/>
        <v>0</v>
      </c>
      <c r="I422" s="58"/>
      <c r="L422" s="90"/>
      <c r="M422" s="90"/>
      <c r="N422" s="58"/>
    </row>
    <row r="423" spans="1:20" s="57" customFormat="1" ht="15.75" hidden="1" customHeight="1" x14ac:dyDescent="0.35">
      <c r="A423" s="64">
        <f t="shared" si="113"/>
        <v>12</v>
      </c>
      <c r="B423" s="64"/>
      <c r="C423" s="59"/>
      <c r="D423" s="59"/>
      <c r="E423" s="59">
        <v>0</v>
      </c>
      <c r="F423" s="59">
        <f>D423+E423</f>
        <v>0</v>
      </c>
      <c r="G423" s="59">
        <v>0</v>
      </c>
      <c r="H423" s="59">
        <f t="shared" si="115"/>
        <v>0</v>
      </c>
      <c r="I423" s="58"/>
      <c r="L423" s="90"/>
      <c r="M423" s="90"/>
      <c r="N423" s="58"/>
    </row>
    <row r="424" spans="1:20" s="57" customFormat="1" ht="15.75" hidden="1" customHeight="1" x14ac:dyDescent="0.35">
      <c r="A424" s="64">
        <f t="shared" si="113"/>
        <v>13</v>
      </c>
      <c r="B424" s="64"/>
      <c r="C424" s="59"/>
      <c r="D424" s="59"/>
      <c r="E424" s="59">
        <v>0</v>
      </c>
      <c r="F424" s="59">
        <f>D424+E424</f>
        <v>0</v>
      </c>
      <c r="G424" s="59">
        <v>0</v>
      </c>
      <c r="H424" s="59">
        <f t="shared" si="115"/>
        <v>0</v>
      </c>
      <c r="I424" s="58"/>
      <c r="L424" s="90"/>
      <c r="M424" s="90"/>
      <c r="N424" s="58"/>
      <c r="T424" s="54"/>
    </row>
    <row r="425" spans="1:20" s="57" customFormat="1" ht="15.75" hidden="1" customHeight="1" x14ac:dyDescent="0.35">
      <c r="A425" s="64">
        <f t="shared" si="113"/>
        <v>14</v>
      </c>
      <c r="B425" s="64"/>
      <c r="C425" s="59"/>
      <c r="D425" s="59"/>
      <c r="E425" s="59">
        <v>0</v>
      </c>
      <c r="F425" s="59">
        <f>D425+E425</f>
        <v>0</v>
      </c>
      <c r="G425" s="59">
        <v>0</v>
      </c>
      <c r="H425" s="59">
        <f t="shared" si="115"/>
        <v>0</v>
      </c>
      <c r="I425" s="58"/>
      <c r="L425" s="90"/>
      <c r="M425" s="90"/>
      <c r="N425" s="58"/>
      <c r="T425" s="54"/>
    </row>
    <row r="426" spans="1:20" s="57" customFormat="1" hidden="1" x14ac:dyDescent="0.35">
      <c r="A426" s="88" t="s">
        <v>121</v>
      </c>
      <c r="B426" s="88"/>
      <c r="C426" s="88"/>
      <c r="D426" s="88"/>
      <c r="E426" s="88"/>
      <c r="F426" s="88"/>
      <c r="G426" s="88"/>
      <c r="H426" s="88"/>
      <c r="I426" s="58"/>
      <c r="L426" s="90"/>
      <c r="M426" s="90"/>
    </row>
    <row r="427" spans="1:20" s="57" customFormat="1" hidden="1" x14ac:dyDescent="0.35">
      <c r="A427" s="89">
        <f>LEFT(A426,SUM(LEN(A426)-LEN(SUBSTITUTE(A426,{"0","1","2","3","4","5","6","7","8","9"},""))))*100+1</f>
        <v>201</v>
      </c>
      <c r="B427" s="89"/>
      <c r="C427" s="59"/>
      <c r="D427" s="59"/>
      <c r="E427" s="59">
        <v>0</v>
      </c>
      <c r="F427" s="59">
        <f>D427+E427</f>
        <v>0</v>
      </c>
      <c r="G427" s="59">
        <v>0</v>
      </c>
      <c r="H427" s="59">
        <f>F427*(($H$209)+1)+(IF(G427&lt;101,G427,IF(G427&lt;201,G427/2,IF(G427&lt;=301,G427/3,G427/4))))</f>
        <v>0</v>
      </c>
      <c r="I427" s="58"/>
      <c r="N427" s="58"/>
    </row>
    <row r="428" spans="1:20" s="57" customFormat="1" hidden="1" x14ac:dyDescent="0.35">
      <c r="A428" s="89">
        <f>A427+1</f>
        <v>202</v>
      </c>
      <c r="B428" s="89"/>
      <c r="C428" s="59"/>
      <c r="D428" s="59"/>
      <c r="E428" s="59">
        <v>0</v>
      </c>
      <c r="F428" s="59">
        <f>D428+E428</f>
        <v>0</v>
      </c>
      <c r="G428" s="59">
        <v>0</v>
      </c>
      <c r="H428" s="59">
        <f t="shared" ref="H428:H431" si="119">F428*(($H$209)+1)+(IF(G428&lt;101,G428,IF(G428&lt;201,G428/2,IF(G428&lt;=301,G428/3,G428/4))))</f>
        <v>0</v>
      </c>
      <c r="I428" s="58"/>
      <c r="N428" s="58"/>
    </row>
    <row r="429" spans="1:20" s="57" customFormat="1" hidden="1" x14ac:dyDescent="0.35">
      <c r="A429" s="89">
        <f>A428+1</f>
        <v>203</v>
      </c>
      <c r="B429" s="89"/>
      <c r="C429" s="59"/>
      <c r="D429" s="59"/>
      <c r="E429" s="59">
        <v>0</v>
      </c>
      <c r="F429" s="59">
        <f>D429+E429</f>
        <v>0</v>
      </c>
      <c r="G429" s="59">
        <v>0</v>
      </c>
      <c r="H429" s="59">
        <f t="shared" si="119"/>
        <v>0</v>
      </c>
      <c r="I429" s="58"/>
      <c r="N429" s="58"/>
    </row>
    <row r="430" spans="1:20" s="57" customFormat="1" hidden="1" x14ac:dyDescent="0.35">
      <c r="A430" s="89">
        <f>A429+1</f>
        <v>204</v>
      </c>
      <c r="B430" s="89"/>
      <c r="C430" s="59"/>
      <c r="D430" s="59"/>
      <c r="E430" s="59">
        <v>0</v>
      </c>
      <c r="F430" s="59">
        <f>D430+E430</f>
        <v>0</v>
      </c>
      <c r="G430" s="59">
        <v>0</v>
      </c>
      <c r="H430" s="59">
        <f t="shared" si="119"/>
        <v>0</v>
      </c>
      <c r="I430" s="58"/>
      <c r="N430" s="58"/>
    </row>
    <row r="431" spans="1:20" s="57" customFormat="1" hidden="1" x14ac:dyDescent="0.35">
      <c r="A431" s="89">
        <f>A430+1</f>
        <v>205</v>
      </c>
      <c r="B431" s="89"/>
      <c r="C431" s="59"/>
      <c r="D431" s="59"/>
      <c r="E431" s="59">
        <v>0</v>
      </c>
      <c r="F431" s="59">
        <f>D431+E431</f>
        <v>0</v>
      </c>
      <c r="G431" s="59">
        <v>0</v>
      </c>
      <c r="H431" s="59">
        <f t="shared" si="119"/>
        <v>0</v>
      </c>
      <c r="I431" s="58"/>
      <c r="N431" s="58"/>
    </row>
    <row r="432" spans="1:20" s="57" customFormat="1" ht="15.75" hidden="1" customHeight="1" x14ac:dyDescent="0.35">
      <c r="A432" s="82" t="s">
        <v>155</v>
      </c>
      <c r="B432" s="83"/>
      <c r="C432" s="83"/>
      <c r="D432" s="83"/>
      <c r="E432" s="83"/>
      <c r="F432" s="83"/>
      <c r="G432" s="83"/>
      <c r="H432" s="84"/>
      <c r="I432" s="58"/>
    </row>
    <row r="433" spans="1:9" s="57" customFormat="1" ht="15.75" hidden="1" customHeight="1" x14ac:dyDescent="0.35">
      <c r="A433" s="85" t="str">
        <f ca="1">(SUMPRODUCT(MID(0&amp;(LEFT(A432,SUM(LEN(A432)-LEN(SUBSTITUTE(A432,{"0","1","2"},""))))), LARGE(INDEX(ISNUMBER(--MID((LEFT(A432,SUM(LEN(A432)-LEN(SUBSTITUTE(A432,{"0","1","2"},""))))), ROW(INDIRECT("1:"&amp;LEN((LEFT(A432,SUM(LEN(A432)-LEN(SUBSTITUTE(A432,{"0","1","2"},"")))))))), 1)) * ROW(INDIRECT("1:"&amp;LEN((LEFT(A432,SUM(LEN(A432)-LEN(SUBSTITUTE(A432,{"0","1","2"},"")))))))), 0), ROW(INDIRECT("1:"&amp;LEN((LEFT(A432,SUM(LEN(A432)-LEN(SUBSTITUTE(A432,{"0","1","2"},"")))))))))+1, 1) * 10^ROW(INDIRECT("1:"&amp;LEN((LEFT(A432,SUM(LEN(A432)-LEN(SUBSTITUTE(A432,{"0","1","2"},""))))))))/10))*100+1&amp;""&amp;" ,.., "&amp;""&amp;(SUMPRODUCT(MID(0&amp;(--TRIM(RIGHT(SUBSTITUTE(LEFT(A432,_xlfn.AGGREGATE(16,6,FIND({0,1,2,3,4,5,6,7,8,9},A432,ROW(INDIRECT("1:"&amp;LEN(A432)))),1))," ",REPT(" ",LEN(A432))),LEN(A432)))), LARGE(INDEX(ISNUMBER(--MID((--TRIM(RIGHT(SUBSTITUTE(LEFT(A432,_xlfn.AGGREGATE(16,6,FIND({0,1,2,3,4,5,6,7,8,9},A432,ROW(INDIRECT("1:"&amp;LEN(A432)))),1))," ",REPT(" ",LEN(A432))),LEN(A432)))), ROW(INDIRECT("1:"&amp;LEN((--TRIM(RIGHT(SUBSTITUTE(LEFT(A432,_xlfn.AGGREGATE(16,6,FIND({0,1,2,3,4,5,6,7,8,9},A432,ROW(INDIRECT("1:"&amp;LEN(A432)))),1))," ",REPT(" ",LEN(A432))),LEN(A432))))))), 1)) * ROW(INDIRECT("1:"&amp;LEN((--TRIM(RIGHT(SUBSTITUTE(LEFT(A432,_xlfn.AGGREGATE(16,6,FIND({0,1,2,3,4,5,6,7,8,9},A432,ROW(INDIRECT("1:"&amp;LEN(A432)))),1))," ",REPT(" ",LEN(A432))),LEN(A432))))))), 0), ROW(INDIRECT("1:"&amp;LEN((--TRIM(RIGHT(SUBSTITUTE(LEFT(A432,_xlfn.AGGREGATE(16,6,FIND({0,1,2,3,4,5,6,7,8,9},A432,ROW(INDIRECT("1:"&amp;LEN(A432)))),1))," ",REPT(" ",LEN(A432))),LEN(A432))))))))+1, 1) * 10^ROW(INDIRECT("1:"&amp;LEN((--TRIM(RIGHT(SUBSTITUTE(LEFT(A432,_xlfn.AGGREGATE(16,6,FIND({0,1,2,3,4,5,6,7,8,9},A432,ROW(INDIRECT("1:"&amp;LEN(A432)))),1))," ",REPT(" ",LEN(A432))),LEN(A432)))))))/10))*100+1</f>
        <v>301 ,.., 1501</v>
      </c>
      <c r="B433" s="87"/>
      <c r="C433" s="59"/>
      <c r="D433" s="59"/>
      <c r="E433" s="59">
        <v>0</v>
      </c>
      <c r="F433" s="59">
        <f>D433+E433</f>
        <v>0</v>
      </c>
      <c r="G433" s="59">
        <v>0</v>
      </c>
      <c r="H433" s="59">
        <f>F433*(($H$209)+1)+(IF(G433&lt;101,G433,IF(G433&lt;201,G433/2,IF(G433&lt;=301,G433/3,G433/4))))</f>
        <v>0</v>
      </c>
      <c r="I433" s="58"/>
    </row>
    <row r="434" spans="1:9" s="57" customFormat="1" ht="15.75" hidden="1" customHeight="1" x14ac:dyDescent="0.35">
      <c r="A434" s="85" t="str">
        <f ca="1">(SUMPRODUCT(MID(0&amp;(LEFT(A433,SUM(LEN(A433)-LEN(SUBSTITUTE(A433,{"0","1","2"},""))))), LARGE(INDEX(ISNUMBER(--MID((LEFT(A433,SUM(LEN(A433)-LEN(SUBSTITUTE(A433,{"0","1","2"},""))))), ROW(INDIRECT("1:"&amp;LEN((LEFT(A433,SUM(LEN(A433)-LEN(SUBSTITUTE(A433,{"0","1","2"},"")))))))), 1)) * ROW(INDIRECT("1:"&amp;LEN((LEFT(A433,SUM(LEN(A433)-LEN(SUBSTITUTE(A433,{"0","1","2"},"")))))))), 0), ROW(INDIRECT("1:"&amp;LEN((LEFT(A433,SUM(LEN(A433)-LEN(SUBSTITUTE(A433,{"0","1","2"},"")))))))))+1, 1) * 10^ROW(INDIRECT("1:"&amp;LEN((LEFT(A433,SUM(LEN(A433)-LEN(SUBSTITUTE(A433,{"0","1","2"},""))))))))/10))*1+1&amp;""&amp;" ,.., "&amp;""&amp;(SUMPRODUCT(MID(0&amp;(--TRIM(RIGHT(SUBSTITUTE(LEFT(A433,_xlfn.AGGREGATE(16,6,FIND({0,1,2,3,4,5,6,7,8,9},A433,ROW(INDIRECT("1:"&amp;LEN(A433)))),1))," ",REPT(" ",LEN(A433))),LEN(A433)))), LARGE(INDEX(ISNUMBER(--MID((--TRIM(RIGHT(SUBSTITUTE(LEFT(A433,_xlfn.AGGREGATE(16,6,FIND({0,1,2,3,4,5,6,7,8,9},A433,ROW(INDIRECT("1:"&amp;LEN(A433)))),1))," ",REPT(" ",LEN(A433))),LEN(A433)))), ROW(INDIRECT("1:"&amp;LEN((--TRIM(RIGHT(SUBSTITUTE(LEFT(A433,_xlfn.AGGREGATE(16,6,FIND({0,1,2,3,4,5,6,7,8,9},A433,ROW(INDIRECT("1:"&amp;LEN(A433)))),1))," ",REPT(" ",LEN(A433))),LEN(A433))))))), 1)) * ROW(INDIRECT("1:"&amp;LEN((--TRIM(RIGHT(SUBSTITUTE(LEFT(A433,_xlfn.AGGREGATE(16,6,FIND({0,1,2,3,4,5,6,7,8,9},A433,ROW(INDIRECT("1:"&amp;LEN(A433)))),1))," ",REPT(" ",LEN(A433))),LEN(A433))))))), 0), ROW(INDIRECT("1:"&amp;LEN((--TRIM(RIGHT(SUBSTITUTE(LEFT(A433,_xlfn.AGGREGATE(16,6,FIND({0,1,2,3,4,5,6,7,8,9},A433,ROW(INDIRECT("1:"&amp;LEN(A433)))),1))," ",REPT(" ",LEN(A433))),LEN(A433))))))))+1, 1) * 10^ROW(INDIRECT("1:"&amp;LEN((--TRIM(RIGHT(SUBSTITUTE(LEFT(A433,_xlfn.AGGREGATE(16,6,FIND({0,1,2,3,4,5,6,7,8,9},A433,ROW(INDIRECT("1:"&amp;LEN(A433)))),1))," ",REPT(" ",LEN(A433))),LEN(A433)))))))/10))*1+1</f>
        <v>302 ,.., 1502</v>
      </c>
      <c r="B434" s="87"/>
      <c r="C434" s="59"/>
      <c r="D434" s="59"/>
      <c r="E434" s="59">
        <v>0</v>
      </c>
      <c r="F434" s="59">
        <f>D434+E434</f>
        <v>0</v>
      </c>
      <c r="G434" s="59">
        <v>0</v>
      </c>
      <c r="H434" s="59">
        <f t="shared" ref="H434:H437" si="120">F434*(($H$209)+1)+(IF(G434&lt;101,G434,IF(G434&lt;201,G434/2,IF(G434&lt;=301,G434/3,G434/4))))</f>
        <v>0</v>
      </c>
      <c r="I434" s="58"/>
    </row>
    <row r="435" spans="1:9" s="57" customFormat="1" ht="15.75" hidden="1" customHeight="1" x14ac:dyDescent="0.35">
      <c r="A435" s="85" t="str">
        <f ca="1">(SUMPRODUCT(MID(0&amp;(LEFT(A434,SUM(LEN(A434)-LEN(SUBSTITUTE(A434,{"0","1","2"},""))))), LARGE(INDEX(ISNUMBER(--MID((LEFT(A434,SUM(LEN(A434)-LEN(SUBSTITUTE(A434,{"0","1","2"},""))))), ROW(INDIRECT("1:"&amp;LEN((LEFT(A434,SUM(LEN(A434)-LEN(SUBSTITUTE(A434,{"0","1","2"},"")))))))), 1)) * ROW(INDIRECT("1:"&amp;LEN((LEFT(A434,SUM(LEN(A434)-LEN(SUBSTITUTE(A434,{"0","1","2"},"")))))))), 0), ROW(INDIRECT("1:"&amp;LEN((LEFT(A434,SUM(LEN(A434)-LEN(SUBSTITUTE(A434,{"0","1","2"},"")))))))))+1, 1) * 10^ROW(INDIRECT("1:"&amp;LEN((LEFT(A434,SUM(LEN(A434)-LEN(SUBSTITUTE(A434,{"0","1","2"},""))))))))/10))*1+1&amp;""&amp;" ,.., "&amp;""&amp;(SUMPRODUCT(MID(0&amp;(--TRIM(RIGHT(SUBSTITUTE(LEFT(A434,_xlfn.AGGREGATE(16,6,FIND({0,1,2,3,4,5,6,7,8,9},A434,ROW(INDIRECT("1:"&amp;LEN(A434)))),1))," ",REPT(" ",LEN(A434))),LEN(A434)))), LARGE(INDEX(ISNUMBER(--MID((--TRIM(RIGHT(SUBSTITUTE(LEFT(A434,_xlfn.AGGREGATE(16,6,FIND({0,1,2,3,4,5,6,7,8,9},A434,ROW(INDIRECT("1:"&amp;LEN(A434)))),1))," ",REPT(" ",LEN(A434))),LEN(A434)))), ROW(INDIRECT("1:"&amp;LEN((--TRIM(RIGHT(SUBSTITUTE(LEFT(A434,_xlfn.AGGREGATE(16,6,FIND({0,1,2,3,4,5,6,7,8,9},A434,ROW(INDIRECT("1:"&amp;LEN(A434)))),1))," ",REPT(" ",LEN(A434))),LEN(A434))))))), 1)) * ROW(INDIRECT("1:"&amp;LEN((--TRIM(RIGHT(SUBSTITUTE(LEFT(A434,_xlfn.AGGREGATE(16,6,FIND({0,1,2,3,4,5,6,7,8,9},A434,ROW(INDIRECT("1:"&amp;LEN(A434)))),1))," ",REPT(" ",LEN(A434))),LEN(A434))))))), 0), ROW(INDIRECT("1:"&amp;LEN((--TRIM(RIGHT(SUBSTITUTE(LEFT(A434,_xlfn.AGGREGATE(16,6,FIND({0,1,2,3,4,5,6,7,8,9},A434,ROW(INDIRECT("1:"&amp;LEN(A434)))),1))," ",REPT(" ",LEN(A434))),LEN(A434))))))))+1, 1) * 10^ROW(INDIRECT("1:"&amp;LEN((--TRIM(RIGHT(SUBSTITUTE(LEFT(A434,_xlfn.AGGREGATE(16,6,FIND({0,1,2,3,4,5,6,7,8,9},A434,ROW(INDIRECT("1:"&amp;LEN(A434)))),1))," ",REPT(" ",LEN(A434))),LEN(A434)))))))/10))*1+1</f>
        <v>303 ,.., 1503</v>
      </c>
      <c r="B435" s="87"/>
      <c r="C435" s="59"/>
      <c r="D435" s="59"/>
      <c r="E435" s="59">
        <v>0</v>
      </c>
      <c r="F435" s="59">
        <f>D435+E435</f>
        <v>0</v>
      </c>
      <c r="G435" s="59">
        <v>0</v>
      </c>
      <c r="H435" s="59">
        <f t="shared" si="120"/>
        <v>0</v>
      </c>
      <c r="I435" s="58"/>
    </row>
    <row r="436" spans="1:9" s="57" customFormat="1" ht="15.75" hidden="1" customHeight="1" x14ac:dyDescent="0.35">
      <c r="A436" s="85" t="str">
        <f ca="1">(SUMPRODUCT(MID(0&amp;(LEFT(A435,SUM(LEN(A435)-LEN(SUBSTITUTE(A435,{"0","1","2"},""))))), LARGE(INDEX(ISNUMBER(--MID((LEFT(A435,SUM(LEN(A435)-LEN(SUBSTITUTE(A435,{"0","1","2"},""))))), ROW(INDIRECT("1:"&amp;LEN((LEFT(A435,SUM(LEN(A435)-LEN(SUBSTITUTE(A435,{"0","1","2"},"")))))))), 1)) * ROW(INDIRECT("1:"&amp;LEN((LEFT(A435,SUM(LEN(A435)-LEN(SUBSTITUTE(A435,{"0","1","2"},"")))))))), 0), ROW(INDIRECT("1:"&amp;LEN((LEFT(A435,SUM(LEN(A435)-LEN(SUBSTITUTE(A435,{"0","1","2"},"")))))))))+1, 1) * 10^ROW(INDIRECT("1:"&amp;LEN((LEFT(A435,SUM(LEN(A435)-LEN(SUBSTITUTE(A435,{"0","1","2"},""))))))))/10))*1+1&amp;""&amp;" ,.., "&amp;""&amp;(SUMPRODUCT(MID(0&amp;(--TRIM(RIGHT(SUBSTITUTE(LEFT(A435,_xlfn.AGGREGATE(16,6,FIND({0,1,2,3,4,5,6,7,8,9},A435,ROW(INDIRECT("1:"&amp;LEN(A435)))),1))," ",REPT(" ",LEN(A435))),LEN(A435)))), LARGE(INDEX(ISNUMBER(--MID((--TRIM(RIGHT(SUBSTITUTE(LEFT(A435,_xlfn.AGGREGATE(16,6,FIND({0,1,2,3,4,5,6,7,8,9},A435,ROW(INDIRECT("1:"&amp;LEN(A435)))),1))," ",REPT(" ",LEN(A435))),LEN(A435)))), ROW(INDIRECT("1:"&amp;LEN((--TRIM(RIGHT(SUBSTITUTE(LEFT(A435,_xlfn.AGGREGATE(16,6,FIND({0,1,2,3,4,5,6,7,8,9},A435,ROW(INDIRECT("1:"&amp;LEN(A435)))),1))," ",REPT(" ",LEN(A435))),LEN(A435))))))), 1)) * ROW(INDIRECT("1:"&amp;LEN((--TRIM(RIGHT(SUBSTITUTE(LEFT(A435,_xlfn.AGGREGATE(16,6,FIND({0,1,2,3,4,5,6,7,8,9},A435,ROW(INDIRECT("1:"&amp;LEN(A435)))),1))," ",REPT(" ",LEN(A435))),LEN(A435))))))), 0), ROW(INDIRECT("1:"&amp;LEN((--TRIM(RIGHT(SUBSTITUTE(LEFT(A435,_xlfn.AGGREGATE(16,6,FIND({0,1,2,3,4,5,6,7,8,9},A435,ROW(INDIRECT("1:"&amp;LEN(A435)))),1))," ",REPT(" ",LEN(A435))),LEN(A435))))))))+1, 1) * 10^ROW(INDIRECT("1:"&amp;LEN((--TRIM(RIGHT(SUBSTITUTE(LEFT(A435,_xlfn.AGGREGATE(16,6,FIND({0,1,2,3,4,5,6,7,8,9},A435,ROW(INDIRECT("1:"&amp;LEN(A435)))),1))," ",REPT(" ",LEN(A435))),LEN(A435)))))))/10))*1+1</f>
        <v>304 ,.., 1504</v>
      </c>
      <c r="B436" s="87"/>
      <c r="C436" s="59"/>
      <c r="D436" s="59"/>
      <c r="E436" s="59">
        <v>0</v>
      </c>
      <c r="F436" s="59">
        <f>D436+E436</f>
        <v>0</v>
      </c>
      <c r="G436" s="59">
        <v>0</v>
      </c>
      <c r="H436" s="59">
        <f t="shared" si="120"/>
        <v>0</v>
      </c>
      <c r="I436" s="58"/>
    </row>
    <row r="437" spans="1:9" s="57" customFormat="1" ht="15.75" hidden="1" customHeight="1" x14ac:dyDescent="0.35">
      <c r="A437" s="85" t="str">
        <f ca="1">(SUMPRODUCT(MID(0&amp;(LEFT(A436,SUM(LEN(A436)-LEN(SUBSTITUTE(A436,{"0","1","2"},""))))), LARGE(INDEX(ISNUMBER(--MID((LEFT(A436,SUM(LEN(A436)-LEN(SUBSTITUTE(A436,{"0","1","2"},""))))), ROW(INDIRECT("1:"&amp;LEN((LEFT(A436,SUM(LEN(A436)-LEN(SUBSTITUTE(A436,{"0","1","2"},"")))))))), 1)) * ROW(INDIRECT("1:"&amp;LEN((LEFT(A436,SUM(LEN(A436)-LEN(SUBSTITUTE(A436,{"0","1","2"},"")))))))), 0), ROW(INDIRECT("1:"&amp;LEN((LEFT(A436,SUM(LEN(A436)-LEN(SUBSTITUTE(A436,{"0","1","2"},"")))))))))+1, 1) * 10^ROW(INDIRECT("1:"&amp;LEN((LEFT(A436,SUM(LEN(A436)-LEN(SUBSTITUTE(A436,{"0","1","2"},""))))))))/10))*1+1&amp;""&amp;" ,.., "&amp;""&amp;(SUMPRODUCT(MID(0&amp;(--TRIM(RIGHT(SUBSTITUTE(LEFT(A436,_xlfn.AGGREGATE(16,6,FIND({0,1,2,3,4,5,6,7,8,9},A436,ROW(INDIRECT("1:"&amp;LEN(A436)))),1))," ",REPT(" ",LEN(A436))),LEN(A436)))), LARGE(INDEX(ISNUMBER(--MID((--TRIM(RIGHT(SUBSTITUTE(LEFT(A436,_xlfn.AGGREGATE(16,6,FIND({0,1,2,3,4,5,6,7,8,9},A436,ROW(INDIRECT("1:"&amp;LEN(A436)))),1))," ",REPT(" ",LEN(A436))),LEN(A436)))), ROW(INDIRECT("1:"&amp;LEN((--TRIM(RIGHT(SUBSTITUTE(LEFT(A436,_xlfn.AGGREGATE(16,6,FIND({0,1,2,3,4,5,6,7,8,9},A436,ROW(INDIRECT("1:"&amp;LEN(A436)))),1))," ",REPT(" ",LEN(A436))),LEN(A436))))))), 1)) * ROW(INDIRECT("1:"&amp;LEN((--TRIM(RIGHT(SUBSTITUTE(LEFT(A436,_xlfn.AGGREGATE(16,6,FIND({0,1,2,3,4,5,6,7,8,9},A436,ROW(INDIRECT("1:"&amp;LEN(A436)))),1))," ",REPT(" ",LEN(A436))),LEN(A436))))))), 0), ROW(INDIRECT("1:"&amp;LEN((--TRIM(RIGHT(SUBSTITUTE(LEFT(A436,_xlfn.AGGREGATE(16,6,FIND({0,1,2,3,4,5,6,7,8,9},A436,ROW(INDIRECT("1:"&amp;LEN(A436)))),1))," ",REPT(" ",LEN(A436))),LEN(A436))))))))+1, 1) * 10^ROW(INDIRECT("1:"&amp;LEN((--TRIM(RIGHT(SUBSTITUTE(LEFT(A436,_xlfn.AGGREGATE(16,6,FIND({0,1,2,3,4,5,6,7,8,9},A436,ROW(INDIRECT("1:"&amp;LEN(A436)))),1))," ",REPT(" ",LEN(A436))),LEN(A436)))))))/10))*1+1</f>
        <v>305 ,.., 1505</v>
      </c>
      <c r="B437" s="87"/>
      <c r="C437" s="59"/>
      <c r="D437" s="59"/>
      <c r="E437" s="59">
        <v>0</v>
      </c>
      <c r="F437" s="59">
        <f>D437+E437</f>
        <v>0</v>
      </c>
      <c r="G437" s="59">
        <v>0</v>
      </c>
      <c r="H437" s="59">
        <f t="shared" si="120"/>
        <v>0</v>
      </c>
      <c r="I437" s="58"/>
    </row>
    <row r="438" spans="1:9" s="57" customFormat="1" hidden="1" x14ac:dyDescent="0.35">
      <c r="A438" s="82" t="s">
        <v>149</v>
      </c>
      <c r="B438" s="83"/>
      <c r="C438" s="83"/>
      <c r="D438" s="83"/>
      <c r="E438" s="83"/>
      <c r="F438" s="83"/>
      <c r="G438" s="83"/>
      <c r="H438" s="84"/>
      <c r="I438" s="58"/>
    </row>
    <row r="439" spans="1:9" s="57" customFormat="1" ht="15.75" hidden="1" customHeight="1" x14ac:dyDescent="0.35">
      <c r="A439" s="85" t="str">
        <f ca="1">(SUMPRODUCT(MID(0&amp;(LEFT(A438,SUM(LEN(A438)-LEN(SUBSTITUTE(A438,{"0","1","2"},""))))), LARGE(INDEX(ISNUMBER(--MID((LEFT(A438,SUM(LEN(A438)-LEN(SUBSTITUTE(A438,{"0","1","2"},""))))), ROW(INDIRECT("1:"&amp;LEN((LEFT(A438,SUM(LEN(A438)-LEN(SUBSTITUTE(A438,{"0","1","2"},"")))))))), 1)) * ROW(INDIRECT("1:"&amp;LEN((LEFT(A438,SUM(LEN(A438)-LEN(SUBSTITUTE(A438,{"0","1","2"},"")))))))), 0), ROW(INDIRECT("1:"&amp;LEN((LEFT(A438,SUM(LEN(A438)-LEN(SUBSTITUTE(A438,{"0","1","2"},"")))))))))+1, 1) * 10^ROW(INDIRECT("1:"&amp;LEN((LEFT(A438,SUM(LEN(A438)-LEN(SUBSTITUTE(A438,{"0","1","2"},""))))))))/10))*100+1&amp;""&amp;" to "&amp;""&amp;(SUMPRODUCT(MID(0&amp;(--TRIM(RIGHT(SUBSTITUTE(LEFT(A438,_xlfn.AGGREGATE(16,6,FIND({0,1,2,3,4,5,6,7,8,9},A438,ROW(INDIRECT("1:"&amp;LEN(A438)))),1))," ",REPT(" ",LEN(A438))),LEN(A438)))), LARGE(INDEX(ISNUMBER(--MID((--TRIM(RIGHT(SUBSTITUTE(LEFT(A438,_xlfn.AGGREGATE(16,6,FIND({0,1,2,3,4,5,6,7,8,9},A438,ROW(INDIRECT("1:"&amp;LEN(A438)))),1))," ",REPT(" ",LEN(A438))),LEN(A438)))), ROW(INDIRECT("1:"&amp;LEN((--TRIM(RIGHT(SUBSTITUTE(LEFT(A438,_xlfn.AGGREGATE(16,6,FIND({0,1,2,3,4,5,6,7,8,9},A438,ROW(INDIRECT("1:"&amp;LEN(A438)))),1))," ",REPT(" ",LEN(A438))),LEN(A438))))))), 1)) * ROW(INDIRECT("1:"&amp;LEN((--TRIM(RIGHT(SUBSTITUTE(LEFT(A438,_xlfn.AGGREGATE(16,6,FIND({0,1,2,3,4,5,6,7,8,9},A438,ROW(INDIRECT("1:"&amp;LEN(A438)))),1))," ",REPT(" ",LEN(A438))),LEN(A438))))))), 0), ROW(INDIRECT("1:"&amp;LEN((--TRIM(RIGHT(SUBSTITUTE(LEFT(A438,_xlfn.AGGREGATE(16,6,FIND({0,1,2,3,4,5,6,7,8,9},A438,ROW(INDIRECT("1:"&amp;LEN(A438)))),1))," ",REPT(" ",LEN(A438))),LEN(A438))))))))+1, 1) * 10^ROW(INDIRECT("1:"&amp;LEN((--TRIM(RIGHT(SUBSTITUTE(LEFT(A438,_xlfn.AGGREGATE(16,6,FIND({0,1,2,3,4,5,6,7,8,9},A438,ROW(INDIRECT("1:"&amp;LEN(A438)))),1))," ",REPT(" ",LEN(A438))),LEN(A438)))))))/10))*100+1</f>
        <v>201 to 501</v>
      </c>
      <c r="B439" s="87"/>
      <c r="C439" s="59"/>
      <c r="D439" s="59"/>
      <c r="E439" s="59">
        <v>0</v>
      </c>
      <c r="F439" s="59">
        <f>D439+E439</f>
        <v>0</v>
      </c>
      <c r="G439" s="59">
        <v>0</v>
      </c>
      <c r="H439" s="59">
        <f>F439*(($H$209)+1)+(IF(G439&lt;101,G439,IF(G439&lt;201,G439/2,IF(G439&lt;=301,G439/3,G439/4))))</f>
        <v>0</v>
      </c>
      <c r="I439" s="58"/>
    </row>
    <row r="440" spans="1:9" s="57" customFormat="1" ht="15.75" hidden="1" customHeight="1" x14ac:dyDescent="0.35">
      <c r="A440" s="85" t="str">
        <f ca="1">(SUMPRODUCT(MID(0&amp;(LEFT(A439,SUM(LEN(A439)-LEN(SUBSTITUTE(A439,{"0","1","2"},""))))), LARGE(INDEX(ISNUMBER(--MID((LEFT(A439,SUM(LEN(A439)-LEN(SUBSTITUTE(A439,{"0","1","2"},""))))), ROW(INDIRECT("1:"&amp;LEN((LEFT(A439,SUM(LEN(A439)-LEN(SUBSTITUTE(A439,{"0","1","2"},"")))))))), 1)) * ROW(INDIRECT("1:"&amp;LEN((LEFT(A439,SUM(LEN(A439)-LEN(SUBSTITUTE(A439,{"0","1","2"},"")))))))), 0), ROW(INDIRECT("1:"&amp;LEN((LEFT(A439,SUM(LEN(A439)-LEN(SUBSTITUTE(A439,{"0","1","2"},"")))))))))+1, 1) * 10^ROW(INDIRECT("1:"&amp;LEN((LEFT(A439,SUM(LEN(A439)-LEN(SUBSTITUTE(A439,{"0","1","2"},""))))))))/10))*1+1&amp;""&amp;" to "&amp;""&amp;(SUMPRODUCT(MID(0&amp;(--TRIM(RIGHT(SUBSTITUTE(LEFT(A439,_xlfn.AGGREGATE(16,6,FIND({0,1,2,3,4,5,6,7,8,9},A439,ROW(INDIRECT("1:"&amp;LEN(A439)))),1))," ",REPT(" ",LEN(A439))),LEN(A439)))), LARGE(INDEX(ISNUMBER(--MID((--TRIM(RIGHT(SUBSTITUTE(LEFT(A439,_xlfn.AGGREGATE(16,6,FIND({0,1,2,3,4,5,6,7,8,9},A439,ROW(INDIRECT("1:"&amp;LEN(A439)))),1))," ",REPT(" ",LEN(A439))),LEN(A439)))), ROW(INDIRECT("1:"&amp;LEN((--TRIM(RIGHT(SUBSTITUTE(LEFT(A439,_xlfn.AGGREGATE(16,6,FIND({0,1,2,3,4,5,6,7,8,9},A439,ROW(INDIRECT("1:"&amp;LEN(A439)))),1))," ",REPT(" ",LEN(A439))),LEN(A439))))))), 1)) * ROW(INDIRECT("1:"&amp;LEN((--TRIM(RIGHT(SUBSTITUTE(LEFT(A439,_xlfn.AGGREGATE(16,6,FIND({0,1,2,3,4,5,6,7,8,9},A439,ROW(INDIRECT("1:"&amp;LEN(A439)))),1))," ",REPT(" ",LEN(A439))),LEN(A439))))))), 0), ROW(INDIRECT("1:"&amp;LEN((--TRIM(RIGHT(SUBSTITUTE(LEFT(A439,_xlfn.AGGREGATE(16,6,FIND({0,1,2,3,4,5,6,7,8,9},A439,ROW(INDIRECT("1:"&amp;LEN(A439)))),1))," ",REPT(" ",LEN(A439))),LEN(A439))))))))+1, 1) * 10^ROW(INDIRECT("1:"&amp;LEN((--TRIM(RIGHT(SUBSTITUTE(LEFT(A439,_xlfn.AGGREGATE(16,6,FIND({0,1,2,3,4,5,6,7,8,9},A439,ROW(INDIRECT("1:"&amp;LEN(A439)))),1))," ",REPT(" ",LEN(A439))),LEN(A439)))))))/10))*1+1</f>
        <v>202 to 502</v>
      </c>
      <c r="B440" s="87"/>
      <c r="C440" s="59"/>
      <c r="D440" s="59"/>
      <c r="E440" s="59">
        <v>0</v>
      </c>
      <c r="F440" s="59">
        <f>D440+E440</f>
        <v>0</v>
      </c>
      <c r="G440" s="59">
        <v>0</v>
      </c>
      <c r="H440" s="59">
        <f t="shared" ref="H440:H443" si="121">F440*(($H$209)+1)+(IF(G440&lt;101,G440,IF(G440&lt;201,G440/2,IF(G440&lt;=301,G440/3,G440/4))))</f>
        <v>0</v>
      </c>
      <c r="I440" s="58"/>
    </row>
    <row r="441" spans="1:9" s="57" customFormat="1" ht="15.75" hidden="1" customHeight="1" x14ac:dyDescent="0.35">
      <c r="A441" s="85" t="str">
        <f ca="1">(SUMPRODUCT(MID(0&amp;(LEFT(A440,SUM(LEN(A440)-LEN(SUBSTITUTE(A440,{"0","1","2"},""))))), LARGE(INDEX(ISNUMBER(--MID((LEFT(A440,SUM(LEN(A440)-LEN(SUBSTITUTE(A440,{"0","1","2"},""))))), ROW(INDIRECT("1:"&amp;LEN((LEFT(A440,SUM(LEN(A440)-LEN(SUBSTITUTE(A440,{"0","1","2"},"")))))))), 1)) * ROW(INDIRECT("1:"&amp;LEN((LEFT(A440,SUM(LEN(A440)-LEN(SUBSTITUTE(A440,{"0","1","2"},"")))))))), 0), ROW(INDIRECT("1:"&amp;LEN((LEFT(A440,SUM(LEN(A440)-LEN(SUBSTITUTE(A440,{"0","1","2"},"")))))))))+1, 1) * 10^ROW(INDIRECT("1:"&amp;LEN((LEFT(A440,SUM(LEN(A440)-LEN(SUBSTITUTE(A440,{"0","1","2"},""))))))))/10))*1+1&amp;""&amp;" to "&amp;""&amp;(SUMPRODUCT(MID(0&amp;(--TRIM(RIGHT(SUBSTITUTE(LEFT(A440,_xlfn.AGGREGATE(16,6,FIND({0,1,2,3,4,5,6,7,8,9},A440,ROW(INDIRECT("1:"&amp;LEN(A440)))),1))," ",REPT(" ",LEN(A440))),LEN(A440)))), LARGE(INDEX(ISNUMBER(--MID((--TRIM(RIGHT(SUBSTITUTE(LEFT(A440,_xlfn.AGGREGATE(16,6,FIND({0,1,2,3,4,5,6,7,8,9},A440,ROW(INDIRECT("1:"&amp;LEN(A440)))),1))," ",REPT(" ",LEN(A440))),LEN(A440)))), ROW(INDIRECT("1:"&amp;LEN((--TRIM(RIGHT(SUBSTITUTE(LEFT(A440,_xlfn.AGGREGATE(16,6,FIND({0,1,2,3,4,5,6,7,8,9},A440,ROW(INDIRECT("1:"&amp;LEN(A440)))),1))," ",REPT(" ",LEN(A440))),LEN(A440))))))), 1)) * ROW(INDIRECT("1:"&amp;LEN((--TRIM(RIGHT(SUBSTITUTE(LEFT(A440,_xlfn.AGGREGATE(16,6,FIND({0,1,2,3,4,5,6,7,8,9},A440,ROW(INDIRECT("1:"&amp;LEN(A440)))),1))," ",REPT(" ",LEN(A440))),LEN(A440))))))), 0), ROW(INDIRECT("1:"&amp;LEN((--TRIM(RIGHT(SUBSTITUTE(LEFT(A440,_xlfn.AGGREGATE(16,6,FIND({0,1,2,3,4,5,6,7,8,9},A440,ROW(INDIRECT("1:"&amp;LEN(A440)))),1))," ",REPT(" ",LEN(A440))),LEN(A440))))))))+1, 1) * 10^ROW(INDIRECT("1:"&amp;LEN((--TRIM(RIGHT(SUBSTITUTE(LEFT(A440,_xlfn.AGGREGATE(16,6,FIND({0,1,2,3,4,5,6,7,8,9},A440,ROW(INDIRECT("1:"&amp;LEN(A440)))),1))," ",REPT(" ",LEN(A440))),LEN(A440)))))))/10))*1+1</f>
        <v>203 to 503</v>
      </c>
      <c r="B441" s="87"/>
      <c r="C441" s="59"/>
      <c r="D441" s="59"/>
      <c r="E441" s="59">
        <v>0</v>
      </c>
      <c r="F441" s="59">
        <f>D441+E441</f>
        <v>0</v>
      </c>
      <c r="G441" s="59">
        <v>0</v>
      </c>
      <c r="H441" s="59">
        <f t="shared" si="121"/>
        <v>0</v>
      </c>
      <c r="I441" s="58"/>
    </row>
    <row r="442" spans="1:9" s="57" customFormat="1" ht="15.75" hidden="1" customHeight="1" x14ac:dyDescent="0.35">
      <c r="A442" s="85" t="str">
        <f ca="1">(SUMPRODUCT(MID(0&amp;(LEFT(A441,SUM(LEN(A441)-LEN(SUBSTITUTE(A441,{"0","1","2"},""))))), LARGE(INDEX(ISNUMBER(--MID((LEFT(A441,SUM(LEN(A441)-LEN(SUBSTITUTE(A441,{"0","1","2"},""))))), ROW(INDIRECT("1:"&amp;LEN((LEFT(A441,SUM(LEN(A441)-LEN(SUBSTITUTE(A441,{"0","1","2"},"")))))))), 1)) * ROW(INDIRECT("1:"&amp;LEN((LEFT(A441,SUM(LEN(A441)-LEN(SUBSTITUTE(A441,{"0","1","2"},"")))))))), 0), ROW(INDIRECT("1:"&amp;LEN((LEFT(A441,SUM(LEN(A441)-LEN(SUBSTITUTE(A441,{"0","1","2"},"")))))))))+1, 1) * 10^ROW(INDIRECT("1:"&amp;LEN((LEFT(A441,SUM(LEN(A441)-LEN(SUBSTITUTE(A441,{"0","1","2"},""))))))))/10))*1+1&amp;""&amp;" to "&amp;""&amp;(SUMPRODUCT(MID(0&amp;(--TRIM(RIGHT(SUBSTITUTE(LEFT(A441,_xlfn.AGGREGATE(16,6,FIND({0,1,2,3,4,5,6,7,8,9},A441,ROW(INDIRECT("1:"&amp;LEN(A441)))),1))," ",REPT(" ",LEN(A441))),LEN(A441)))), LARGE(INDEX(ISNUMBER(--MID((--TRIM(RIGHT(SUBSTITUTE(LEFT(A441,_xlfn.AGGREGATE(16,6,FIND({0,1,2,3,4,5,6,7,8,9},A441,ROW(INDIRECT("1:"&amp;LEN(A441)))),1))," ",REPT(" ",LEN(A441))),LEN(A441)))), ROW(INDIRECT("1:"&amp;LEN((--TRIM(RIGHT(SUBSTITUTE(LEFT(A441,_xlfn.AGGREGATE(16,6,FIND({0,1,2,3,4,5,6,7,8,9},A441,ROW(INDIRECT("1:"&amp;LEN(A441)))),1))," ",REPT(" ",LEN(A441))),LEN(A441))))))), 1)) * ROW(INDIRECT("1:"&amp;LEN((--TRIM(RIGHT(SUBSTITUTE(LEFT(A441,_xlfn.AGGREGATE(16,6,FIND({0,1,2,3,4,5,6,7,8,9},A441,ROW(INDIRECT("1:"&amp;LEN(A441)))),1))," ",REPT(" ",LEN(A441))),LEN(A441))))))), 0), ROW(INDIRECT("1:"&amp;LEN((--TRIM(RIGHT(SUBSTITUTE(LEFT(A441,_xlfn.AGGREGATE(16,6,FIND({0,1,2,3,4,5,6,7,8,9},A441,ROW(INDIRECT("1:"&amp;LEN(A441)))),1))," ",REPT(" ",LEN(A441))),LEN(A441))))))))+1, 1) * 10^ROW(INDIRECT("1:"&amp;LEN((--TRIM(RIGHT(SUBSTITUTE(LEFT(A441,_xlfn.AGGREGATE(16,6,FIND({0,1,2,3,4,5,6,7,8,9},A441,ROW(INDIRECT("1:"&amp;LEN(A441)))),1))," ",REPT(" ",LEN(A441))),LEN(A441)))))))/10))*1+1</f>
        <v>204 to 504</v>
      </c>
      <c r="B442" s="87"/>
      <c r="C442" s="59"/>
      <c r="D442" s="59"/>
      <c r="E442" s="59">
        <v>0</v>
      </c>
      <c r="F442" s="59">
        <f>D442+E442</f>
        <v>0</v>
      </c>
      <c r="G442" s="59">
        <v>0</v>
      </c>
      <c r="H442" s="59">
        <f t="shared" si="121"/>
        <v>0</v>
      </c>
      <c r="I442" s="58"/>
    </row>
    <row r="443" spans="1:9" s="57" customFormat="1" ht="15.75" hidden="1" customHeight="1" x14ac:dyDescent="0.35">
      <c r="A443" s="85" t="str">
        <f ca="1">(SUMPRODUCT(MID(0&amp;(LEFT(A442,SUM(LEN(A442)-LEN(SUBSTITUTE(A442,{"0","1","2"},""))))), LARGE(INDEX(ISNUMBER(--MID((LEFT(A442,SUM(LEN(A442)-LEN(SUBSTITUTE(A442,{"0","1","2"},""))))), ROW(INDIRECT("1:"&amp;LEN((LEFT(A442,SUM(LEN(A442)-LEN(SUBSTITUTE(A442,{"0","1","2"},"")))))))), 1)) * ROW(INDIRECT("1:"&amp;LEN((LEFT(A442,SUM(LEN(A442)-LEN(SUBSTITUTE(A442,{"0","1","2"},"")))))))), 0), ROW(INDIRECT("1:"&amp;LEN((LEFT(A442,SUM(LEN(A442)-LEN(SUBSTITUTE(A442,{"0","1","2"},"")))))))))+1, 1) * 10^ROW(INDIRECT("1:"&amp;LEN((LEFT(A442,SUM(LEN(A442)-LEN(SUBSTITUTE(A442,{"0","1","2"},""))))))))/10))*1+1&amp;""&amp;" to "&amp;""&amp;(SUMPRODUCT(MID(0&amp;(--TRIM(RIGHT(SUBSTITUTE(LEFT(A442,_xlfn.AGGREGATE(16,6,FIND({0,1,2,3,4,5,6,7,8,9},A442,ROW(INDIRECT("1:"&amp;LEN(A442)))),1))," ",REPT(" ",LEN(A442))),LEN(A442)))), LARGE(INDEX(ISNUMBER(--MID((--TRIM(RIGHT(SUBSTITUTE(LEFT(A442,_xlfn.AGGREGATE(16,6,FIND({0,1,2,3,4,5,6,7,8,9},A442,ROW(INDIRECT("1:"&amp;LEN(A442)))),1))," ",REPT(" ",LEN(A442))),LEN(A442)))), ROW(INDIRECT("1:"&amp;LEN((--TRIM(RIGHT(SUBSTITUTE(LEFT(A442,_xlfn.AGGREGATE(16,6,FIND({0,1,2,3,4,5,6,7,8,9},A442,ROW(INDIRECT("1:"&amp;LEN(A442)))),1))," ",REPT(" ",LEN(A442))),LEN(A442))))))), 1)) * ROW(INDIRECT("1:"&amp;LEN((--TRIM(RIGHT(SUBSTITUTE(LEFT(A442,_xlfn.AGGREGATE(16,6,FIND({0,1,2,3,4,5,6,7,8,9},A442,ROW(INDIRECT("1:"&amp;LEN(A442)))),1))," ",REPT(" ",LEN(A442))),LEN(A442))))))), 0), ROW(INDIRECT("1:"&amp;LEN((--TRIM(RIGHT(SUBSTITUTE(LEFT(A442,_xlfn.AGGREGATE(16,6,FIND({0,1,2,3,4,5,6,7,8,9},A442,ROW(INDIRECT("1:"&amp;LEN(A442)))),1))," ",REPT(" ",LEN(A442))),LEN(A442))))))))+1, 1) * 10^ROW(INDIRECT("1:"&amp;LEN((--TRIM(RIGHT(SUBSTITUTE(LEFT(A442,_xlfn.AGGREGATE(16,6,FIND({0,1,2,3,4,5,6,7,8,9},A442,ROW(INDIRECT("1:"&amp;LEN(A442)))),1))," ",REPT(" ",LEN(A442))),LEN(A442)))))))/10))*1+1</f>
        <v>205 to 505</v>
      </c>
      <c r="B443" s="87"/>
      <c r="C443" s="59"/>
      <c r="D443" s="59"/>
      <c r="E443" s="59">
        <v>0</v>
      </c>
      <c r="F443" s="59">
        <f>D443+E443</f>
        <v>0</v>
      </c>
      <c r="G443" s="59">
        <v>0</v>
      </c>
      <c r="H443" s="59">
        <f t="shared" si="121"/>
        <v>0</v>
      </c>
      <c r="I443" s="58"/>
    </row>
    <row r="444" spans="1:9" s="57" customFormat="1" hidden="1" x14ac:dyDescent="0.35">
      <c r="A444" s="82" t="s">
        <v>150</v>
      </c>
      <c r="B444" s="83"/>
      <c r="C444" s="83"/>
      <c r="D444" s="83"/>
      <c r="E444" s="83"/>
      <c r="F444" s="83"/>
      <c r="G444" s="83"/>
      <c r="H444" s="84"/>
      <c r="I444" s="58"/>
    </row>
    <row r="445" spans="1:9" s="57" customFormat="1" ht="15.75" hidden="1" customHeight="1" x14ac:dyDescent="0.35">
      <c r="A445" s="85" t="str">
        <f ca="1">(SUMPRODUCT(MID(0&amp;(LEFT(A444,SUM(LEN(A444)-LEN(SUBSTITUTE(A444,{"0","1","2"},""))))), LARGE(INDEX(ISNUMBER(--MID((LEFT(A444,SUM(LEN(A444)-LEN(SUBSTITUTE(A444,{"0","1","2"},""))))), ROW(INDIRECT("1:"&amp;LEN((LEFT(A444,SUM(LEN(A444)-LEN(SUBSTITUTE(A444,{"0","1","2"},"")))))))), 1)) * ROW(INDIRECT("1:"&amp;LEN((LEFT(A444,SUM(LEN(A444)-LEN(SUBSTITUTE(A444,{"0","1","2"},"")))))))), 0), ROW(INDIRECT("1:"&amp;LEN((LEFT(A444,SUM(LEN(A444)-LEN(SUBSTITUTE(A444,{"0","1","2"},"")))))))))+1, 1) * 10^ROW(INDIRECT("1:"&amp;LEN((LEFT(A444,SUM(LEN(A444)-LEN(SUBSTITUTE(A444,{"0","1","2"},""))))))))/10))*100+1&amp;""&amp;" &amp; "&amp;""&amp;(SUMPRODUCT(MID(0&amp;(--TRIM(RIGHT(SUBSTITUTE(LEFT(A444,_xlfn.AGGREGATE(16,6,FIND({0,1,2,3,4,5,6,7,8,9},A444,ROW(INDIRECT("1:"&amp;LEN(A444)))),1))," ",REPT(" ",LEN(A444))),LEN(A444)))), LARGE(INDEX(ISNUMBER(--MID((--TRIM(RIGHT(SUBSTITUTE(LEFT(A444,_xlfn.AGGREGATE(16,6,FIND({0,1,2,3,4,5,6,7,8,9},A444,ROW(INDIRECT("1:"&amp;LEN(A444)))),1))," ",REPT(" ",LEN(A444))),LEN(A444)))), ROW(INDIRECT("1:"&amp;LEN((--TRIM(RIGHT(SUBSTITUTE(LEFT(A444,_xlfn.AGGREGATE(16,6,FIND({0,1,2,3,4,5,6,7,8,9},A444,ROW(INDIRECT("1:"&amp;LEN(A444)))),1))," ",REPT(" ",LEN(A444))),LEN(A444))))))), 1)) * ROW(INDIRECT("1:"&amp;LEN((--TRIM(RIGHT(SUBSTITUTE(LEFT(A444,_xlfn.AGGREGATE(16,6,FIND({0,1,2,3,4,5,6,7,8,9},A444,ROW(INDIRECT("1:"&amp;LEN(A444)))),1))," ",REPT(" ",LEN(A444))),LEN(A444))))))), 0), ROW(INDIRECT("1:"&amp;LEN((--TRIM(RIGHT(SUBSTITUTE(LEFT(A444,_xlfn.AGGREGATE(16,6,FIND({0,1,2,3,4,5,6,7,8,9},A444,ROW(INDIRECT("1:"&amp;LEN(A444)))),1))," ",REPT(" ",LEN(A444))),LEN(A444))))))))+1, 1) * 10^ROW(INDIRECT("1:"&amp;LEN((--TRIM(RIGHT(SUBSTITUTE(LEFT(A444,_xlfn.AGGREGATE(16,6,FIND({0,1,2,3,4,5,6,7,8,9},A444,ROW(INDIRECT("1:"&amp;LEN(A444)))),1))," ",REPT(" ",LEN(A444))),LEN(A444)))))))/10))*100+1</f>
        <v>201 &amp; 501</v>
      </c>
      <c r="B445" s="87"/>
      <c r="C445" s="59"/>
      <c r="D445" s="59"/>
      <c r="E445" s="59">
        <v>0</v>
      </c>
      <c r="F445" s="59">
        <f>D445+E445</f>
        <v>0</v>
      </c>
      <c r="G445" s="59">
        <v>0</v>
      </c>
      <c r="H445" s="59">
        <f>F445*(($H$209)+1)+(IF(G445&lt;101,G445,IF(G445&lt;201,G445/2,IF(G445&lt;=301,G445/3,G445/4))))</f>
        <v>0</v>
      </c>
      <c r="I445" s="58"/>
    </row>
    <row r="446" spans="1:9" s="57" customFormat="1" ht="15.75" hidden="1" customHeight="1" x14ac:dyDescent="0.35">
      <c r="A446" s="85" t="str">
        <f ca="1">(SUMPRODUCT(MID(0&amp;(LEFT(A445,SUM(LEN(A445)-LEN(SUBSTITUTE(A445,{"0","1","2"},""))))), LARGE(INDEX(ISNUMBER(--MID((LEFT(A445,SUM(LEN(A445)-LEN(SUBSTITUTE(A445,{"0","1","2"},""))))), ROW(INDIRECT("1:"&amp;LEN((LEFT(A445,SUM(LEN(A445)-LEN(SUBSTITUTE(A445,{"0","1","2"},"")))))))), 1)) * ROW(INDIRECT("1:"&amp;LEN((LEFT(A445,SUM(LEN(A445)-LEN(SUBSTITUTE(A445,{"0","1","2"},"")))))))), 0), ROW(INDIRECT("1:"&amp;LEN((LEFT(A445,SUM(LEN(A445)-LEN(SUBSTITUTE(A445,{"0","1","2"},"")))))))))+1, 1) * 10^ROW(INDIRECT("1:"&amp;LEN((LEFT(A445,SUM(LEN(A445)-LEN(SUBSTITUTE(A445,{"0","1","2"},""))))))))/10))*1+1&amp;""&amp;" &amp; "&amp;""&amp;(SUMPRODUCT(MID(0&amp;(--TRIM(RIGHT(SUBSTITUTE(LEFT(A445,_xlfn.AGGREGATE(16,6,FIND({0,1,2,3,4,5,6,7,8,9},A445,ROW(INDIRECT("1:"&amp;LEN(A445)))),1))," ",REPT(" ",LEN(A445))),LEN(A445)))), LARGE(INDEX(ISNUMBER(--MID((--TRIM(RIGHT(SUBSTITUTE(LEFT(A445,_xlfn.AGGREGATE(16,6,FIND({0,1,2,3,4,5,6,7,8,9},A445,ROW(INDIRECT("1:"&amp;LEN(A445)))),1))," ",REPT(" ",LEN(A445))),LEN(A445)))), ROW(INDIRECT("1:"&amp;LEN((--TRIM(RIGHT(SUBSTITUTE(LEFT(A445,_xlfn.AGGREGATE(16,6,FIND({0,1,2,3,4,5,6,7,8,9},A445,ROW(INDIRECT("1:"&amp;LEN(A445)))),1))," ",REPT(" ",LEN(A445))),LEN(A445))))))), 1)) * ROW(INDIRECT("1:"&amp;LEN((--TRIM(RIGHT(SUBSTITUTE(LEFT(A445,_xlfn.AGGREGATE(16,6,FIND({0,1,2,3,4,5,6,7,8,9},A445,ROW(INDIRECT("1:"&amp;LEN(A445)))),1))," ",REPT(" ",LEN(A445))),LEN(A445))))))), 0), ROW(INDIRECT("1:"&amp;LEN((--TRIM(RIGHT(SUBSTITUTE(LEFT(A445,_xlfn.AGGREGATE(16,6,FIND({0,1,2,3,4,5,6,7,8,9},A445,ROW(INDIRECT("1:"&amp;LEN(A445)))),1))," ",REPT(" ",LEN(A445))),LEN(A445))))))))+1, 1) * 10^ROW(INDIRECT("1:"&amp;LEN((--TRIM(RIGHT(SUBSTITUTE(LEFT(A445,_xlfn.AGGREGATE(16,6,FIND({0,1,2,3,4,5,6,7,8,9},A445,ROW(INDIRECT("1:"&amp;LEN(A445)))),1))," ",REPT(" ",LEN(A445))),LEN(A445)))))))/10))*1+1</f>
        <v>202 &amp; 502</v>
      </c>
      <c r="B446" s="87"/>
      <c r="C446" s="59"/>
      <c r="D446" s="59"/>
      <c r="E446" s="59">
        <v>0</v>
      </c>
      <c r="F446" s="59">
        <f>D446+E446</f>
        <v>0</v>
      </c>
      <c r="G446" s="59">
        <v>0</v>
      </c>
      <c r="H446" s="59">
        <f t="shared" ref="H446:H449" si="122">F446*(($H$209)+1)+(IF(G446&lt;101,G446,IF(G446&lt;201,G446/2,IF(G446&lt;=301,G446/3,G446/4))))</f>
        <v>0</v>
      </c>
      <c r="I446" s="58"/>
    </row>
    <row r="447" spans="1:9" s="57" customFormat="1" ht="15.75" hidden="1" customHeight="1" x14ac:dyDescent="0.35">
      <c r="A447" s="85" t="str">
        <f ca="1">(SUMPRODUCT(MID(0&amp;(LEFT(A446,SUM(LEN(A446)-LEN(SUBSTITUTE(A446,{"0","1","2"},""))))), LARGE(INDEX(ISNUMBER(--MID((LEFT(A446,SUM(LEN(A446)-LEN(SUBSTITUTE(A446,{"0","1","2"},""))))), ROW(INDIRECT("1:"&amp;LEN((LEFT(A446,SUM(LEN(A446)-LEN(SUBSTITUTE(A446,{"0","1","2"},"")))))))), 1)) * ROW(INDIRECT("1:"&amp;LEN((LEFT(A446,SUM(LEN(A446)-LEN(SUBSTITUTE(A446,{"0","1","2"},"")))))))), 0), ROW(INDIRECT("1:"&amp;LEN((LEFT(A446,SUM(LEN(A446)-LEN(SUBSTITUTE(A446,{"0","1","2"},"")))))))))+1, 1) * 10^ROW(INDIRECT("1:"&amp;LEN((LEFT(A446,SUM(LEN(A446)-LEN(SUBSTITUTE(A446,{"0","1","2"},""))))))))/10))*1+1&amp;""&amp;" &amp; "&amp;""&amp;(SUMPRODUCT(MID(0&amp;(--TRIM(RIGHT(SUBSTITUTE(LEFT(A446,_xlfn.AGGREGATE(16,6,FIND({0,1,2,3,4,5,6,7,8,9},A446,ROW(INDIRECT("1:"&amp;LEN(A446)))),1))," ",REPT(" ",LEN(A446))),LEN(A446)))), LARGE(INDEX(ISNUMBER(--MID((--TRIM(RIGHT(SUBSTITUTE(LEFT(A446,_xlfn.AGGREGATE(16,6,FIND({0,1,2,3,4,5,6,7,8,9},A446,ROW(INDIRECT("1:"&amp;LEN(A446)))),1))," ",REPT(" ",LEN(A446))),LEN(A446)))), ROW(INDIRECT("1:"&amp;LEN((--TRIM(RIGHT(SUBSTITUTE(LEFT(A446,_xlfn.AGGREGATE(16,6,FIND({0,1,2,3,4,5,6,7,8,9},A446,ROW(INDIRECT("1:"&amp;LEN(A446)))),1))," ",REPT(" ",LEN(A446))),LEN(A446))))))), 1)) * ROW(INDIRECT("1:"&amp;LEN((--TRIM(RIGHT(SUBSTITUTE(LEFT(A446,_xlfn.AGGREGATE(16,6,FIND({0,1,2,3,4,5,6,7,8,9},A446,ROW(INDIRECT("1:"&amp;LEN(A446)))),1))," ",REPT(" ",LEN(A446))),LEN(A446))))))), 0), ROW(INDIRECT("1:"&amp;LEN((--TRIM(RIGHT(SUBSTITUTE(LEFT(A446,_xlfn.AGGREGATE(16,6,FIND({0,1,2,3,4,5,6,7,8,9},A446,ROW(INDIRECT("1:"&amp;LEN(A446)))),1))," ",REPT(" ",LEN(A446))),LEN(A446))))))))+1, 1) * 10^ROW(INDIRECT("1:"&amp;LEN((--TRIM(RIGHT(SUBSTITUTE(LEFT(A446,_xlfn.AGGREGATE(16,6,FIND({0,1,2,3,4,5,6,7,8,9},A446,ROW(INDIRECT("1:"&amp;LEN(A446)))),1))," ",REPT(" ",LEN(A446))),LEN(A446)))))))/10))*1+1</f>
        <v>203 &amp; 503</v>
      </c>
      <c r="B447" s="87"/>
      <c r="C447" s="59"/>
      <c r="D447" s="59"/>
      <c r="E447" s="59">
        <v>0</v>
      </c>
      <c r="F447" s="59">
        <f>D447+E447</f>
        <v>0</v>
      </c>
      <c r="G447" s="59">
        <v>0</v>
      </c>
      <c r="H447" s="59">
        <f t="shared" si="122"/>
        <v>0</v>
      </c>
      <c r="I447" s="58"/>
    </row>
    <row r="448" spans="1:9" s="57" customFormat="1" ht="15.75" hidden="1" customHeight="1" x14ac:dyDescent="0.35">
      <c r="A448" s="85" t="str">
        <f ca="1">(SUMPRODUCT(MID(0&amp;(LEFT(A447,SUM(LEN(A447)-LEN(SUBSTITUTE(A447,{"0","1","2"},""))))), LARGE(INDEX(ISNUMBER(--MID((LEFT(A447,SUM(LEN(A447)-LEN(SUBSTITUTE(A447,{"0","1","2"},""))))), ROW(INDIRECT("1:"&amp;LEN((LEFT(A447,SUM(LEN(A447)-LEN(SUBSTITUTE(A447,{"0","1","2"},"")))))))), 1)) * ROW(INDIRECT("1:"&amp;LEN((LEFT(A447,SUM(LEN(A447)-LEN(SUBSTITUTE(A447,{"0","1","2"},"")))))))), 0), ROW(INDIRECT("1:"&amp;LEN((LEFT(A447,SUM(LEN(A447)-LEN(SUBSTITUTE(A447,{"0","1","2"},"")))))))))+1, 1) * 10^ROW(INDIRECT("1:"&amp;LEN((LEFT(A447,SUM(LEN(A447)-LEN(SUBSTITUTE(A447,{"0","1","2"},""))))))))/10))*1+1&amp;""&amp;" &amp; "&amp;""&amp;(SUMPRODUCT(MID(0&amp;(--TRIM(RIGHT(SUBSTITUTE(LEFT(A447,_xlfn.AGGREGATE(16,6,FIND({0,1,2,3,4,5,6,7,8,9},A447,ROW(INDIRECT("1:"&amp;LEN(A447)))),1))," ",REPT(" ",LEN(A447))),LEN(A447)))), LARGE(INDEX(ISNUMBER(--MID((--TRIM(RIGHT(SUBSTITUTE(LEFT(A447,_xlfn.AGGREGATE(16,6,FIND({0,1,2,3,4,5,6,7,8,9},A447,ROW(INDIRECT("1:"&amp;LEN(A447)))),1))," ",REPT(" ",LEN(A447))),LEN(A447)))), ROW(INDIRECT("1:"&amp;LEN((--TRIM(RIGHT(SUBSTITUTE(LEFT(A447,_xlfn.AGGREGATE(16,6,FIND({0,1,2,3,4,5,6,7,8,9},A447,ROW(INDIRECT("1:"&amp;LEN(A447)))),1))," ",REPT(" ",LEN(A447))),LEN(A447))))))), 1)) * ROW(INDIRECT("1:"&amp;LEN((--TRIM(RIGHT(SUBSTITUTE(LEFT(A447,_xlfn.AGGREGATE(16,6,FIND({0,1,2,3,4,5,6,7,8,9},A447,ROW(INDIRECT("1:"&amp;LEN(A447)))),1))," ",REPT(" ",LEN(A447))),LEN(A447))))))), 0), ROW(INDIRECT("1:"&amp;LEN((--TRIM(RIGHT(SUBSTITUTE(LEFT(A447,_xlfn.AGGREGATE(16,6,FIND({0,1,2,3,4,5,6,7,8,9},A447,ROW(INDIRECT("1:"&amp;LEN(A447)))),1))," ",REPT(" ",LEN(A447))),LEN(A447))))))))+1, 1) * 10^ROW(INDIRECT("1:"&amp;LEN((--TRIM(RIGHT(SUBSTITUTE(LEFT(A447,_xlfn.AGGREGATE(16,6,FIND({0,1,2,3,4,5,6,7,8,9},A447,ROW(INDIRECT("1:"&amp;LEN(A447)))),1))," ",REPT(" ",LEN(A447))),LEN(A447)))))))/10))*1+1</f>
        <v>204 &amp; 504</v>
      </c>
      <c r="B448" s="87"/>
      <c r="C448" s="59"/>
      <c r="D448" s="59"/>
      <c r="E448" s="59">
        <v>0</v>
      </c>
      <c r="F448" s="59">
        <f>D448+E448</f>
        <v>0</v>
      </c>
      <c r="G448" s="59">
        <v>0</v>
      </c>
      <c r="H448" s="59">
        <f t="shared" si="122"/>
        <v>0</v>
      </c>
      <c r="I448" s="58"/>
    </row>
    <row r="449" spans="1:9" s="57" customFormat="1" ht="15.75" hidden="1" customHeight="1" x14ac:dyDescent="0.35">
      <c r="A449" s="85" t="str">
        <f ca="1">(SUMPRODUCT(MID(0&amp;(LEFT(A448,SUM(LEN(A448)-LEN(SUBSTITUTE(A448,{"0","1","2"},""))))), LARGE(INDEX(ISNUMBER(--MID((LEFT(A448,SUM(LEN(A448)-LEN(SUBSTITUTE(A448,{"0","1","2"},""))))), ROW(INDIRECT("1:"&amp;LEN((LEFT(A448,SUM(LEN(A448)-LEN(SUBSTITUTE(A448,{"0","1","2"},"")))))))), 1)) * ROW(INDIRECT("1:"&amp;LEN((LEFT(A448,SUM(LEN(A448)-LEN(SUBSTITUTE(A448,{"0","1","2"},"")))))))), 0), ROW(INDIRECT("1:"&amp;LEN((LEFT(A448,SUM(LEN(A448)-LEN(SUBSTITUTE(A448,{"0","1","2"},"")))))))))+1, 1) * 10^ROW(INDIRECT("1:"&amp;LEN((LEFT(A448,SUM(LEN(A448)-LEN(SUBSTITUTE(A448,{"0","1","2"},""))))))))/10))*1+1&amp;""&amp;" &amp; "&amp;""&amp;(SUMPRODUCT(MID(0&amp;(--TRIM(RIGHT(SUBSTITUTE(LEFT(A448,_xlfn.AGGREGATE(16,6,FIND({0,1,2,3,4,5,6,7,8,9},A448,ROW(INDIRECT("1:"&amp;LEN(A448)))),1))," ",REPT(" ",LEN(A448))),LEN(A448)))), LARGE(INDEX(ISNUMBER(--MID((--TRIM(RIGHT(SUBSTITUTE(LEFT(A448,_xlfn.AGGREGATE(16,6,FIND({0,1,2,3,4,5,6,7,8,9},A448,ROW(INDIRECT("1:"&amp;LEN(A448)))),1))," ",REPT(" ",LEN(A448))),LEN(A448)))), ROW(INDIRECT("1:"&amp;LEN((--TRIM(RIGHT(SUBSTITUTE(LEFT(A448,_xlfn.AGGREGATE(16,6,FIND({0,1,2,3,4,5,6,7,8,9},A448,ROW(INDIRECT("1:"&amp;LEN(A448)))),1))," ",REPT(" ",LEN(A448))),LEN(A448))))))), 1)) * ROW(INDIRECT("1:"&amp;LEN((--TRIM(RIGHT(SUBSTITUTE(LEFT(A448,_xlfn.AGGREGATE(16,6,FIND({0,1,2,3,4,5,6,7,8,9},A448,ROW(INDIRECT("1:"&amp;LEN(A448)))),1))," ",REPT(" ",LEN(A448))),LEN(A448))))))), 0), ROW(INDIRECT("1:"&amp;LEN((--TRIM(RIGHT(SUBSTITUTE(LEFT(A448,_xlfn.AGGREGATE(16,6,FIND({0,1,2,3,4,5,6,7,8,9},A448,ROW(INDIRECT("1:"&amp;LEN(A448)))),1))," ",REPT(" ",LEN(A448))),LEN(A448))))))))+1, 1) * 10^ROW(INDIRECT("1:"&amp;LEN((--TRIM(RIGHT(SUBSTITUTE(LEFT(A448,_xlfn.AGGREGATE(16,6,FIND({0,1,2,3,4,5,6,7,8,9},A448,ROW(INDIRECT("1:"&amp;LEN(A448)))),1))," ",REPT(" ",LEN(A448))),LEN(A448)))))))/10))*1+1</f>
        <v>205 &amp; 505</v>
      </c>
      <c r="B449" s="87"/>
      <c r="C449" s="59"/>
      <c r="D449" s="59"/>
      <c r="E449" s="59">
        <v>0</v>
      </c>
      <c r="F449" s="59">
        <f>D449+E449</f>
        <v>0</v>
      </c>
      <c r="G449" s="59">
        <v>0</v>
      </c>
      <c r="H449" s="59">
        <f t="shared" si="122"/>
        <v>0</v>
      </c>
      <c r="I449" s="58"/>
    </row>
    <row r="450" spans="1:9" s="37" customFormat="1" x14ac:dyDescent="0.35">
      <c r="A450" s="219" t="s">
        <v>69</v>
      </c>
      <c r="B450" s="219"/>
      <c r="C450" s="219"/>
      <c r="D450" s="219"/>
      <c r="E450" s="219"/>
      <c r="F450" s="219"/>
      <c r="G450" s="219"/>
      <c r="H450" s="219"/>
    </row>
    <row r="451" spans="1:9" s="37" customFormat="1" x14ac:dyDescent="0.35">
      <c r="A451" s="45" t="s">
        <v>159</v>
      </c>
      <c r="B451" s="156" t="s">
        <v>273</v>
      </c>
      <c r="C451" s="157"/>
      <c r="D451" s="157"/>
      <c r="E451" s="157"/>
      <c r="F451" s="157"/>
      <c r="G451" s="157"/>
      <c r="H451" s="158"/>
    </row>
    <row r="452" spans="1:9" s="37" customFormat="1" x14ac:dyDescent="0.35">
      <c r="A452" s="45" t="s">
        <v>159</v>
      </c>
      <c r="B452" s="156" t="str">
        <f>(IF(H208="Saleable area Loading :","We have considered Saleable area of Flats as per our Calculation.","We considered Saleable area of Flat as per Builder area Sheet."))</f>
        <v>We have considered Saleable area of Flats as per our Calculation.</v>
      </c>
      <c r="C452" s="157"/>
      <c r="D452" s="157"/>
      <c r="E452" s="157"/>
      <c r="F452" s="157"/>
      <c r="G452" s="157"/>
      <c r="H452" s="158"/>
    </row>
    <row r="453" spans="1:9" s="37" customFormat="1" x14ac:dyDescent="0.35">
      <c r="A453" s="45" t="s">
        <v>159</v>
      </c>
      <c r="B453" s="156" t="str">
        <f>(IF(H150="Saleable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53" s="157"/>
      <c r="D453" s="157"/>
      <c r="E453" s="157"/>
      <c r="F453" s="157"/>
      <c r="G453" s="157"/>
      <c r="H453" s="158"/>
    </row>
    <row r="454" spans="1:9" s="37" customFormat="1" x14ac:dyDescent="0.35">
      <c r="A454" s="45" t="s">
        <v>159</v>
      </c>
      <c r="B454" s="153" t="s">
        <v>126</v>
      </c>
      <c r="C454" s="154"/>
      <c r="D454" s="154"/>
      <c r="E454" s="154"/>
      <c r="F454" s="154"/>
      <c r="G454" s="154"/>
      <c r="H454" s="155"/>
    </row>
    <row r="455" spans="1:9" s="37" customFormat="1" x14ac:dyDescent="0.35">
      <c r="A455" s="45" t="s">
        <v>159</v>
      </c>
      <c r="B455" s="153" t="s">
        <v>256</v>
      </c>
      <c r="C455" s="154"/>
      <c r="D455" s="154"/>
      <c r="E455" s="154"/>
      <c r="F455" s="154"/>
      <c r="G455" s="154"/>
      <c r="H455" s="155"/>
    </row>
    <row r="456" spans="1:9" s="37" customFormat="1" x14ac:dyDescent="0.35">
      <c r="A456" s="45" t="s">
        <v>159</v>
      </c>
      <c r="B456" s="153" t="s">
        <v>158</v>
      </c>
      <c r="C456" s="154"/>
      <c r="D456" s="154"/>
      <c r="E456" s="154"/>
      <c r="F456" s="154"/>
      <c r="G456" s="154"/>
      <c r="H456" s="155"/>
    </row>
    <row r="457" spans="1:9" s="37" customFormat="1" x14ac:dyDescent="0.35">
      <c r="A457" s="45" t="s">
        <v>159</v>
      </c>
      <c r="B457" s="153" t="s">
        <v>127</v>
      </c>
      <c r="C457" s="154"/>
      <c r="D457" s="154"/>
      <c r="E457" s="154"/>
      <c r="F457" s="154"/>
      <c r="G457" s="154"/>
      <c r="H457" s="155"/>
    </row>
    <row r="458" spans="1:9" s="37" customFormat="1" ht="34.5" customHeight="1" x14ac:dyDescent="0.35">
      <c r="A458" s="45" t="s">
        <v>159</v>
      </c>
      <c r="B458" s="153" t="s">
        <v>160</v>
      </c>
      <c r="C458" s="154"/>
      <c r="D458" s="154"/>
      <c r="E458" s="154"/>
      <c r="F458" s="154"/>
      <c r="G458" s="154"/>
      <c r="H458" s="155"/>
    </row>
    <row r="459" spans="1:9" s="37" customFormat="1" x14ac:dyDescent="0.35">
      <c r="A459" s="45" t="s">
        <v>159</v>
      </c>
      <c r="B459" s="153" t="s">
        <v>128</v>
      </c>
      <c r="C459" s="154"/>
      <c r="D459" s="154"/>
      <c r="E459" s="154"/>
      <c r="F459" s="154"/>
      <c r="G459" s="154"/>
      <c r="H459" s="155"/>
    </row>
    <row r="460" spans="1:9" s="37" customFormat="1" ht="33" customHeight="1" x14ac:dyDescent="0.35">
      <c r="A460" s="50" t="s">
        <v>159</v>
      </c>
      <c r="B460" s="156" t="s">
        <v>261</v>
      </c>
      <c r="C460" s="157"/>
      <c r="D460" s="157"/>
      <c r="E460" s="157"/>
      <c r="F460" s="157"/>
      <c r="G460" s="157"/>
      <c r="H460" s="158"/>
    </row>
    <row r="461" spans="1:9" s="37" customFormat="1" x14ac:dyDescent="0.35">
      <c r="A461" s="50" t="s">
        <v>159</v>
      </c>
      <c r="B461" s="156" t="s">
        <v>269</v>
      </c>
      <c r="C461" s="157"/>
      <c r="D461" s="157"/>
      <c r="E461" s="157"/>
      <c r="F461" s="157"/>
      <c r="G461" s="157"/>
      <c r="H461" s="158"/>
    </row>
    <row r="462" spans="1:9" s="37" customFormat="1" x14ac:dyDescent="0.35">
      <c r="A462" s="50" t="s">
        <v>159</v>
      </c>
      <c r="B462" s="79" t="s">
        <v>268</v>
      </c>
      <c r="C462" s="80"/>
      <c r="D462" s="80"/>
      <c r="E462" s="80"/>
      <c r="F462" s="80"/>
      <c r="G462" s="80"/>
      <c r="H462" s="81"/>
    </row>
    <row r="463" spans="1:9" s="37" customFormat="1" ht="33" customHeight="1" x14ac:dyDescent="0.35">
      <c r="A463" s="50" t="s">
        <v>159</v>
      </c>
      <c r="B463" s="210" t="s">
        <v>270</v>
      </c>
      <c r="C463" s="211"/>
      <c r="D463" s="211"/>
      <c r="E463" s="211"/>
      <c r="F463" s="211"/>
      <c r="G463" s="211"/>
      <c r="H463" s="212"/>
    </row>
    <row r="464" spans="1:9" x14ac:dyDescent="0.35">
      <c r="A464" s="132" t="s">
        <v>62</v>
      </c>
      <c r="B464" s="132"/>
      <c r="C464" s="132"/>
      <c r="D464" s="132"/>
      <c r="E464" s="132"/>
      <c r="F464" s="132"/>
      <c r="G464" s="132"/>
      <c r="H464" s="132"/>
    </row>
    <row r="465" spans="1:8" x14ac:dyDescent="0.35">
      <c r="A465" s="117" t="s">
        <v>63</v>
      </c>
      <c r="B465" s="117"/>
      <c r="C465" s="117"/>
      <c r="D465" s="117"/>
      <c r="E465" s="117"/>
      <c r="F465" s="117"/>
      <c r="G465" s="117"/>
      <c r="H465" s="117"/>
    </row>
    <row r="466" spans="1:8" ht="15.75" customHeight="1" x14ac:dyDescent="0.35">
      <c r="A466" s="118" t="s">
        <v>64</v>
      </c>
      <c r="B466" s="118"/>
      <c r="C466" s="118"/>
      <c r="D466" s="118"/>
      <c r="E466" s="118"/>
      <c r="F466" s="118"/>
      <c r="G466" s="118"/>
      <c r="H466" s="118"/>
    </row>
    <row r="467" spans="1:8" x14ac:dyDescent="0.35">
      <c r="A467" s="117" t="s">
        <v>65</v>
      </c>
      <c r="B467" s="117"/>
      <c r="C467" s="117"/>
      <c r="D467" s="117"/>
      <c r="E467" s="117"/>
      <c r="F467" s="117"/>
      <c r="G467" s="117"/>
      <c r="H467" s="117"/>
    </row>
    <row r="468" spans="1:8" x14ac:dyDescent="0.35">
      <c r="A468" s="117" t="s">
        <v>66</v>
      </c>
      <c r="B468" s="117"/>
      <c r="C468" s="117"/>
      <c r="D468" s="117"/>
      <c r="E468" s="117"/>
      <c r="F468" s="117"/>
      <c r="G468" s="117"/>
      <c r="H468" s="117"/>
    </row>
    <row r="469" spans="1:8" x14ac:dyDescent="0.35">
      <c r="A469" s="117" t="s">
        <v>129</v>
      </c>
      <c r="B469" s="117"/>
      <c r="C469" s="117"/>
      <c r="D469" s="117"/>
      <c r="E469" s="117"/>
      <c r="F469" s="117"/>
      <c r="G469" s="117"/>
      <c r="H469" s="117"/>
    </row>
    <row r="470" spans="1:8" ht="30" customHeight="1" x14ac:dyDescent="0.35">
      <c r="A470" s="133" t="s">
        <v>130</v>
      </c>
      <c r="B470" s="133"/>
      <c r="C470" s="133"/>
      <c r="D470" s="133"/>
      <c r="E470" s="133"/>
      <c r="F470" s="133"/>
      <c r="G470" s="133"/>
      <c r="H470" s="133"/>
    </row>
    <row r="471" spans="1:8" x14ac:dyDescent="0.35">
      <c r="A471" s="151" t="s">
        <v>77</v>
      </c>
      <c r="B471" s="151"/>
      <c r="C471" s="151" t="s">
        <v>275</v>
      </c>
      <c r="D471" s="151"/>
      <c r="E471" s="151" t="s">
        <v>107</v>
      </c>
      <c r="F471" s="151"/>
      <c r="G471" s="151" t="s">
        <v>274</v>
      </c>
      <c r="H471" s="151"/>
    </row>
    <row r="472" spans="1:8" x14ac:dyDescent="0.35">
      <c r="A472" s="150" t="s">
        <v>79</v>
      </c>
      <c r="B472" s="150"/>
      <c r="C472" s="150"/>
      <c r="D472" s="150"/>
      <c r="E472" s="150"/>
      <c r="F472" s="150"/>
      <c r="G472" s="150"/>
      <c r="H472" s="150"/>
    </row>
    <row r="473" spans="1:8" x14ac:dyDescent="0.35">
      <c r="A473" s="150"/>
      <c r="B473" s="150"/>
      <c r="C473" s="150"/>
      <c r="D473" s="150"/>
      <c r="E473" s="150"/>
      <c r="F473" s="150"/>
      <c r="G473" s="150"/>
      <c r="H473" s="150"/>
    </row>
    <row r="474" spans="1:8" x14ac:dyDescent="0.35">
      <c r="A474" s="150"/>
      <c r="B474" s="150"/>
      <c r="C474" s="150"/>
      <c r="D474" s="150"/>
      <c r="E474" s="150"/>
      <c r="F474" s="150"/>
      <c r="G474" s="150"/>
      <c r="H474" s="150"/>
    </row>
    <row r="475" spans="1:8" x14ac:dyDescent="0.35">
      <c r="A475" s="150"/>
      <c r="B475" s="150"/>
      <c r="C475" s="150"/>
      <c r="D475" s="150"/>
      <c r="E475" s="150"/>
      <c r="F475" s="150"/>
      <c r="G475" s="150"/>
      <c r="H475" s="150"/>
    </row>
    <row r="476" spans="1:8" x14ac:dyDescent="0.35">
      <c r="A476" s="38" t="s">
        <v>67</v>
      </c>
      <c r="B476" s="39"/>
      <c r="C476" s="39"/>
      <c r="D476" s="38" t="str">
        <f>E8</f>
        <v>Kings My Homes</v>
      </c>
      <c r="F476" s="39"/>
      <c r="G476" s="39"/>
      <c r="H476" s="39"/>
    </row>
    <row r="477" spans="1:8" x14ac:dyDescent="0.35">
      <c r="A477" s="39"/>
      <c r="B477" s="39"/>
      <c r="C477" s="39"/>
      <c r="D477" s="39"/>
      <c r="E477" s="39"/>
      <c r="F477" s="39"/>
      <c r="G477" s="39"/>
      <c r="H477" s="39"/>
    </row>
    <row r="478" spans="1:8" x14ac:dyDescent="0.35">
      <c r="A478" s="39"/>
      <c r="B478" s="39"/>
      <c r="C478" s="39"/>
      <c r="D478" s="39"/>
      <c r="E478" s="39"/>
      <c r="F478" s="39"/>
      <c r="G478" s="39"/>
      <c r="H478" s="39"/>
    </row>
    <row r="479" spans="1:8" ht="15" customHeight="1" x14ac:dyDescent="0.35"/>
    <row r="519" spans="1:1" x14ac:dyDescent="0.35">
      <c r="A519" s="41" t="s">
        <v>173</v>
      </c>
    </row>
    <row r="562" spans="1:1" x14ac:dyDescent="0.35">
      <c r="A562" s="41" t="s">
        <v>68</v>
      </c>
    </row>
  </sheetData>
  <mergeCells count="665">
    <mergeCell ref="B463:H463"/>
    <mergeCell ref="B461:H461"/>
    <mergeCell ref="A138:B138"/>
    <mergeCell ref="C138:D138"/>
    <mergeCell ref="E138:F138"/>
    <mergeCell ref="G138:H138"/>
    <mergeCell ref="C136:D136"/>
    <mergeCell ref="G136:H136"/>
    <mergeCell ref="A136:B136"/>
    <mergeCell ref="E136:F136"/>
    <mergeCell ref="A137:B137"/>
    <mergeCell ref="C137:D137"/>
    <mergeCell ref="E137:F137"/>
    <mergeCell ref="G137:H137"/>
    <mergeCell ref="C401:H401"/>
    <mergeCell ref="A404:H404"/>
    <mergeCell ref="A375:H375"/>
    <mergeCell ref="A353:H353"/>
    <mergeCell ref="A354:H354"/>
    <mergeCell ref="B454:H454"/>
    <mergeCell ref="B455:H455"/>
    <mergeCell ref="A450:H450"/>
    <mergeCell ref="A146:B146"/>
    <mergeCell ref="C146:D146"/>
    <mergeCell ref="E146:F146"/>
    <mergeCell ref="A125:H125"/>
    <mergeCell ref="A126:B126"/>
    <mergeCell ref="C126:D126"/>
    <mergeCell ref="E126:F126"/>
    <mergeCell ref="G126:H126"/>
    <mergeCell ref="C127:D127"/>
    <mergeCell ref="E127:F127"/>
    <mergeCell ref="G127:H127"/>
    <mergeCell ref="A131:B131"/>
    <mergeCell ref="C131:D131"/>
    <mergeCell ref="E131:F131"/>
    <mergeCell ref="G131:H131"/>
    <mergeCell ref="A129:A130"/>
    <mergeCell ref="C129:D129"/>
    <mergeCell ref="E129:F129"/>
    <mergeCell ref="G129:H129"/>
    <mergeCell ref="C130:D130"/>
    <mergeCell ref="E130:F130"/>
    <mergeCell ref="G130:H130"/>
    <mergeCell ref="L407:M407"/>
    <mergeCell ref="C408:H408"/>
    <mergeCell ref="L408:M408"/>
    <mergeCell ref="C128:D128"/>
    <mergeCell ref="E128:F128"/>
    <mergeCell ref="G128:H128"/>
    <mergeCell ref="A127:A128"/>
    <mergeCell ref="A132:H132"/>
    <mergeCell ref="A133:B133"/>
    <mergeCell ref="C133:D133"/>
    <mergeCell ref="E133:F133"/>
    <mergeCell ref="G133:H133"/>
    <mergeCell ref="A134:B134"/>
    <mergeCell ref="C134:D134"/>
    <mergeCell ref="E134:F134"/>
    <mergeCell ref="G134:H134"/>
    <mergeCell ref="A135:B135"/>
    <mergeCell ref="C135:D135"/>
    <mergeCell ref="E135:F135"/>
    <mergeCell ref="G135:H135"/>
    <mergeCell ref="A383:H383"/>
    <mergeCell ref="L384:M384"/>
    <mergeCell ref="A397:H397"/>
    <mergeCell ref="L398:M398"/>
    <mergeCell ref="L399:M399"/>
    <mergeCell ref="L386:M386"/>
    <mergeCell ref="L387:M387"/>
    <mergeCell ref="L388:M388"/>
    <mergeCell ref="L389:M389"/>
    <mergeCell ref="C388:H388"/>
    <mergeCell ref="A390:H390"/>
    <mergeCell ref="L391:M391"/>
    <mergeCell ref="L392:M392"/>
    <mergeCell ref="L393:M393"/>
    <mergeCell ref="C376:H376"/>
    <mergeCell ref="A382:H382"/>
    <mergeCell ref="A361:H361"/>
    <mergeCell ref="L362:M362"/>
    <mergeCell ref="L363:M363"/>
    <mergeCell ref="L364:M364"/>
    <mergeCell ref="L365:M365"/>
    <mergeCell ref="L366:M366"/>
    <mergeCell ref="L367:M367"/>
    <mergeCell ref="A368:H368"/>
    <mergeCell ref="L369:M369"/>
    <mergeCell ref="C369:H370"/>
    <mergeCell ref="C343:H344"/>
    <mergeCell ref="A183:H183"/>
    <mergeCell ref="L184:M184"/>
    <mergeCell ref="L185:M185"/>
    <mergeCell ref="L186:M186"/>
    <mergeCell ref="L187:M187"/>
    <mergeCell ref="L188:M188"/>
    <mergeCell ref="L189:M189"/>
    <mergeCell ref="L190:M190"/>
    <mergeCell ref="L191:M191"/>
    <mergeCell ref="L192:M192"/>
    <mergeCell ref="L193:M193"/>
    <mergeCell ref="L194:M194"/>
    <mergeCell ref="L195:M195"/>
    <mergeCell ref="A196:H196"/>
    <mergeCell ref="L342:M342"/>
    <mergeCell ref="L343:M343"/>
    <mergeCell ref="A337:H337"/>
    <mergeCell ref="L325:M325"/>
    <mergeCell ref="L326:M326"/>
    <mergeCell ref="L327:M327"/>
    <mergeCell ref="C293:H295"/>
    <mergeCell ref="L328:M328"/>
    <mergeCell ref="C306:H306"/>
    <mergeCell ref="A322:H322"/>
    <mergeCell ref="L323:M323"/>
    <mergeCell ref="L324:M324"/>
    <mergeCell ref="A307:H307"/>
    <mergeCell ref="L308:M308"/>
    <mergeCell ref="L309:M309"/>
    <mergeCell ref="L310:M310"/>
    <mergeCell ref="L311:M311"/>
    <mergeCell ref="L312:M312"/>
    <mergeCell ref="L313:M313"/>
    <mergeCell ref="L314:M314"/>
    <mergeCell ref="L315:M315"/>
    <mergeCell ref="L316:M316"/>
    <mergeCell ref="L317:M317"/>
    <mergeCell ref="L318:M318"/>
    <mergeCell ref="L319:M319"/>
    <mergeCell ref="L320:M320"/>
    <mergeCell ref="L321:M321"/>
    <mergeCell ref="F120:H120"/>
    <mergeCell ref="A121:E121"/>
    <mergeCell ref="A85:B85"/>
    <mergeCell ref="C85:H85"/>
    <mergeCell ref="A86:B86"/>
    <mergeCell ref="E86:F86"/>
    <mergeCell ref="G86:H86"/>
    <mergeCell ref="A117:E117"/>
    <mergeCell ref="F117:H117"/>
    <mergeCell ref="A118:E118"/>
    <mergeCell ref="A120:E120"/>
    <mergeCell ref="F114:H114"/>
    <mergeCell ref="A119:E119"/>
    <mergeCell ref="A104:B104"/>
    <mergeCell ref="A105:B105"/>
    <mergeCell ref="A106:B106"/>
    <mergeCell ref="A108:B108"/>
    <mergeCell ref="A109:B109"/>
    <mergeCell ref="G87:H96"/>
    <mergeCell ref="A88:B88"/>
    <mergeCell ref="A89:B89"/>
    <mergeCell ref="A90:B90"/>
    <mergeCell ref="F113:H113"/>
    <mergeCell ref="A113:E113"/>
    <mergeCell ref="A115:E115"/>
    <mergeCell ref="F119:H119"/>
    <mergeCell ref="A96:B96"/>
    <mergeCell ref="A101:B101"/>
    <mergeCell ref="E101:F110"/>
    <mergeCell ref="F111:H111"/>
    <mergeCell ref="F116:H116"/>
    <mergeCell ref="A122:E122"/>
    <mergeCell ref="B451:H451"/>
    <mergeCell ref="C147:D147"/>
    <mergeCell ref="E147:F147"/>
    <mergeCell ref="G147:H147"/>
    <mergeCell ref="A148:H148"/>
    <mergeCell ref="A149:H149"/>
    <mergeCell ref="A150:A151"/>
    <mergeCell ref="B150:B151"/>
    <mergeCell ref="C150:C151"/>
    <mergeCell ref="D150:D151"/>
    <mergeCell ref="E150:E151"/>
    <mergeCell ref="F150:F151"/>
    <mergeCell ref="G150:G151"/>
    <mergeCell ref="A155:H155"/>
    <mergeCell ref="A152:H152"/>
    <mergeCell ref="A203:B203"/>
    <mergeCell ref="B452:H452"/>
    <mergeCell ref="A153:H153"/>
    <mergeCell ref="A154:H154"/>
    <mergeCell ref="A139:H139"/>
    <mergeCell ref="A140:B140"/>
    <mergeCell ref="C140:D140"/>
    <mergeCell ref="E140:F140"/>
    <mergeCell ref="G140:H140"/>
    <mergeCell ref="A141:B141"/>
    <mergeCell ref="C142:D142"/>
    <mergeCell ref="E142:F142"/>
    <mergeCell ref="G142:H142"/>
    <mergeCell ref="A143:H143"/>
    <mergeCell ref="A144:B144"/>
    <mergeCell ref="C144:D144"/>
    <mergeCell ref="E144:F144"/>
    <mergeCell ref="G144:H144"/>
    <mergeCell ref="A145:B145"/>
    <mergeCell ref="C145:D145"/>
    <mergeCell ref="E145:F145"/>
    <mergeCell ref="G145:H145"/>
    <mergeCell ref="C327:H330"/>
    <mergeCell ref="G146:H146"/>
    <mergeCell ref="A147:B147"/>
    <mergeCell ref="A42:D42"/>
    <mergeCell ref="E42:H42"/>
    <mergeCell ref="E43:H43"/>
    <mergeCell ref="E44:H44"/>
    <mergeCell ref="E45:H45"/>
    <mergeCell ref="A43:D43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47:B47"/>
    <mergeCell ref="C47:H47"/>
    <mergeCell ref="A76:B76"/>
    <mergeCell ref="E72:F72"/>
    <mergeCell ref="A73:B73"/>
    <mergeCell ref="G72:H72"/>
    <mergeCell ref="E73:F82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8:H58"/>
    <mergeCell ref="A58:C58"/>
    <mergeCell ref="G49:H49"/>
    <mergeCell ref="A52:B53"/>
    <mergeCell ref="A48:B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72:H475"/>
    <mergeCell ref="A471:B471"/>
    <mergeCell ref="E471:F471"/>
    <mergeCell ref="C471:D471"/>
    <mergeCell ref="G471:H471"/>
    <mergeCell ref="A123:E123"/>
    <mergeCell ref="F123:H123"/>
    <mergeCell ref="A124:E124"/>
    <mergeCell ref="F124:H124"/>
    <mergeCell ref="A467:H467"/>
    <mergeCell ref="A245:H245"/>
    <mergeCell ref="A470:H470"/>
    <mergeCell ref="A468:H468"/>
    <mergeCell ref="A464:H464"/>
    <mergeCell ref="A465:H465"/>
    <mergeCell ref="B459:H459"/>
    <mergeCell ref="B457:H457"/>
    <mergeCell ref="B453:H453"/>
    <mergeCell ref="B458:H458"/>
    <mergeCell ref="B456:H456"/>
    <mergeCell ref="B460:H460"/>
    <mergeCell ref="E141:F141"/>
    <mergeCell ref="G141:H141"/>
    <mergeCell ref="A142:B142"/>
    <mergeCell ref="G73:H82"/>
    <mergeCell ref="A81:B81"/>
    <mergeCell ref="A82:B82"/>
    <mergeCell ref="A80:B80"/>
    <mergeCell ref="F118:H118"/>
    <mergeCell ref="A112:E112"/>
    <mergeCell ref="A97:B97"/>
    <mergeCell ref="C97:H97"/>
    <mergeCell ref="A87:B87"/>
    <mergeCell ref="E87:F96"/>
    <mergeCell ref="A94:B94"/>
    <mergeCell ref="A95:B95"/>
    <mergeCell ref="G101:H110"/>
    <mergeCell ref="A114:E114"/>
    <mergeCell ref="A111:E111"/>
    <mergeCell ref="F115:H115"/>
    <mergeCell ref="G100:H100"/>
    <mergeCell ref="A99:B99"/>
    <mergeCell ref="C99:H99"/>
    <mergeCell ref="A100:B100"/>
    <mergeCell ref="E100:F100"/>
    <mergeCell ref="A116:E116"/>
    <mergeCell ref="A102:B102"/>
    <mergeCell ref="A103:B103"/>
    <mergeCell ref="A57:C57"/>
    <mergeCell ref="D57:H57"/>
    <mergeCell ref="G54:H54"/>
    <mergeCell ref="C53:H53"/>
    <mergeCell ref="F122:H122"/>
    <mergeCell ref="G52:H52"/>
    <mergeCell ref="D56:H56"/>
    <mergeCell ref="C52:E52"/>
    <mergeCell ref="A59:C61"/>
    <mergeCell ref="D59:H59"/>
    <mergeCell ref="D60:H60"/>
    <mergeCell ref="D61:H61"/>
    <mergeCell ref="F121:H121"/>
    <mergeCell ref="A65:C65"/>
    <mergeCell ref="D65:H65"/>
    <mergeCell ref="A68:C68"/>
    <mergeCell ref="D68:H68"/>
    <mergeCell ref="A66:C66"/>
    <mergeCell ref="D66:H66"/>
    <mergeCell ref="A67:C67"/>
    <mergeCell ref="D67:H67"/>
    <mergeCell ref="A63:C63"/>
    <mergeCell ref="D62:H62"/>
    <mergeCell ref="D63:H63"/>
    <mergeCell ref="A16:B16"/>
    <mergeCell ref="C16:H16"/>
    <mergeCell ref="E41:H41"/>
    <mergeCell ref="A41:D41"/>
    <mergeCell ref="A469:H469"/>
    <mergeCell ref="A466:H466"/>
    <mergeCell ref="A91:B91"/>
    <mergeCell ref="A92:B92"/>
    <mergeCell ref="A93:B93"/>
    <mergeCell ref="A83:B83"/>
    <mergeCell ref="C83:H83"/>
    <mergeCell ref="A107:B107"/>
    <mergeCell ref="A78:B78"/>
    <mergeCell ref="F112:H112"/>
    <mergeCell ref="A110:B110"/>
    <mergeCell ref="C48:E48"/>
    <mergeCell ref="G48:H48"/>
    <mergeCell ref="C49:E49"/>
    <mergeCell ref="A54:B54"/>
    <mergeCell ref="C54:E54"/>
    <mergeCell ref="A49:B49"/>
    <mergeCell ref="A55:H55"/>
    <mergeCell ref="A56:C56"/>
    <mergeCell ref="C141:D141"/>
    <mergeCell ref="L203:M203"/>
    <mergeCell ref="A204:B204"/>
    <mergeCell ref="L204:M204"/>
    <mergeCell ref="A205:B205"/>
    <mergeCell ref="L205:M205"/>
    <mergeCell ref="L161:M161"/>
    <mergeCell ref="L162:M162"/>
    <mergeCell ref="L163:M163"/>
    <mergeCell ref="L164:M164"/>
    <mergeCell ref="L165:M165"/>
    <mergeCell ref="L178:M178"/>
    <mergeCell ref="L179:M179"/>
    <mergeCell ref="L180:M180"/>
    <mergeCell ref="A182:H182"/>
    <mergeCell ref="A181:H181"/>
    <mergeCell ref="A202:H202"/>
    <mergeCell ref="L156:M156"/>
    <mergeCell ref="L157:M157"/>
    <mergeCell ref="L158:M158"/>
    <mergeCell ref="L159:M159"/>
    <mergeCell ref="L160:M160"/>
    <mergeCell ref="L198:M198"/>
    <mergeCell ref="L199:M199"/>
    <mergeCell ref="L200:M200"/>
    <mergeCell ref="A206:B206"/>
    <mergeCell ref="L206:M206"/>
    <mergeCell ref="L201:M201"/>
    <mergeCell ref="L166:M166"/>
    <mergeCell ref="L167:M167"/>
    <mergeCell ref="L168:M168"/>
    <mergeCell ref="A169:H169"/>
    <mergeCell ref="A197:H197"/>
    <mergeCell ref="A170:H170"/>
    <mergeCell ref="L171:M171"/>
    <mergeCell ref="L172:M172"/>
    <mergeCell ref="L173:M173"/>
    <mergeCell ref="L174:M174"/>
    <mergeCell ref="L175:M175"/>
    <mergeCell ref="L176:M176"/>
    <mergeCell ref="L177:M177"/>
    <mergeCell ref="A207:H207"/>
    <mergeCell ref="L416:M416"/>
    <mergeCell ref="L417:M417"/>
    <mergeCell ref="A208:A209"/>
    <mergeCell ref="B208:B209"/>
    <mergeCell ref="C208:C209"/>
    <mergeCell ref="D208:D209"/>
    <mergeCell ref="E208:E209"/>
    <mergeCell ref="F208:F209"/>
    <mergeCell ref="G208:G209"/>
    <mergeCell ref="A215:H215"/>
    <mergeCell ref="A211:H211"/>
    <mergeCell ref="A212:H212"/>
    <mergeCell ref="A213:H213"/>
    <mergeCell ref="A214:H214"/>
    <mergeCell ref="L243:M243"/>
    <mergeCell ref="L244:M244"/>
    <mergeCell ref="L246:M246"/>
    <mergeCell ref="L247:M247"/>
    <mergeCell ref="C226:H226"/>
    <mergeCell ref="C227:H227"/>
    <mergeCell ref="A230:H230"/>
    <mergeCell ref="L231:M231"/>
    <mergeCell ref="L232:M232"/>
    <mergeCell ref="A431:B431"/>
    <mergeCell ref="A432:H432"/>
    <mergeCell ref="A433:B433"/>
    <mergeCell ref="A434:B434"/>
    <mergeCell ref="A435:B435"/>
    <mergeCell ref="L216:M216"/>
    <mergeCell ref="L217:M217"/>
    <mergeCell ref="L218:M218"/>
    <mergeCell ref="L219:M219"/>
    <mergeCell ref="A426:H426"/>
    <mergeCell ref="L426:M426"/>
    <mergeCell ref="L229:M229"/>
    <mergeCell ref="A411:H411"/>
    <mergeCell ref="L412:M412"/>
    <mergeCell ref="L413:M413"/>
    <mergeCell ref="L414:M414"/>
    <mergeCell ref="L415:M415"/>
    <mergeCell ref="L424:M424"/>
    <mergeCell ref="L425:M425"/>
    <mergeCell ref="C224:H224"/>
    <mergeCell ref="C225:H225"/>
    <mergeCell ref="A291:H291"/>
    <mergeCell ref="A292:H292"/>
    <mergeCell ref="L293:M293"/>
    <mergeCell ref="L347:M347"/>
    <mergeCell ref="L348:M348"/>
    <mergeCell ref="L349:M349"/>
    <mergeCell ref="L350:M350"/>
    <mergeCell ref="L299:M299"/>
    <mergeCell ref="L220:M220"/>
    <mergeCell ref="L221:M221"/>
    <mergeCell ref="L222:M222"/>
    <mergeCell ref="L223:M223"/>
    <mergeCell ref="L224:M224"/>
    <mergeCell ref="L225:M225"/>
    <mergeCell ref="L226:M226"/>
    <mergeCell ref="L227:M227"/>
    <mergeCell ref="L228:M228"/>
    <mergeCell ref="L294:M294"/>
    <mergeCell ref="L295:M295"/>
    <mergeCell ref="L296:M296"/>
    <mergeCell ref="L297:M297"/>
    <mergeCell ref="L298:M298"/>
    <mergeCell ref="L305:M305"/>
    <mergeCell ref="L306:M306"/>
    <mergeCell ref="L329:M329"/>
    <mergeCell ref="L330:M330"/>
    <mergeCell ref="L331:M331"/>
    <mergeCell ref="L332:M332"/>
    <mergeCell ref="L333:M333"/>
    <mergeCell ref="L345:M345"/>
    <mergeCell ref="L346:M346"/>
    <mergeCell ref="L286:M286"/>
    <mergeCell ref="L287:M287"/>
    <mergeCell ref="L288:M288"/>
    <mergeCell ref="L289:M289"/>
    <mergeCell ref="L300:M300"/>
    <mergeCell ref="L301:M301"/>
    <mergeCell ref="L302:M302"/>
    <mergeCell ref="L303:M303"/>
    <mergeCell ref="L304:M304"/>
    <mergeCell ref="L265:M265"/>
    <mergeCell ref="L266:M266"/>
    <mergeCell ref="L250:M250"/>
    <mergeCell ref="L251:M251"/>
    <mergeCell ref="L252:M252"/>
    <mergeCell ref="L253:M253"/>
    <mergeCell ref="L254:M254"/>
    <mergeCell ref="L410:M410"/>
    <mergeCell ref="L402:M402"/>
    <mergeCell ref="L403:M403"/>
    <mergeCell ref="L344:M344"/>
    <mergeCell ref="L355:M355"/>
    <mergeCell ref="L356:M356"/>
    <mergeCell ref="L357:M357"/>
    <mergeCell ref="L358:M358"/>
    <mergeCell ref="L359:M359"/>
    <mergeCell ref="L360:M360"/>
    <mergeCell ref="L351:M351"/>
    <mergeCell ref="L376:M376"/>
    <mergeCell ref="L377:M377"/>
    <mergeCell ref="L378:M378"/>
    <mergeCell ref="L379:M379"/>
    <mergeCell ref="L380:M380"/>
    <mergeCell ref="L381:M381"/>
    <mergeCell ref="L422:M422"/>
    <mergeCell ref="L423:M423"/>
    <mergeCell ref="L248:M248"/>
    <mergeCell ref="L249:M249"/>
    <mergeCell ref="L239:M239"/>
    <mergeCell ref="L240:M240"/>
    <mergeCell ref="L241:M241"/>
    <mergeCell ref="L242:M242"/>
    <mergeCell ref="L255:M255"/>
    <mergeCell ref="L256:M256"/>
    <mergeCell ref="L257:M257"/>
    <mergeCell ref="L258:M258"/>
    <mergeCell ref="L259:M259"/>
    <mergeCell ref="L268:M268"/>
    <mergeCell ref="L269:M269"/>
    <mergeCell ref="L270:M270"/>
    <mergeCell ref="L271:M271"/>
    <mergeCell ref="L272:M272"/>
    <mergeCell ref="L273:M273"/>
    <mergeCell ref="L274:M274"/>
    <mergeCell ref="L283:M283"/>
    <mergeCell ref="L284:M284"/>
    <mergeCell ref="L285:M285"/>
    <mergeCell ref="L418:M418"/>
    <mergeCell ref="L421:M421"/>
    <mergeCell ref="L334:M334"/>
    <mergeCell ref="L335:M335"/>
    <mergeCell ref="L336:M336"/>
    <mergeCell ref="L338:M338"/>
    <mergeCell ref="L339:M339"/>
    <mergeCell ref="L340:M340"/>
    <mergeCell ref="L341:M341"/>
    <mergeCell ref="L370:M370"/>
    <mergeCell ref="L371:M371"/>
    <mergeCell ref="L372:M372"/>
    <mergeCell ref="L373:M373"/>
    <mergeCell ref="L374:M374"/>
    <mergeCell ref="L400:M400"/>
    <mergeCell ref="L401:M401"/>
    <mergeCell ref="L409:M409"/>
    <mergeCell ref="L419:M419"/>
    <mergeCell ref="L385:M385"/>
    <mergeCell ref="L394:M394"/>
    <mergeCell ref="L395:M395"/>
    <mergeCell ref="L396:M396"/>
    <mergeCell ref="L405:M405"/>
    <mergeCell ref="L406:M406"/>
    <mergeCell ref="L420:M420"/>
    <mergeCell ref="L281:M281"/>
    <mergeCell ref="L282:M282"/>
    <mergeCell ref="C256:H259"/>
    <mergeCell ref="A260:H260"/>
    <mergeCell ref="L261:M261"/>
    <mergeCell ref="A50:B51"/>
    <mergeCell ref="C50:E50"/>
    <mergeCell ref="G50:H50"/>
    <mergeCell ref="C51:H51"/>
    <mergeCell ref="L267:M267"/>
    <mergeCell ref="L262:M262"/>
    <mergeCell ref="L263:M263"/>
    <mergeCell ref="L276:M276"/>
    <mergeCell ref="L277:M277"/>
    <mergeCell ref="L278:M278"/>
    <mergeCell ref="L279:M279"/>
    <mergeCell ref="L280:M280"/>
    <mergeCell ref="L233:M233"/>
    <mergeCell ref="L234:M234"/>
    <mergeCell ref="L235:M235"/>
    <mergeCell ref="L236:M236"/>
    <mergeCell ref="L237:M237"/>
    <mergeCell ref="L238:M238"/>
    <mergeCell ref="L264:M264"/>
    <mergeCell ref="B462:H462"/>
    <mergeCell ref="A210:H210"/>
    <mergeCell ref="A290:H290"/>
    <mergeCell ref="A352:H352"/>
    <mergeCell ref="C271:H271"/>
    <mergeCell ref="A275:H275"/>
    <mergeCell ref="A445:B445"/>
    <mergeCell ref="A446:B446"/>
    <mergeCell ref="A447:B447"/>
    <mergeCell ref="A448:B448"/>
    <mergeCell ref="A449:B449"/>
    <mergeCell ref="A436:B436"/>
    <mergeCell ref="A437:B437"/>
    <mergeCell ref="A438:H438"/>
    <mergeCell ref="A439:B439"/>
    <mergeCell ref="A440:B440"/>
    <mergeCell ref="A441:B441"/>
    <mergeCell ref="A442:B442"/>
    <mergeCell ref="A443:B443"/>
    <mergeCell ref="A444:H444"/>
    <mergeCell ref="A427:B427"/>
    <mergeCell ref="A428:B428"/>
    <mergeCell ref="A429:B429"/>
    <mergeCell ref="A430:B430"/>
  </mergeCells>
  <dataValidations disablePrompts="1" count="5">
    <dataValidation type="list" allowBlank="1" showInputMessage="1" showErrorMessage="1" sqref="H151 H209">
      <formula1>".45,.50,.55,.60"</formula1>
    </dataValidation>
    <dataValidation type="list" allowBlank="1" showInputMessage="1" showErrorMessage="1" sqref="E208:E209">
      <formula1>"Fungible area,Balcony Area,Chajja Area,Cornice Area,AP Area,WS Area"</formula1>
    </dataValidation>
    <dataValidation type="list" allowBlank="1" showInputMessage="1" showErrorMessage="1" sqref="B208:B209">
      <formula1>"Flat No. (Sale Plan),Sale / Rehab,Sale / Mhada"</formula1>
    </dataValidation>
    <dataValidation type="list" allowBlank="1" showInputMessage="1" showErrorMessage="1" sqref="B150:B151">
      <formula1>"Shop No. (Sale Plan),Sale / Rehab,Sale / Mhada"</formula1>
    </dataValidation>
    <dataValidation type="list" allowBlank="1" showInputMessage="1" showErrorMessage="1" sqref="E150:E151">
      <formula1>"Attached Loft area,Attached Otla area,Attached Mezzanine area"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6" max="16383" man="1"/>
    <brk id="475" max="16383" man="1"/>
    <brk id="518" max="16383" man="1"/>
    <brk id="56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64" zoomScale="85" zoomScaleNormal="85" workbookViewId="0">
      <selection activeCell="B77" sqref="B77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20" t="s">
        <v>108</v>
      </c>
      <c r="C3" s="220"/>
      <c r="D3" s="220"/>
      <c r="E3" s="220"/>
      <c r="F3" s="220"/>
      <c r="G3" s="220"/>
      <c r="H3" s="220"/>
    </row>
    <row r="4" spans="1:9" x14ac:dyDescent="0.35">
      <c r="A4" s="3"/>
      <c r="B4" s="4" t="s">
        <v>109</v>
      </c>
      <c r="C4" s="4" t="s">
        <v>110</v>
      </c>
      <c r="D4" s="4" t="s">
        <v>70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35">
      <c r="A5" s="3"/>
      <c r="B5" s="6" t="s">
        <v>113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2025-07-04T16:16:09Z</cp:lastPrinted>
  <dcterms:created xsi:type="dcterms:W3CDTF">2019-07-16T09:29:46Z</dcterms:created>
  <dcterms:modified xsi:type="dcterms:W3CDTF">2025-10-06T13:44:58Z</dcterms:modified>
</cp:coreProperties>
</file>