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Oct 25\Old\"/>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7" i="1" l="1"/>
  <c r="K222" i="1"/>
  <c r="K196" i="1"/>
  <c r="K203" i="1"/>
  <c r="I153" i="1"/>
  <c r="I263" i="1"/>
  <c r="J192" i="1" l="1"/>
  <c r="I192" i="1"/>
  <c r="J191" i="1"/>
  <c r="I191" i="1"/>
  <c r="I43" i="1" l="1"/>
  <c r="I195" i="1" l="1"/>
  <c r="I198" i="1"/>
  <c r="I200" i="1"/>
  <c r="I236" i="1"/>
  <c r="I233" i="1"/>
  <c r="I230" i="1"/>
  <c r="D238" i="1"/>
  <c r="D237" i="1"/>
  <c r="D236" i="1"/>
  <c r="D235" i="1"/>
  <c r="E236" i="1"/>
  <c r="E238" i="1"/>
  <c r="E237" i="1"/>
  <c r="F237" i="1" s="1"/>
  <c r="H237" i="1" s="1"/>
  <c r="E232" i="1"/>
  <c r="E235" i="1"/>
  <c r="E230" i="1"/>
  <c r="E233" i="1"/>
  <c r="D233" i="1"/>
  <c r="D232" i="1"/>
  <c r="E231" i="1"/>
  <c r="D231" i="1"/>
  <c r="D230" i="1"/>
  <c r="F230" i="1" s="1"/>
  <c r="H230" i="1" s="1"/>
  <c r="A237" i="1"/>
  <c r="A238" i="1" s="1"/>
  <c r="A236" i="1"/>
  <c r="D226" i="1"/>
  <c r="D225" i="1"/>
  <c r="D224" i="1"/>
  <c r="D223" i="1"/>
  <c r="E226" i="1"/>
  <c r="E224" i="1"/>
  <c r="E223" i="1"/>
  <c r="A231" i="1"/>
  <c r="A232" i="1" s="1"/>
  <c r="A233" i="1" s="1"/>
  <c r="E221" i="1"/>
  <c r="D221" i="1"/>
  <c r="E220" i="1"/>
  <c r="D220" i="1"/>
  <c r="E219" i="1"/>
  <c r="D219" i="1"/>
  <c r="E218" i="1"/>
  <c r="D218" i="1"/>
  <c r="F232" i="1" l="1"/>
  <c r="H232" i="1" s="1"/>
  <c r="F238" i="1"/>
  <c r="H238" i="1" s="1"/>
  <c r="F236" i="1"/>
  <c r="H236" i="1" s="1"/>
  <c r="F231" i="1"/>
  <c r="H231" i="1" s="1"/>
  <c r="C155" i="1"/>
  <c r="F235" i="1"/>
  <c r="H235" i="1" s="1"/>
  <c r="F233" i="1"/>
  <c r="H233" i="1" s="1"/>
  <c r="F226" i="1"/>
  <c r="F225" i="1"/>
  <c r="F224" i="1"/>
  <c r="A224" i="1"/>
  <c r="A225" i="1" s="1"/>
  <c r="A226" i="1" s="1"/>
  <c r="F223" i="1"/>
  <c r="I215" i="1"/>
  <c r="I213" i="1"/>
  <c r="E216" i="1"/>
  <c r="D216" i="1"/>
  <c r="E215" i="1"/>
  <c r="D215" i="1"/>
  <c r="E214" i="1"/>
  <c r="D214" i="1"/>
  <c r="E213" i="1"/>
  <c r="D213" i="1"/>
  <c r="F213" i="1" s="1"/>
  <c r="F221" i="1"/>
  <c r="F220" i="1"/>
  <c r="F219" i="1"/>
  <c r="A219" i="1"/>
  <c r="A220" i="1" s="1"/>
  <c r="A221" i="1" s="1"/>
  <c r="F218" i="1"/>
  <c r="E208" i="1"/>
  <c r="E207" i="1"/>
  <c r="E206" i="1"/>
  <c r="E205" i="1"/>
  <c r="E204" i="1"/>
  <c r="D209" i="1"/>
  <c r="D208" i="1"/>
  <c r="D207" i="1"/>
  <c r="D206" i="1"/>
  <c r="D205" i="1"/>
  <c r="D204" i="1"/>
  <c r="E209" i="1"/>
  <c r="E202" i="1"/>
  <c r="D202" i="1"/>
  <c r="E201" i="1"/>
  <c r="D201" i="1"/>
  <c r="E200" i="1"/>
  <c r="D200" i="1"/>
  <c r="E199" i="1"/>
  <c r="D199" i="1"/>
  <c r="E198" i="1"/>
  <c r="D198" i="1"/>
  <c r="E197" i="1"/>
  <c r="D197" i="1"/>
  <c r="A214" i="1"/>
  <c r="A215" i="1" s="1"/>
  <c r="A216" i="1" s="1"/>
  <c r="F216" i="1" l="1"/>
  <c r="H216" i="1" s="1"/>
  <c r="F209" i="1"/>
  <c r="K209" i="1" s="1"/>
  <c r="E155" i="1"/>
  <c r="G155" i="1"/>
  <c r="F214" i="1"/>
  <c r="F208" i="1"/>
  <c r="H208" i="1" s="1"/>
  <c r="J208" i="1" s="1"/>
  <c r="I208" i="1" s="1"/>
  <c r="F215" i="1"/>
  <c r="K215" i="1" s="1"/>
  <c r="H214" i="1"/>
  <c r="K214" i="1"/>
  <c r="H209" i="1"/>
  <c r="J209" i="1" s="1"/>
  <c r="I209" i="1" s="1"/>
  <c r="H213" i="1"/>
  <c r="K213" i="1"/>
  <c r="H219" i="1"/>
  <c r="K219" i="1"/>
  <c r="K216" i="1"/>
  <c r="H220" i="1"/>
  <c r="K220" i="1"/>
  <c r="H226" i="1"/>
  <c r="K226" i="1"/>
  <c r="H224" i="1"/>
  <c r="K224" i="1"/>
  <c r="H225" i="1"/>
  <c r="I225" i="1" s="1"/>
  <c r="K225" i="1"/>
  <c r="H221" i="1"/>
  <c r="K221" i="1"/>
  <c r="C154" i="1"/>
  <c r="H218" i="1"/>
  <c r="K218" i="1"/>
  <c r="H223" i="1"/>
  <c r="K223" i="1"/>
  <c r="F202" i="1"/>
  <c r="F201" i="1"/>
  <c r="F207" i="1"/>
  <c r="F206" i="1"/>
  <c r="F205" i="1"/>
  <c r="A205" i="1"/>
  <c r="A206" i="1" s="1"/>
  <c r="A207" i="1" s="1"/>
  <c r="A208" i="1" s="1"/>
  <c r="A209" i="1" s="1"/>
  <c r="F204" i="1"/>
  <c r="G190" i="1"/>
  <c r="G195" i="1"/>
  <c r="G194" i="1"/>
  <c r="G193" i="1"/>
  <c r="G192" i="1"/>
  <c r="G191" i="1"/>
  <c r="E195" i="1"/>
  <c r="D195" i="1"/>
  <c r="E194" i="1"/>
  <c r="D194" i="1"/>
  <c r="E193" i="1"/>
  <c r="D193" i="1"/>
  <c r="E192" i="1"/>
  <c r="D192" i="1"/>
  <c r="E191" i="1"/>
  <c r="D191" i="1"/>
  <c r="D190" i="1"/>
  <c r="I190" i="1"/>
  <c r="F200" i="1"/>
  <c r="F199" i="1"/>
  <c r="F198" i="1"/>
  <c r="A198" i="1"/>
  <c r="A199" i="1" s="1"/>
  <c r="A200" i="1" s="1"/>
  <c r="A201" i="1" s="1"/>
  <c r="A202" i="1" s="1"/>
  <c r="F197" i="1"/>
  <c r="D181" i="1"/>
  <c r="F181" i="1" s="1"/>
  <c r="H181" i="1" s="1"/>
  <c r="D180" i="1"/>
  <c r="F180" i="1" s="1"/>
  <c r="H180" i="1" s="1"/>
  <c r="D179" i="1"/>
  <c r="F179" i="1" s="1"/>
  <c r="H179" i="1" s="1"/>
  <c r="D178" i="1"/>
  <c r="F178" i="1" s="1"/>
  <c r="H178" i="1" s="1"/>
  <c r="D177" i="1"/>
  <c r="F177" i="1" s="1"/>
  <c r="H177" i="1" s="1"/>
  <c r="D176" i="1"/>
  <c r="F176" i="1" s="1"/>
  <c r="H176" i="1" s="1"/>
  <c r="D175" i="1"/>
  <c r="F175" i="1" s="1"/>
  <c r="H175" i="1" s="1"/>
  <c r="D174" i="1"/>
  <c r="F174" i="1" s="1"/>
  <c r="H174" i="1" s="1"/>
  <c r="D173" i="1"/>
  <c r="F173" i="1" s="1"/>
  <c r="H173" i="1" s="1"/>
  <c r="D172" i="1"/>
  <c r="I172" i="1"/>
  <c r="I176" i="1"/>
  <c r="I178" i="1"/>
  <c r="I177" i="1"/>
  <c r="A173" i="1"/>
  <c r="A174" i="1" s="1"/>
  <c r="A175" i="1" s="1"/>
  <c r="A176" i="1" s="1"/>
  <c r="A177" i="1" s="1"/>
  <c r="A178" i="1" s="1"/>
  <c r="A179" i="1" s="1"/>
  <c r="A180" i="1" s="1"/>
  <c r="A181" i="1" s="1"/>
  <c r="D170" i="1"/>
  <c r="D169" i="1"/>
  <c r="D168" i="1"/>
  <c r="D167" i="1"/>
  <c r="D166" i="1"/>
  <c r="D165" i="1"/>
  <c r="I170" i="1"/>
  <c r="I167" i="1"/>
  <c r="I166" i="1"/>
  <c r="F195" i="1" l="1"/>
  <c r="H195" i="1" s="1"/>
  <c r="H215" i="1"/>
  <c r="L215" i="1" s="1"/>
  <c r="K208" i="1"/>
  <c r="E154" i="1"/>
  <c r="C148" i="1"/>
  <c r="C149" i="1"/>
  <c r="C153" i="1"/>
  <c r="C156" i="1" s="1"/>
  <c r="F194" i="1"/>
  <c r="K194" i="1" s="1"/>
  <c r="H201" i="1"/>
  <c r="K201" i="1"/>
  <c r="H198" i="1"/>
  <c r="K198" i="1"/>
  <c r="F172" i="1"/>
  <c r="H172" i="1" s="1"/>
  <c r="G149" i="1" s="1"/>
  <c r="H200" i="1"/>
  <c r="K200" i="1"/>
  <c r="H202" i="1"/>
  <c r="K202" i="1"/>
  <c r="H205" i="1"/>
  <c r="J205" i="1" s="1"/>
  <c r="I205" i="1" s="1"/>
  <c r="K205" i="1"/>
  <c r="H204" i="1"/>
  <c r="J204" i="1" s="1"/>
  <c r="I204" i="1" s="1"/>
  <c r="K204" i="1"/>
  <c r="H199" i="1"/>
  <c r="K199" i="1"/>
  <c r="H207" i="1"/>
  <c r="J207" i="1" s="1"/>
  <c r="I207" i="1" s="1"/>
  <c r="K207" i="1"/>
  <c r="H206" i="1"/>
  <c r="J206" i="1" s="1"/>
  <c r="I206" i="1" s="1"/>
  <c r="K206" i="1"/>
  <c r="H197" i="1"/>
  <c r="K197" i="1"/>
  <c r="F170" i="1"/>
  <c r="H170" i="1" s="1"/>
  <c r="F169" i="1"/>
  <c r="H169" i="1" s="1"/>
  <c r="K195" i="1" l="1"/>
  <c r="C157" i="1"/>
  <c r="H194" i="1"/>
  <c r="G154" i="1"/>
  <c r="E149" i="1"/>
  <c r="F165" i="1" l="1"/>
  <c r="H165" i="1" s="1"/>
  <c r="E31" i="1" l="1"/>
  <c r="E26" i="1"/>
  <c r="F190" i="1" l="1"/>
  <c r="H190" i="1" l="1"/>
  <c r="K190"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E42" i="7"/>
  <c r="I42" i="7"/>
  <c r="H42" i="7" s="1"/>
  <c r="D42" i="7"/>
  <c r="D44" i="7" s="1"/>
  <c r="E44" i="7"/>
  <c r="B265" i="1" l="1"/>
  <c r="F166" i="1" l="1"/>
  <c r="F167" i="1"/>
  <c r="H167" i="1" s="1"/>
  <c r="F168" i="1"/>
  <c r="H168" i="1" s="1"/>
  <c r="H166" i="1" l="1"/>
  <c r="G148" i="1" s="1"/>
  <c r="E148" i="1"/>
  <c r="G58" i="1"/>
  <c r="C58" i="1"/>
  <c r="G56" i="1"/>
  <c r="C56" i="1"/>
  <c r="C54" i="1"/>
  <c r="S33" i="1" l="1"/>
  <c r="F11" i="5" l="1"/>
  <c r="G11" i="5" s="1"/>
  <c r="F10" i="5"/>
  <c r="G10" i="5" s="1"/>
  <c r="F9" i="5"/>
  <c r="G9" i="5" s="1"/>
  <c r="F8" i="5"/>
  <c r="G8" i="5" s="1"/>
  <c r="F7" i="5"/>
  <c r="G7" i="5" s="1"/>
  <c r="F6" i="5"/>
  <c r="G6" i="5" s="1"/>
  <c r="F5" i="5"/>
  <c r="G5" i="5" s="1"/>
  <c r="G12" i="5" s="1"/>
  <c r="D288" i="1"/>
  <c r="B266" i="1"/>
  <c r="F262" i="1"/>
  <c r="H262" i="1" s="1"/>
  <c r="F261" i="1"/>
  <c r="H261" i="1" s="1"/>
  <c r="F260" i="1"/>
  <c r="H260" i="1" s="1"/>
  <c r="F259" i="1"/>
  <c r="H259" i="1" s="1"/>
  <c r="F258" i="1"/>
  <c r="H258" i="1" s="1"/>
  <c r="F256" i="1"/>
  <c r="H256" i="1" s="1"/>
  <c r="F255" i="1"/>
  <c r="H255" i="1" s="1"/>
  <c r="F254" i="1"/>
  <c r="H254" i="1" s="1"/>
  <c r="F253" i="1"/>
  <c r="H253" i="1" s="1"/>
  <c r="F252" i="1"/>
  <c r="H252" i="1" s="1"/>
  <c r="F250" i="1"/>
  <c r="H250" i="1" s="1"/>
  <c r="F249" i="1"/>
  <c r="H249" i="1" s="1"/>
  <c r="F248" i="1"/>
  <c r="H248" i="1" s="1"/>
  <c r="F247" i="1"/>
  <c r="H247" i="1" s="1"/>
  <c r="F246" i="1"/>
  <c r="H246" i="1" s="1"/>
  <c r="F244" i="1"/>
  <c r="H244" i="1" s="1"/>
  <c r="F243" i="1"/>
  <c r="H243" i="1" s="1"/>
  <c r="F242" i="1"/>
  <c r="H242" i="1" s="1"/>
  <c r="F241" i="1"/>
  <c r="H241" i="1" s="1"/>
  <c r="F240" i="1"/>
  <c r="H240" i="1" s="1"/>
  <c r="A240" i="1"/>
  <c r="A241" i="1" s="1"/>
  <c r="A242" i="1" s="1"/>
  <c r="A243" i="1" s="1"/>
  <c r="A244" i="1" s="1"/>
  <c r="F193" i="1"/>
  <c r="F192" i="1"/>
  <c r="F191" i="1"/>
  <c r="A191" i="1"/>
  <c r="A192" i="1" s="1"/>
  <c r="A193" i="1" s="1"/>
  <c r="A194" i="1" s="1"/>
  <c r="A195" i="1" s="1"/>
  <c r="A166" i="1"/>
  <c r="A167" i="1" s="1"/>
  <c r="A168" i="1" s="1"/>
  <c r="A169" i="1" s="1"/>
  <c r="A170" i="1" s="1"/>
  <c r="F145" i="1"/>
  <c r="B76" i="1"/>
  <c r="D62" i="1"/>
  <c r="G51" i="1"/>
  <c r="G52" i="1" s="1"/>
  <c r="C51" i="1"/>
  <c r="C52" i="1" s="1"/>
  <c r="E44" i="1"/>
  <c r="E45" i="1" s="1"/>
  <c r="E28" i="1"/>
  <c r="C16" i="1"/>
  <c r="I15" i="1"/>
  <c r="Z13" i="1"/>
  <c r="E8" i="1"/>
  <c r="E3" i="1"/>
  <c r="D69" i="1" s="1"/>
  <c r="H76" i="1"/>
  <c r="A252" i="1"/>
  <c r="A246" i="1"/>
  <c r="A258" i="1"/>
  <c r="H191" i="1" l="1"/>
  <c r="K191" i="1"/>
  <c r="E153" i="1"/>
  <c r="H192" i="1"/>
  <c r="K192" i="1"/>
  <c r="H193" i="1"/>
  <c r="K193" i="1"/>
  <c r="J75" i="1"/>
  <c r="J77" i="1" s="1"/>
  <c r="J78" i="1"/>
  <c r="J79" i="1"/>
  <c r="J80" i="1"/>
  <c r="C79" i="1" s="1"/>
  <c r="D83" i="1"/>
  <c r="D85" i="1"/>
  <c r="D84" i="1"/>
  <c r="D88" i="1"/>
  <c r="D82" i="1"/>
  <c r="D87" i="1"/>
  <c r="D81" i="1"/>
  <c r="D86" i="1"/>
  <c r="J81" i="1"/>
  <c r="A259" i="1"/>
  <c r="A247" i="1"/>
  <c r="A253" i="1"/>
  <c r="E156" i="1" l="1"/>
  <c r="E157" i="1"/>
  <c r="G153" i="1"/>
  <c r="D79" i="1"/>
  <c r="J85" i="1"/>
  <c r="J83" i="1"/>
  <c r="J84" i="1"/>
  <c r="J82" i="1"/>
  <c r="J87" i="1" s="1"/>
  <c r="J88" i="1" s="1"/>
  <c r="C80" i="1" s="1"/>
  <c r="J86" i="1"/>
  <c r="A254" i="1"/>
  <c r="A260" i="1"/>
  <c r="A248" i="1"/>
  <c r="G156" i="1" l="1"/>
  <c r="G157" i="1"/>
  <c r="B90" i="1"/>
  <c r="B106" i="1"/>
  <c r="J76" i="1"/>
  <c r="E79" i="1"/>
  <c r="D80" i="1"/>
  <c r="G79" i="1"/>
  <c r="A261" i="1"/>
  <c r="A249" i="1"/>
  <c r="H90" i="1"/>
  <c r="A255" i="1"/>
  <c r="H106" i="1"/>
  <c r="D73" i="1" l="1"/>
  <c r="D74" i="1" s="1"/>
  <c r="J94" i="1"/>
  <c r="C93" i="1" s="1"/>
  <c r="D93" i="1" s="1"/>
  <c r="J92" i="1"/>
  <c r="J89" i="1"/>
  <c r="J91" i="1" s="1"/>
  <c r="D102" i="1"/>
  <c r="D101" i="1"/>
  <c r="D100" i="1"/>
  <c r="D99" i="1"/>
  <c r="D98" i="1"/>
  <c r="D97" i="1"/>
  <c r="D96" i="1"/>
  <c r="D95" i="1"/>
  <c r="J93" i="1"/>
  <c r="J100" i="1"/>
  <c r="J99" i="1"/>
  <c r="J98" i="1"/>
  <c r="J97" i="1"/>
  <c r="J95" i="1"/>
  <c r="I76" i="1"/>
  <c r="I77" i="1" s="1"/>
  <c r="I75" i="1" s="1"/>
  <c r="C77" i="1" s="1"/>
  <c r="J108" i="1"/>
  <c r="D118" i="1"/>
  <c r="D112" i="1"/>
  <c r="J110" i="1"/>
  <c r="C109" i="1" s="1"/>
  <c r="D116" i="1"/>
  <c r="J105" i="1"/>
  <c r="D113" i="1"/>
  <c r="D117" i="1"/>
  <c r="D111" i="1"/>
  <c r="D115" i="1"/>
  <c r="J109" i="1"/>
  <c r="D114" i="1"/>
  <c r="J111" i="1"/>
  <c r="J116" i="1"/>
  <c r="J115" i="1"/>
  <c r="J114" i="1"/>
  <c r="J113" i="1"/>
  <c r="A250" i="1"/>
  <c r="A256" i="1"/>
  <c r="A262" i="1"/>
  <c r="J112" i="1" l="1"/>
  <c r="J117" i="1" s="1"/>
  <c r="J118" i="1" s="1"/>
  <c r="C110" i="1" s="1"/>
  <c r="D110" i="1" s="1"/>
  <c r="F74" i="1"/>
  <c r="J107" i="1"/>
  <c r="J96" i="1"/>
  <c r="J101" i="1" s="1"/>
  <c r="J102" i="1" s="1"/>
  <c r="C94" i="1"/>
  <c r="E93" i="1" s="1"/>
  <c r="C103" i="1" s="1"/>
  <c r="B120" i="1"/>
  <c r="D109" i="1"/>
  <c r="H120" i="1"/>
  <c r="G109" i="1" l="1"/>
  <c r="E109" i="1"/>
  <c r="J90" i="1"/>
  <c r="D94" i="1"/>
  <c r="I90" i="1" s="1"/>
  <c r="I91" i="1" s="1"/>
  <c r="G93" i="1"/>
  <c r="G103" i="1" s="1"/>
  <c r="J122" i="1"/>
  <c r="D131" i="1"/>
  <c r="J124" i="1"/>
  <c r="D130" i="1"/>
  <c r="D129" i="1"/>
  <c r="J123" i="1"/>
  <c r="J119" i="1"/>
  <c r="J121" i="1" s="1"/>
  <c r="D127" i="1"/>
  <c r="D132" i="1"/>
  <c r="D126" i="1"/>
  <c r="D125" i="1"/>
  <c r="D128" i="1"/>
  <c r="I106" i="1"/>
  <c r="I107" i="1" s="1"/>
  <c r="J129" i="1"/>
  <c r="J127" i="1"/>
  <c r="J125" i="1"/>
  <c r="J126" i="1" s="1"/>
  <c r="J131" i="1" s="1"/>
  <c r="J132" i="1" s="1"/>
  <c r="C124" i="1" s="1"/>
  <c r="J130" i="1"/>
  <c r="J128" i="1"/>
  <c r="J106" i="1"/>
  <c r="C123" i="1" l="1"/>
  <c r="D123" i="1" s="1"/>
  <c r="J120" i="1" s="1"/>
  <c r="I89" i="1"/>
  <c r="C91" i="1" s="1"/>
  <c r="I105" i="1"/>
  <c r="C107" i="1" s="1"/>
  <c r="E123" i="1"/>
  <c r="D124" i="1"/>
  <c r="G123" i="1" l="1"/>
  <c r="I120" i="1"/>
  <c r="I121" i="1" s="1"/>
  <c r="I119" i="1" l="1"/>
  <c r="C12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<sst xmlns="http://schemas.openxmlformats.org/spreadsheetml/2006/main" count="784" uniqueCount="415">
  <si>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</si>
  <si>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</si>
  <si>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</si>
  <si>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</si>
  <si>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</si>
  <si>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</si>
  <si>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</si>
  <si>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</si>
  <si>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</si>
  <si>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</si>
  <si>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</si>
  <si>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</si>
  <si>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</si>
  <si>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</si>
  <si>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</si>
  <si>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</si>
  <si>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</si>
  <si>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</si>
  <si>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</si>
  <si>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</si>
  <si>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</si>
  <si>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</si>
  <si>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</si>
  <si>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</si>
  <si>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</si>
  <si>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</si>
  <si>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</si>
  <si>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</si>
  <si>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</si>
  <si>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</si>
  <si>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</si>
  <si>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</si>
  <si>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</si>
  <si>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</si>
  <si>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</si>
  <si>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</si>
  <si>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</si>
  <si>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</si>
  <si>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</si>
  <si>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</si>
  <si>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</si>
  <si>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</si>
  <si>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</si>
  <si>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</si>
  <si>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</si>
  <si>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</si>
  <si>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</si>
  <si>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</si>
  <si>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</si>
  <si>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</si>
  <si>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</si>
  <si>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</si>
  <si>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</si>
  <si>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</si>
  <si>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</si>
  <si>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</si>
  <si>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</si>
  <si>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</si>
  <si>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</si>
  <si>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</si>
  <si>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</si>
  <si>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</si>
  <si>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</si>
  <si>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</si>
  <si>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</si>
  <si>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</si>
  <si>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</si>
  <si>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</si>
  <si>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</si>
  <si>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</si>
  <si>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</si>
  <si>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</si>
  <si>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</si>
  <si>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</si>
  <si>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</si>
  <si>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</si>
  <si>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</si>
  <si>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</si>
  <si>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</si>
  <si>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</si>
  <si>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</si>
  <si>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</si>
  <si>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</si>
  <si>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</si>
  <si>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</si>
  <si>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</si>
  <si>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</si>
  <si>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</si>
  <si>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</si>
  <si>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</si>
  <si>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</si>
  <si>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</si>
  <si>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</si>
  <si>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</si>
  <si>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</si>
  <si>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</si>
  <si>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</si>
  <si>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</si>
  <si>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</si>
  <si>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</si>
  <si>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</si>
  <si>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</si>
  <si>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</si>
  <si>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</si>
  <si>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</si>
  <si>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</si>
  <si>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</si>
  <si>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</si>
  <si>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</si>
  <si>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</si>
  <si>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</si>
  <si>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</si>
  <si>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</si>
  <si>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</si>
  <si>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</si>
  <si>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</si>
  <si>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</si>
  <si>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</si>
  <si>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</si>
  <si>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</si>
  <si>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</si>
  <si>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</si>
  <si>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</si>
  <si>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</si>
  <si>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</si>
  <si>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</si>
  <si>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</si>
  <si>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</si>
  <si>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</si>
  <si>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</si>
  <si>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</si>
  <si>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</si>
  <si>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</si>
  <si>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</si>
  <si>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</si>
  <si>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</si>
  <si>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</si>
  <si>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</si>
  <si>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</si>
  <si>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</si>
  <si>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</si>
  <si>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</si>
  <si>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</si>
  <si>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</si>
  <si>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</si>
  <si>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</si>
  <si>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</si>
  <si>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</si>
  <si>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</si>
  <si>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</si>
  <si>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</si>
  <si>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</si>
  <si>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</si>
  <si>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</si>
  <si>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</si>
  <si>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</si>
  <si>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</si>
  <si>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</si>
  <si>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</si>
  <si>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</si>
  <si>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</si>
  <si>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</si>
  <si>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</si>
  <si>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</si>
  <si>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</si>
  <si>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</si>
  <si>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</si>
  <si>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</si>
  <si>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</si>
  <si>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</si>
  <si>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</si>
  <si>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</si>
  <si>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</si>
  <si>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</si>
  <si>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</si>
  <si>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</si>
  <si>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</si>
  <si>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</si>
  <si>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</si>
  <si>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</si>
  <si>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</si>
  <si>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</si>
  <si>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</si>
  <si>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</si>
  <si>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</si>
  <si>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</si>
  <si>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</si>
  <si>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</si>
  <si>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</si>
  <si>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</si>
  <si>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</si>
  <si>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</si>
  <si>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</si>
  <si>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</si>
  <si>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</si>
  <si>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</si>
  <si>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</si>
  <si>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</si>
  <si>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</si>
  <si>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</si>
  <si>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</si>
  <si>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</si>
  <si>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</si>
  <si>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</si>
  <si>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</si>
  <si>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</si>
  <si>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</si>
  <si>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</si>
  <si>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</si>
  <si>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</si>
  <si>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</si>
  <si>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</si>
  <si>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</si>
  <si>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</si>
  <si>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</si>
  <si>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</si>
  <si>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</si>
  <si>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</si>
  <si>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</si>
  <si>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</si>
  <si>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</si>
  <si>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</si>
  <si>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</si>
  <si>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</si>
  <si>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</si>
  <si>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</si>
  <si>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</si>
  <si>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</si>
  <si>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</si>
  <si>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</si>
  <si>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</si>
  <si>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</si>
  <si>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</si>
  <si>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</si>
  <si>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</si>
  <si>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</si>
  <si>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</si>
  <si>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</si>
  <si>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</si>
  <si>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</si>
  <si>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</si>
  <si>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</si>
  <si>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</si>
  <si>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</si>
  <si>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</si>
  <si>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</si>
  <si>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</si>
  <si>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</si>
  <si>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</si>
  <si>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</si>
  <si>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</si>
  <si>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</si>
  <si>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</si>
  <si>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</si>
  <si>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</si>
  <si>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</si>
  <si>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</si>
  <si>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</si>
  <si>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</si>
  <si>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</si>
  <si>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</si>
  <si>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</si>
  <si>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</si>
  <si>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</si>
  <si>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</si>
  <si>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</si>
  <si>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</si>
  <si>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</si>
  <si>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</si>
  <si>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</si>
  <si>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</si>
  <si>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</si>
  <si>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</si>
  <si>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</si>
  <si>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</si>
  <si>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</si>
  <si>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</si>
  <si>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</si>
  <si>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</si>
  <si>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</si>
  <si>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</si>
  <si>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</si>
  <si>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</si>
  <si>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</si>
  <si>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</si>
  <si>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</si>
  <si>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</si>
  <si>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</si>
  <si>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</si>
  <si>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</si>
  <si>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</si>
  <si>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</si>
  <si>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</si>
  <si>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</si>
  <si>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</si>
  <si>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</si>
  <si>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</si>
  <si>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</si>
  <si>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</si>
  <si>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</si>
  <si>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</si>
  <si>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</si>
  <si>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</si>
  <si>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</si>
  <si>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</si>
  <si>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</si>
  <si>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</si>
  <si>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</si>
  <si>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</si>
  <si>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</si>
  <si>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</si>
  <si>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</si>
  <si>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</si>
  <si>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</si>
  <si>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</si>
  <si>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</si>
  <si>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</si>
  <si>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</si>
  <si>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</si>
  <si>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</si>
  <si>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</si>
  <si>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</si>
  <si>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</si>
  <si>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</si>
  <si>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</si>
  <si>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</si>
  <si>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</si>
  <si>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</si>
  <si>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</si>
  <si>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</si>
  <si>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</si>
  <si>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</si>
  <si>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</si>
  <si>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</si>
  <si>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</si>
  <si>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</si>
  <si>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</si>
  <si>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</si>
  <si>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</si>
  <si>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</si>
  <si>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</si>
  <si>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</si>
  <si>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</si>
  <si>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P51700055667</t>
  </si>
  <si>
    <t>Shri Krishna Realty</t>
  </si>
  <si>
    <t>Trident Avalon</t>
  </si>
  <si>
    <t>Abhinav Awasthi 7666666585</t>
  </si>
  <si>
    <t>Vanrai Parn Co-operative Housing Society Ltd,
Vanrai Vihar Co-operative Housing Society Ltd, 
Vanrai Kunj Co-operative Housing Society Ltd, 
Vanrai Vistarit Building 1 &amp; 2 Co-operative Housing Society Ltd.</t>
  </si>
  <si>
    <t>Survey No</t>
  </si>
  <si>
    <t>93, H No.2, Redevelopement of "  Vanrai Parn Co-operative Housing Society Ltd ", " Vanrai Vihar Co-operative Housing Society Ltd ", " Vanrai Kunj Co-operative Housing Society Ltd ", " Vanrai Vistarit Building 1 &amp; 2 Co-operative Housing Society Ltd. "</t>
  </si>
  <si>
    <t>Katrap</t>
  </si>
  <si>
    <t>KBMCB/0011/2023/AutoDCR</t>
  </si>
  <si>
    <t>D (Type) = 1B + Stilt + 1st to 2nd Floor.</t>
  </si>
  <si>
    <t>As per RERA - 31/12/2026</t>
  </si>
  <si>
    <t>as per builder website</t>
  </si>
  <si>
    <t>https://www.tridentbadlapur.com/</t>
  </si>
  <si>
    <t>Part 2 A (Vanrai) = 1B + Gr. + 1st to 12th Floor</t>
  </si>
  <si>
    <t xml:space="preserve">Avg Progress % For Wing A </t>
  </si>
  <si>
    <t>Avg Disburstment % For Wing A</t>
  </si>
  <si>
    <t>19.170531,73.228298</t>
  </si>
  <si>
    <t>https://maps.app.goo.gl/bP6TijihE2DGVY8U9</t>
  </si>
  <si>
    <t>Ambernath-Badlapur Road</t>
  </si>
  <si>
    <t>Triveni Sangam</t>
  </si>
  <si>
    <t>Open Plot</t>
  </si>
  <si>
    <t>Residential Building</t>
  </si>
  <si>
    <t>S No.92</t>
  </si>
  <si>
    <t>S No.93 H No.2P</t>
  </si>
  <si>
    <t>30.00 M Wide DP Road</t>
  </si>
  <si>
    <t>Wing A</t>
  </si>
  <si>
    <t>Basement Floor For Parking</t>
  </si>
  <si>
    <t xml:space="preserve">Ground Floor For Commercial &amp; Entrance Lobby </t>
  </si>
  <si>
    <t>Shop</t>
  </si>
  <si>
    <t>Office</t>
  </si>
  <si>
    <t>1st &amp; 2nd Floor For Commercial</t>
  </si>
  <si>
    <t>Wing A(Office)</t>
  </si>
  <si>
    <t>Wing A(Shop)</t>
  </si>
  <si>
    <t>3rd Floor For Residential</t>
  </si>
  <si>
    <t>2BHK</t>
  </si>
  <si>
    <t>3BHK</t>
  </si>
  <si>
    <t>AP Area+Encl.Balcony Area</t>
  </si>
  <si>
    <t>4th to 7th, 9th to 12th Floor</t>
  </si>
  <si>
    <t>8th Floor (Part Refuge Area)</t>
  </si>
  <si>
    <t>1BHK</t>
  </si>
  <si>
    <t>Wing B</t>
  </si>
  <si>
    <t>Basement &amp; Ground Floor For Parking</t>
  </si>
  <si>
    <t>1st to 6th Floor For Residential</t>
  </si>
  <si>
    <t>7th, 9th to 12th Floor</t>
  </si>
  <si>
    <t>Wing C</t>
  </si>
  <si>
    <t>A, B &amp; C(Vanrai) = 1B + Gr./Stilt + 1st to 12th Floor.</t>
  </si>
  <si>
    <t>We considered Gross carpet area = Net carpet + Enclose balcony + A.P Area.</t>
  </si>
  <si>
    <t>Wing A, B &amp; C (Vanrai )</t>
  </si>
  <si>
    <t>1st to 7th &amp; 9th to 12th Floor</t>
  </si>
  <si>
    <t>1.6KM from Badlapur Railway Station</t>
  </si>
  <si>
    <t>Badlapur East</t>
  </si>
  <si>
    <t>Sudhir Bhosale</t>
  </si>
  <si>
    <t>Wing A, B &amp; C = 1B + Gr./Stilt + 1st to 12th Floor.</t>
  </si>
  <si>
    <t>Wing A  = 1B + Gr. + 1st to 12th Floor</t>
  </si>
  <si>
    <t>Wing B &amp; C = 1B + Stilt + 1st to 12th Floor</t>
  </si>
  <si>
    <t>http://tridentavalon.com/</t>
  </si>
  <si>
    <t>Flats - 156, Shops - 06, Offices - 20</t>
  </si>
  <si>
    <t>6.00 M W Internal Road/ S No.39</t>
  </si>
  <si>
    <t>CC refered from RERA</t>
  </si>
  <si>
    <r>
      <t xml:space="preserve">Proposed Amenities :                                                                                                                                                                                                                         </t>
    </r>
    <r>
      <rPr>
        <b/>
        <sz val="12"/>
        <rFont val="Times New Roman"/>
        <family val="1"/>
      </rPr>
      <t xml:space="preserve">                                               </t>
    </r>
  </si>
  <si>
    <r>
      <t xml:space="preserve">Shop No.
</t>
    </r>
    <r>
      <rPr>
        <b/>
        <sz val="11"/>
        <color theme="1"/>
        <rFont val="Times New Roman"/>
        <family val="1"/>
      </rPr>
      <t>(Approved Plan)</t>
    </r>
  </si>
  <si>
    <r>
      <t xml:space="preserve">Flat No.
</t>
    </r>
    <r>
      <rPr>
        <b/>
        <sz val="11"/>
        <color theme="1"/>
        <rFont val="Times New Roman"/>
        <family val="1"/>
      </rPr>
      <t>(Approved Plan)</t>
    </r>
  </si>
  <si>
    <t>Gymnasium, Indoor Games, CCTV in Common Areas, Rain Water Harvesting, Power Backup, etc.</t>
  </si>
  <si>
    <t>7 to 8K</t>
  </si>
  <si>
    <t>Approved Plans, Cost Sheet</t>
  </si>
  <si>
    <t>We have referred CC from RERA site on 19/07/2024.</t>
  </si>
  <si>
    <t>Wing B = 1B + Stilt + 1st to 12th Floor</t>
  </si>
  <si>
    <t>Wing C = 1B + Stilt + 1st to 12th Floor</t>
  </si>
  <si>
    <t>Wing A (Vanrai) = 1B + Gr. + 1st to 12th Floor</t>
  </si>
  <si>
    <t>03 Buildings</t>
  </si>
  <si>
    <t>Shruti Tathare</t>
  </si>
  <si>
    <t>Wing A to C = 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</si>
</sst>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9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top" wrapText="1"/>
      <protection locked="0"/>
    </xf>
    <xf numFmtId="9" fontId="6" fillId="0" borderId="3" xfId="8" applyFont="1" applyFill="1" applyBorder="1" applyAlignment="1" applyProtection="1">
      <alignment horizontal="center" vertical="top" wrapText="1"/>
      <protection locked="0"/>
    </xf>
    <xf numFmtId="1" fontId="5" fillId="0" borderId="0" xfId="1" applyNumberFormat="1" applyFont="1" applyBorder="1" applyAlignment="1" applyProtection="1">
      <alignment horizontal="center" vertical="center" wrapText="1"/>
      <protection locked="0"/>
    </xf>
    <xf numFmtId="0" fontId="25" fillId="0" borderId="0" xfId="10"/>
    <xf numFmtId="0" fontId="16" fillId="0" borderId="0" xfId="1" applyFont="1"/>
    <xf numFmtId="0" fontId="6" fillId="0" borderId="0" xfId="1" applyFont="1" applyAlignment="1">
      <alignment horizontal="center" vertical="center"/>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3" xfId="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64" fontId="6" fillId="0" borderId="0" xfId="1" applyNumberFormat="1" applyFont="1" applyAlignment="1">
      <alignment horizontal="center" vertical="center"/>
    </xf>
    <xf numFmtId="2" fontId="6" fillId="0" borderId="0" xfId="1" applyNumberFormat="1" applyFont="1" applyAlignment="1">
      <alignment horizontal="center" vertical="center"/>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8" xfId="1" applyNumberFormat="1" applyFont="1" applyFill="1" applyBorder="1" applyAlignment="1" applyProtection="1">
      <alignment horizontal="center" vertical="center" wrapText="1"/>
      <protection locked="0"/>
    </xf>
    <xf numFmtId="1" fontId="7" fillId="0" borderId="21" xfId="1" applyNumberFormat="1" applyFont="1" applyFill="1" applyBorder="1" applyAlignment="1" applyProtection="1">
      <alignment horizontal="center" vertical="center" wrapText="1"/>
      <protection locked="0"/>
    </xf>
    <xf numFmtId="1" fontId="7" fillId="0" borderId="9" xfId="1" applyNumberFormat="1" applyFont="1" applyFill="1" applyBorder="1" applyAlignment="1" applyProtection="1">
      <alignment horizontal="center" vertical="center"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9" fillId="0" borderId="35"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9" fillId="0" borderId="19" xfId="1" applyFont="1" applyBorder="1" applyAlignment="1" applyProtection="1">
      <alignment horizontal="left" vertical="top" wrapText="1"/>
      <protection locked="0"/>
    </xf>
    <xf numFmtId="0" fontId="9" fillId="0" borderId="2" xfId="1" applyFont="1" applyBorder="1" applyAlignment="1" applyProtection="1">
      <alignment horizontal="left" vertical="top" wrapText="1"/>
      <protection locked="0"/>
    </xf>
    <xf numFmtId="0" fontId="9" fillId="0" borderId="36"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6" fillId="0" borderId="34"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14" fillId="0" borderId="1" xfId="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7" fillId="0" borderId="16" xfId="1" applyFont="1" applyBorder="1" applyAlignment="1" applyProtection="1">
      <alignment horizontal="center" vertical="top"/>
      <protection locked="0"/>
    </xf>
    <xf numFmtId="1" fontId="5" fillId="0" borderId="21" xfId="1" applyNumberFormat="1" applyFont="1" applyBorder="1" applyAlignment="1" applyProtection="1">
      <alignment horizontal="center" vertical="center"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7" fillId="0" borderId="16"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11" fillId="0" borderId="1" xfId="1" applyNumberFormat="1" applyFont="1" applyBorder="1" applyAlignment="1" applyProtection="1">
      <alignment horizontal="left" vertical="top" wrapText="1"/>
      <protection locked="0"/>
    </xf>
    <xf numFmtId="0" fontId="6" fillId="6" borderId="37" xfId="1" applyFont="1" applyFill="1" applyBorder="1" applyAlignment="1" applyProtection="1">
      <alignment horizontal="center" vertical="center" wrapText="1"/>
      <protection locked="0"/>
    </xf>
    <xf numFmtId="0" fontId="6" fillId="6" borderId="30" xfId="1" applyFont="1" applyFill="1" applyBorder="1" applyAlignment="1" applyProtection="1">
      <alignment horizontal="center" vertical="center" wrapText="1"/>
      <protection locked="0"/>
    </xf>
    <xf numFmtId="0" fontId="6" fillId="6" borderId="6" xfId="1" applyFont="1" applyFill="1" applyBorder="1" applyAlignment="1" applyProtection="1">
      <alignment horizontal="center" vertical="center" wrapText="1"/>
      <protection locked="0"/>
    </xf>
    <xf numFmtId="0" fontId="6" fillId="6" borderId="7" xfId="1" applyFont="1" applyFill="1" applyBorder="1" applyAlignment="1" applyProtection="1">
      <alignment horizontal="center" vertical="center" wrapText="1"/>
      <protection locked="0"/>
    </xf>
    <xf numFmtId="9" fontId="6" fillId="6" borderId="30" xfId="1" applyNumberFormat="1" applyFont="1" applyFill="1" applyBorder="1" applyAlignment="1" applyProtection="1">
      <alignment horizontal="center" vertical="center" wrapText="1"/>
      <protection locked="0"/>
    </xf>
    <xf numFmtId="0" fontId="6" fillId="6" borderId="31" xfId="1" applyFont="1" applyFill="1" applyBorder="1" applyAlignment="1" applyProtection="1">
      <alignment horizontal="center" vertical="center" wrapText="1"/>
      <protection locked="0"/>
    </xf>
    <xf numFmtId="0" fontId="6" fillId="6" borderId="38" xfId="1" applyFont="1" applyFill="1" applyBorder="1" applyAlignment="1" applyProtection="1">
      <alignment horizontal="center" vertical="center"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xdr:from>
      <xdr:col>2</xdr:col>
      <xdr:colOff>525780</xdr:colOff>
      <xdr:row>306</xdr:row>
      <xdr:rowOff>132494</xdr:rowOff>
    </xdr:from>
    <xdr:to>
      <xdr:col>2</xdr:col>
      <xdr:colOff>710511</xdr:colOff>
      <xdr:row>308</xdr:row>
      <xdr:rowOff>101776</xdr:rowOff>
    </xdr:to>
    <xdr:sp macro="" textlink="">
      <xdr:nvSpPr>
        <xdr:cNvPr id="3" name="TextBox 32"/>
        <xdr:cNvSpPr txBox="1"/>
      </xdr:nvSpPr>
      <xdr:spPr>
        <a:xfrm>
          <a:off x="2087880" y="56844344"/>
          <a:ext cx="184731" cy="369332"/>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1</xdr:col>
      <xdr:colOff>632047</xdr:colOff>
      <xdr:row>331</xdr:row>
      <xdr:rowOff>28574</xdr:rowOff>
    </xdr:from>
    <xdr:to>
      <xdr:col>5</xdr:col>
      <xdr:colOff>742949</xdr:colOff>
      <xdr:row>351</xdr:row>
      <xdr:rowOff>38099</xdr:rowOff>
    </xdr:to>
    <xdr:grpSp>
      <xdr:nvGrpSpPr>
        <xdr:cNvPr id="12" name="Group 11"/>
        <xdr:cNvGrpSpPr/>
      </xdr:nvGrpSpPr>
      <xdr:grpSpPr>
        <a:xfrm>
          <a:off x="1394047" y="60445649"/>
          <a:ext cx="3454177" cy="4010025"/>
          <a:chOff x="1811548" y="920082"/>
          <a:chExt cx="3191774" cy="3943350"/>
        </a:xfrm>
      </xdr:grpSpPr>
      <xdr:pic>
        <xdr:nvPicPr>
          <xdr:cNvPr id="20" name="Picture 19"/>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811548" y="920082"/>
            <a:ext cx="3191774" cy="3943350"/>
          </a:xfrm>
          <a:prstGeom prst="rect">
            <a:avLst/>
          </a:prstGeom>
          <a:ln>
            <a:solidFill>
              <a:schemeClr val="tx1"/>
            </a:solidFill>
          </a:ln>
        </xdr:spPr>
      </xdr:pic>
      <xdr:sp macro="" textlink="">
        <xdr:nvSpPr>
          <xdr:cNvPr id="21" name="Freeform 20"/>
          <xdr:cNvSpPr/>
        </xdr:nvSpPr>
        <xdr:spPr>
          <a:xfrm>
            <a:off x="3321050" y="3105150"/>
            <a:ext cx="400050" cy="533400"/>
          </a:xfrm>
          <a:custGeom>
            <a:avLst/>
            <a:gdLst>
              <a:gd name="connsiteX0" fmla="*/ 0 w 400050"/>
              <a:gd name="connsiteY0" fmla="*/ 177800 h 533400"/>
              <a:gd name="connsiteX1" fmla="*/ 190500 w 400050"/>
              <a:gd name="connsiteY1" fmla="*/ 0 h 533400"/>
              <a:gd name="connsiteX2" fmla="*/ 400050 w 400050"/>
              <a:gd name="connsiteY2" fmla="*/ 63500 h 533400"/>
              <a:gd name="connsiteX3" fmla="*/ 387350 w 400050"/>
              <a:gd name="connsiteY3" fmla="*/ 381000 h 533400"/>
              <a:gd name="connsiteX4" fmla="*/ 209550 w 400050"/>
              <a:gd name="connsiteY4" fmla="*/ 533400 h 533400"/>
              <a:gd name="connsiteX5" fmla="*/ 31750 w 400050"/>
              <a:gd name="connsiteY5" fmla="*/ 444500 h 533400"/>
              <a:gd name="connsiteX6" fmla="*/ 107950 w 400050"/>
              <a:gd name="connsiteY6" fmla="*/ 279400 h 533400"/>
              <a:gd name="connsiteX7" fmla="*/ 0 w 400050"/>
              <a:gd name="connsiteY7" fmla="*/ 177800 h 533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00050" h="533400">
                <a:moveTo>
                  <a:pt x="0" y="177800"/>
                </a:moveTo>
                <a:lnTo>
                  <a:pt x="190500" y="0"/>
                </a:lnTo>
                <a:lnTo>
                  <a:pt x="400050" y="63500"/>
                </a:lnTo>
                <a:lnTo>
                  <a:pt x="387350" y="381000"/>
                </a:lnTo>
                <a:lnTo>
                  <a:pt x="209550" y="533400"/>
                </a:lnTo>
                <a:lnTo>
                  <a:pt x="31750" y="444500"/>
                </a:lnTo>
                <a:lnTo>
                  <a:pt x="107950" y="279400"/>
                </a:lnTo>
                <a:lnTo>
                  <a:pt x="0" y="1778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571500</xdr:colOff>
      <xdr:row>352</xdr:row>
      <xdr:rowOff>54002</xdr:rowOff>
    </xdr:from>
    <xdr:to>
      <xdr:col>6</xdr:col>
      <xdr:colOff>264345</xdr:colOff>
      <xdr:row>369</xdr:row>
      <xdr:rowOff>73577</xdr:rowOff>
    </xdr:to>
    <xdr:grpSp>
      <xdr:nvGrpSpPr>
        <xdr:cNvPr id="13" name="Group 12"/>
        <xdr:cNvGrpSpPr/>
      </xdr:nvGrpSpPr>
      <xdr:grpSpPr>
        <a:xfrm>
          <a:off x="1333500" y="64671602"/>
          <a:ext cx="3779070" cy="3420000"/>
          <a:chOff x="1559007" y="4965032"/>
          <a:chExt cx="3779070" cy="3420000"/>
        </a:xfrm>
      </xdr:grpSpPr>
      <xdr:pic>
        <xdr:nvPicPr>
          <xdr:cNvPr id="14" name="Picture 1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559007" y="4965032"/>
            <a:ext cx="3667826" cy="3420000"/>
          </a:xfrm>
          <a:prstGeom prst="rect">
            <a:avLst/>
          </a:prstGeom>
          <a:ln>
            <a:solidFill>
              <a:schemeClr val="tx1"/>
            </a:solidFill>
          </a:ln>
        </xdr:spPr>
      </xdr:pic>
      <xdr:sp macro="" textlink="">
        <xdr:nvSpPr>
          <xdr:cNvPr id="15" name="Freeform 14"/>
          <xdr:cNvSpPr/>
        </xdr:nvSpPr>
        <xdr:spPr>
          <a:xfrm>
            <a:off x="2082800" y="5080000"/>
            <a:ext cx="2819400" cy="2432050"/>
          </a:xfrm>
          <a:custGeom>
            <a:avLst/>
            <a:gdLst>
              <a:gd name="connsiteX0" fmla="*/ 1428750 w 2819400"/>
              <a:gd name="connsiteY0" fmla="*/ 457200 h 2432050"/>
              <a:gd name="connsiteX1" fmla="*/ 596900 w 2819400"/>
              <a:gd name="connsiteY1" fmla="*/ 88900 h 2432050"/>
              <a:gd name="connsiteX2" fmla="*/ 0 w 2819400"/>
              <a:gd name="connsiteY2" fmla="*/ 933450 h 2432050"/>
              <a:gd name="connsiteX3" fmla="*/ 444500 w 2819400"/>
              <a:gd name="connsiteY3" fmla="*/ 1981200 h 2432050"/>
              <a:gd name="connsiteX4" fmla="*/ 1968500 w 2819400"/>
              <a:gd name="connsiteY4" fmla="*/ 2432050 h 2432050"/>
              <a:gd name="connsiteX5" fmla="*/ 2819400 w 2819400"/>
              <a:gd name="connsiteY5" fmla="*/ 920750 h 2432050"/>
              <a:gd name="connsiteX6" fmla="*/ 2393950 w 2819400"/>
              <a:gd name="connsiteY6" fmla="*/ 0 h 2432050"/>
              <a:gd name="connsiteX7" fmla="*/ 1428750 w 2819400"/>
              <a:gd name="connsiteY7" fmla="*/ 457200 h 2432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819400" h="2432050">
                <a:moveTo>
                  <a:pt x="1428750" y="457200"/>
                </a:moveTo>
                <a:lnTo>
                  <a:pt x="596900" y="88900"/>
                </a:lnTo>
                <a:lnTo>
                  <a:pt x="0" y="933450"/>
                </a:lnTo>
                <a:lnTo>
                  <a:pt x="444500" y="1981200"/>
                </a:lnTo>
                <a:lnTo>
                  <a:pt x="1968500" y="2432050"/>
                </a:lnTo>
                <a:lnTo>
                  <a:pt x="2819400" y="920750"/>
                </a:lnTo>
                <a:lnTo>
                  <a:pt x="2393950" y="0"/>
                </a:lnTo>
                <a:lnTo>
                  <a:pt x="1428750" y="4572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TextBox 27"/>
          <xdr:cNvSpPr txBox="1"/>
        </xdr:nvSpPr>
        <xdr:spPr>
          <a:xfrm>
            <a:off x="2533911" y="8077255"/>
            <a:ext cx="280416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B0F0"/>
                </a:solidFill>
              </a:rPr>
              <a:t>Trident Avalon Wing A to C (Vanrai)</a:t>
            </a:r>
            <a:endParaRPr lang="en-IN" sz="1400" b="1">
              <a:solidFill>
                <a:srgbClr val="00B0F0"/>
              </a:solidFill>
            </a:endParaRPr>
          </a:p>
        </xdr:txBody>
      </xdr:sp>
      <xdr:sp macro="" textlink="">
        <xdr:nvSpPr>
          <xdr:cNvPr id="17" name="TextBox 28"/>
          <xdr:cNvSpPr txBox="1"/>
        </xdr:nvSpPr>
        <xdr:spPr>
          <a:xfrm>
            <a:off x="3977120" y="6758489"/>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B0F0"/>
                </a:solidFill>
              </a:rPr>
              <a:t>A</a:t>
            </a:r>
            <a:endParaRPr lang="en-IN" b="1">
              <a:solidFill>
                <a:srgbClr val="00B0F0"/>
              </a:solidFill>
            </a:endParaRPr>
          </a:p>
        </xdr:txBody>
      </xdr:sp>
      <xdr:sp macro="" textlink="">
        <xdr:nvSpPr>
          <xdr:cNvPr id="18" name="TextBox 29"/>
          <xdr:cNvSpPr txBox="1"/>
        </xdr:nvSpPr>
        <xdr:spPr>
          <a:xfrm>
            <a:off x="2961772" y="5340350"/>
            <a:ext cx="31451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B0F0"/>
                </a:solidFill>
              </a:rPr>
              <a:t>B</a:t>
            </a:r>
            <a:endParaRPr lang="en-IN" b="1">
              <a:solidFill>
                <a:srgbClr val="00B0F0"/>
              </a:solidFill>
            </a:endParaRPr>
          </a:p>
        </xdr:txBody>
      </xdr:sp>
      <xdr:sp macro="" textlink="">
        <xdr:nvSpPr>
          <xdr:cNvPr id="19" name="Rectangle 18"/>
          <xdr:cNvSpPr/>
        </xdr:nvSpPr>
        <xdr:spPr>
          <a:xfrm>
            <a:off x="3935994" y="5339627"/>
            <a:ext cx="306494"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B0F0"/>
                </a:solidFill>
              </a:rPr>
              <a:t>C</a:t>
            </a:r>
            <a:endParaRPr lang="en-IN" b="1">
              <a:solidFill>
                <a:srgbClr val="00B0F0"/>
              </a:solidFill>
            </a:endParaRPr>
          </a:p>
        </xdr:txBody>
      </xdr:sp>
    </xdr:grpSp>
    <xdr:clientData/>
  </xdr:twoCellAnchor>
  <xdr:twoCellAnchor editAs="oneCell">
    <xdr:from>
      <xdr:col>0</xdr:col>
      <xdr:colOff>600074</xdr:colOff>
      <xdr:row>376</xdr:row>
      <xdr:rowOff>19050</xdr:rowOff>
    </xdr:from>
    <xdr:to>
      <xdr:col>7</xdr:col>
      <xdr:colOff>54979</xdr:colOff>
      <xdr:row>388</xdr:row>
      <xdr:rowOff>76200</xdr:rowOff>
    </xdr:to>
    <xdr:pic>
      <xdr:nvPicPr>
        <xdr:cNvPr id="22" name="Picture 21"/>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600074" y="70799325"/>
          <a:ext cx="5036555" cy="2457450"/>
        </a:xfrm>
        <a:prstGeom prst="rect">
          <a:avLst/>
        </a:prstGeom>
        <a:ln>
          <a:solidFill>
            <a:schemeClr val="tx1"/>
          </a:solidFill>
        </a:ln>
      </xdr:spPr>
    </xdr:pic>
    <xdr:clientData/>
  </xdr:twoCellAnchor>
  <xdr:twoCellAnchor>
    <xdr:from>
      <xdr:col>0</xdr:col>
      <xdr:colOff>514350</xdr:colOff>
      <xdr:row>390</xdr:row>
      <xdr:rowOff>27121</xdr:rowOff>
    </xdr:from>
    <xdr:to>
      <xdr:col>7</xdr:col>
      <xdr:colOff>95250</xdr:colOff>
      <xdr:row>406</xdr:row>
      <xdr:rowOff>123825</xdr:rowOff>
    </xdr:to>
    <xdr:grpSp>
      <xdr:nvGrpSpPr>
        <xdr:cNvPr id="23" name="Group 22"/>
        <xdr:cNvGrpSpPr/>
      </xdr:nvGrpSpPr>
      <xdr:grpSpPr>
        <a:xfrm>
          <a:off x="514350" y="72245671"/>
          <a:ext cx="5162550" cy="3297104"/>
          <a:chOff x="982950" y="4343398"/>
          <a:chExt cx="4892100" cy="3060000"/>
        </a:xfrm>
      </xdr:grpSpPr>
      <xdr:pic>
        <xdr:nvPicPr>
          <xdr:cNvPr id="24" name="Picture 23"/>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982950" y="4343398"/>
            <a:ext cx="4892100" cy="3060000"/>
          </a:xfrm>
          <a:prstGeom prst="rect">
            <a:avLst/>
          </a:prstGeom>
          <a:ln>
            <a:solidFill>
              <a:schemeClr val="tx1"/>
            </a:solidFill>
          </a:ln>
        </xdr:spPr>
      </xdr:pic>
      <xdr:sp macro="" textlink="">
        <xdr:nvSpPr>
          <xdr:cNvPr id="25" name="Freeform 24"/>
          <xdr:cNvSpPr/>
        </xdr:nvSpPr>
        <xdr:spPr>
          <a:xfrm>
            <a:off x="2957513" y="5376863"/>
            <a:ext cx="1104900" cy="947737"/>
          </a:xfrm>
          <a:custGeom>
            <a:avLst/>
            <a:gdLst>
              <a:gd name="connsiteX0" fmla="*/ 809625 w 1104900"/>
              <a:gd name="connsiteY0" fmla="*/ 0 h 947737"/>
              <a:gd name="connsiteX1" fmla="*/ 1104900 w 1104900"/>
              <a:gd name="connsiteY1" fmla="*/ 485775 h 947737"/>
              <a:gd name="connsiteX2" fmla="*/ 1009650 w 1104900"/>
              <a:gd name="connsiteY2" fmla="*/ 804862 h 947737"/>
              <a:gd name="connsiteX3" fmla="*/ 604837 w 1104900"/>
              <a:gd name="connsiteY3" fmla="*/ 947737 h 947737"/>
              <a:gd name="connsiteX4" fmla="*/ 485775 w 1104900"/>
              <a:gd name="connsiteY4" fmla="*/ 638175 h 947737"/>
              <a:gd name="connsiteX5" fmla="*/ 0 w 1104900"/>
              <a:gd name="connsiteY5" fmla="*/ 533400 h 947737"/>
              <a:gd name="connsiteX6" fmla="*/ 95250 w 1104900"/>
              <a:gd name="connsiteY6" fmla="*/ 85725 h 947737"/>
              <a:gd name="connsiteX7" fmla="*/ 809625 w 1104900"/>
              <a:gd name="connsiteY7" fmla="*/ 0 h 9477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04900" h="947737">
                <a:moveTo>
                  <a:pt x="809625" y="0"/>
                </a:moveTo>
                <a:lnTo>
                  <a:pt x="1104900" y="485775"/>
                </a:lnTo>
                <a:lnTo>
                  <a:pt x="1009650" y="804862"/>
                </a:lnTo>
                <a:lnTo>
                  <a:pt x="604837" y="947737"/>
                </a:lnTo>
                <a:lnTo>
                  <a:pt x="485775" y="638175"/>
                </a:lnTo>
                <a:lnTo>
                  <a:pt x="0" y="533400"/>
                </a:lnTo>
                <a:lnTo>
                  <a:pt x="95250" y="85725"/>
                </a:lnTo>
                <a:lnTo>
                  <a:pt x="809625"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628650</xdr:colOff>
      <xdr:row>15</xdr:row>
      <xdr:rowOff>552450</xdr:rowOff>
    </xdr:from>
    <xdr:to>
      <xdr:col>14</xdr:col>
      <xdr:colOff>667050</xdr:colOff>
      <xdr:row>16</xdr:row>
      <xdr:rowOff>69404</xdr:rowOff>
    </xdr:to>
    <xdr:pic>
      <xdr:nvPicPr>
        <xdr:cNvPr id="26" name="Picture 25"/>
        <xdr:cNvPicPr>
          <a:picLocks noChangeAspect="1"/>
        </xdr:cNvPicPr>
      </xdr:nvPicPr>
      <xdr:blipFill>
        <a:blip xmlns:r="http://schemas.openxmlformats.org/officeDocument/2006/relationships" r:embed="rId5"/>
        <a:stretch>
          <a:fillRect/>
        </a:stretch>
      </xdr:blipFill>
      <xdr:spPr>
        <a:xfrm>
          <a:off x="6943725" y="4772025"/>
          <a:ext cx="5220000" cy="736154"/>
        </a:xfrm>
        <a:prstGeom prst="rect">
          <a:avLst/>
        </a:prstGeom>
        <a:ln>
          <a:solidFill>
            <a:schemeClr val="tx1"/>
          </a:solidFill>
        </a:ln>
      </xdr:spPr>
    </xdr:pic>
    <xdr:clientData/>
  </xdr:twoCellAnchor>
  <xdr:twoCellAnchor editAs="oneCell">
    <xdr:from>
      <xdr:col>8</xdr:col>
      <xdr:colOff>171450</xdr:colOff>
      <xdr:row>8</xdr:row>
      <xdr:rowOff>66675</xdr:rowOff>
    </xdr:from>
    <xdr:to>
      <xdr:col>14</xdr:col>
      <xdr:colOff>485088</xdr:colOff>
      <xdr:row>15</xdr:row>
      <xdr:rowOff>56871</xdr:rowOff>
    </xdr:to>
    <xdr:pic>
      <xdr:nvPicPr>
        <xdr:cNvPr id="27" name="Picture 26"/>
        <xdr:cNvPicPr>
          <a:picLocks noChangeAspect="1"/>
        </xdr:cNvPicPr>
      </xdr:nvPicPr>
      <xdr:blipFill>
        <a:blip xmlns:r="http://schemas.openxmlformats.org/officeDocument/2006/relationships" r:embed="rId6"/>
        <a:stretch>
          <a:fillRect/>
        </a:stretch>
      </xdr:blipFill>
      <xdr:spPr>
        <a:xfrm>
          <a:off x="6486525" y="2047875"/>
          <a:ext cx="5495238" cy="2228571"/>
        </a:xfrm>
        <a:prstGeom prst="rect">
          <a:avLst/>
        </a:prstGeom>
        <a:ln>
          <a:solidFill>
            <a:schemeClr val="tx1"/>
          </a:solidFill>
        </a:ln>
      </xdr:spPr>
    </xdr:pic>
    <xdr:clientData/>
  </xdr:twoCellAnchor>
  <xdr:twoCellAnchor editAs="oneCell">
    <xdr:from>
      <xdr:col>8</xdr:col>
      <xdr:colOff>314325</xdr:colOff>
      <xdr:row>44</xdr:row>
      <xdr:rowOff>95250</xdr:rowOff>
    </xdr:from>
    <xdr:to>
      <xdr:col>15</xdr:col>
      <xdr:colOff>27862</xdr:colOff>
      <xdr:row>49</xdr:row>
      <xdr:rowOff>180811</xdr:rowOff>
    </xdr:to>
    <xdr:pic>
      <xdr:nvPicPr>
        <xdr:cNvPr id="28" name="Picture 27"/>
        <xdr:cNvPicPr>
          <a:picLocks noChangeAspect="1"/>
        </xdr:cNvPicPr>
      </xdr:nvPicPr>
      <xdr:blipFill>
        <a:blip xmlns:r="http://schemas.openxmlformats.org/officeDocument/2006/relationships" r:embed="rId7"/>
        <a:stretch>
          <a:fillRect/>
        </a:stretch>
      </xdr:blipFill>
      <xdr:spPr>
        <a:xfrm>
          <a:off x="6629400" y="11353800"/>
          <a:ext cx="5704762" cy="1314286"/>
        </a:xfrm>
        <a:prstGeom prst="rect">
          <a:avLst/>
        </a:prstGeom>
        <a:ln>
          <a:solidFill>
            <a:schemeClr val="tx1"/>
          </a:solidFill>
        </a:ln>
      </xdr:spPr>
    </xdr:pic>
    <xdr:clientData/>
  </xdr:twoCellAnchor>
  <xdr:twoCellAnchor editAs="oneCell">
    <xdr:from>
      <xdr:col>9</xdr:col>
      <xdr:colOff>104775</xdr:colOff>
      <xdr:row>50</xdr:row>
      <xdr:rowOff>76201</xdr:rowOff>
    </xdr:from>
    <xdr:to>
      <xdr:col>13</xdr:col>
      <xdr:colOff>703425</xdr:colOff>
      <xdr:row>70</xdr:row>
      <xdr:rowOff>178960</xdr:rowOff>
    </xdr:to>
    <xdr:pic>
      <xdr:nvPicPr>
        <xdr:cNvPr id="29" name="Picture 28"/>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7581900" y="12763501"/>
          <a:ext cx="3780000" cy="2503059"/>
        </a:xfrm>
        <a:prstGeom prst="rect">
          <a:avLst/>
        </a:prstGeom>
        <a:ln>
          <a:solidFill>
            <a:schemeClr val="tx1"/>
          </a:solidFill>
        </a:ln>
      </xdr:spPr>
    </xdr:pic>
    <xdr:clientData/>
  </xdr:twoCellAnchor>
  <xdr:twoCellAnchor editAs="oneCell">
    <xdr:from>
      <xdr:col>13</xdr:col>
      <xdr:colOff>161925</xdr:colOff>
      <xdr:row>182</xdr:row>
      <xdr:rowOff>295275</xdr:rowOff>
    </xdr:from>
    <xdr:to>
      <xdr:col>18</xdr:col>
      <xdr:colOff>313850</xdr:colOff>
      <xdr:row>204</xdr:row>
      <xdr:rowOff>104199</xdr:rowOff>
    </xdr:to>
    <xdr:pic>
      <xdr:nvPicPr>
        <xdr:cNvPr id="30" name="Picture 29"/>
        <xdr:cNvPicPr>
          <a:picLocks noChangeAspect="1"/>
        </xdr:cNvPicPr>
      </xdr:nvPicPr>
      <xdr:blipFill>
        <a:blip xmlns:r="http://schemas.openxmlformats.org/officeDocument/2006/relationships" r:embed="rId9"/>
        <a:stretch>
          <a:fillRect/>
        </a:stretch>
      </xdr:blipFill>
      <xdr:spPr>
        <a:xfrm>
          <a:off x="10820400" y="34871025"/>
          <a:ext cx="3800000" cy="4609524"/>
        </a:xfrm>
        <a:prstGeom prst="rect">
          <a:avLst/>
        </a:prstGeom>
        <a:ln>
          <a:solidFill>
            <a:schemeClr val="tx1"/>
          </a:solidFill>
        </a:ln>
      </xdr:spPr>
    </xdr:pic>
    <xdr:clientData/>
  </xdr:twoCellAnchor>
  <xdr:twoCellAnchor editAs="oneCell">
    <xdr:from>
      <xdr:col>13</xdr:col>
      <xdr:colOff>666750</xdr:colOff>
      <xdr:row>206</xdr:row>
      <xdr:rowOff>47625</xdr:rowOff>
    </xdr:from>
    <xdr:to>
      <xdr:col>20</xdr:col>
      <xdr:colOff>561352</xdr:colOff>
      <xdr:row>219</xdr:row>
      <xdr:rowOff>2856</xdr:rowOff>
    </xdr:to>
    <xdr:pic>
      <xdr:nvPicPr>
        <xdr:cNvPr id="31" name="Picture 30"/>
        <xdr:cNvPicPr>
          <a:picLocks noChangeAspect="1"/>
        </xdr:cNvPicPr>
      </xdr:nvPicPr>
      <xdr:blipFill>
        <a:blip xmlns:r="http://schemas.openxmlformats.org/officeDocument/2006/relationships" r:embed="rId10"/>
        <a:stretch>
          <a:fillRect/>
        </a:stretch>
      </xdr:blipFill>
      <xdr:spPr>
        <a:xfrm>
          <a:off x="11325225" y="39824025"/>
          <a:ext cx="4980952" cy="2552381"/>
        </a:xfrm>
        <a:prstGeom prst="rect">
          <a:avLst/>
        </a:prstGeom>
        <a:ln>
          <a:solidFill>
            <a:schemeClr val="tx1"/>
          </a:solidFill>
        </a:ln>
      </xdr:spPr>
    </xdr:pic>
    <xdr:clientData/>
  </xdr:twoCellAnchor>
  <xdr:twoCellAnchor editAs="oneCell">
    <xdr:from>
      <xdr:col>12</xdr:col>
      <xdr:colOff>419100</xdr:colOff>
      <xdr:row>223</xdr:row>
      <xdr:rowOff>142875</xdr:rowOff>
    </xdr:from>
    <xdr:to>
      <xdr:col>20</xdr:col>
      <xdr:colOff>608842</xdr:colOff>
      <xdr:row>234</xdr:row>
      <xdr:rowOff>133076</xdr:rowOff>
    </xdr:to>
    <xdr:pic>
      <xdr:nvPicPr>
        <xdr:cNvPr id="32" name="Picture 31"/>
        <xdr:cNvPicPr>
          <a:picLocks noChangeAspect="1"/>
        </xdr:cNvPicPr>
      </xdr:nvPicPr>
      <xdr:blipFill>
        <a:blip xmlns:r="http://schemas.openxmlformats.org/officeDocument/2006/relationships" r:embed="rId11"/>
        <a:stretch>
          <a:fillRect/>
        </a:stretch>
      </xdr:blipFill>
      <xdr:spPr>
        <a:xfrm>
          <a:off x="10287000" y="43519725"/>
          <a:ext cx="6066667" cy="2190476"/>
        </a:xfrm>
        <a:prstGeom prst="rect">
          <a:avLst/>
        </a:prstGeom>
        <a:ln>
          <a:solidFill>
            <a:schemeClr val="tx1"/>
          </a:solidFill>
        </a:ln>
      </xdr:spPr>
    </xdr:pic>
    <xdr:clientData/>
  </xdr:twoCellAnchor>
  <xdr:twoCellAnchor>
    <xdr:from>
      <xdr:col>8</xdr:col>
      <xdr:colOff>1047750</xdr:colOff>
      <xdr:row>291</xdr:row>
      <xdr:rowOff>152400</xdr:rowOff>
    </xdr:from>
    <xdr:to>
      <xdr:col>10</xdr:col>
      <xdr:colOff>66675</xdr:colOff>
      <xdr:row>293</xdr:row>
      <xdr:rowOff>104775</xdr:rowOff>
    </xdr:to>
    <xdr:sp macro="" textlink="">
      <xdr:nvSpPr>
        <xdr:cNvPr id="36" name="Rectangle 35"/>
        <xdr:cNvSpPr/>
      </xdr:nvSpPr>
      <xdr:spPr>
        <a:xfrm>
          <a:off x="7362825" y="51949350"/>
          <a:ext cx="9429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A Part II</a:t>
          </a:r>
        </a:p>
      </xdr:txBody>
    </xdr:sp>
    <xdr:clientData/>
  </xdr:twoCellAnchor>
  <xdr:twoCellAnchor>
    <xdr:from>
      <xdr:col>0</xdr:col>
      <xdr:colOff>114300</xdr:colOff>
      <xdr:row>288</xdr:row>
      <xdr:rowOff>85725</xdr:rowOff>
    </xdr:from>
    <xdr:to>
      <xdr:col>7</xdr:col>
      <xdr:colOff>641233</xdr:colOff>
      <xdr:row>325</xdr:row>
      <xdr:rowOff>150225</xdr:rowOff>
    </xdr:to>
    <xdr:grpSp>
      <xdr:nvGrpSpPr>
        <xdr:cNvPr id="7" name="Group 6"/>
        <xdr:cNvGrpSpPr/>
      </xdr:nvGrpSpPr>
      <xdr:grpSpPr>
        <a:xfrm>
          <a:off x="114300" y="51911250"/>
          <a:ext cx="6108583" cy="7455900"/>
          <a:chOff x="114300" y="51292125"/>
          <a:chExt cx="6108583" cy="7455900"/>
        </a:xfrm>
      </xdr:grpSpPr>
      <xdr:grpSp>
        <xdr:nvGrpSpPr>
          <xdr:cNvPr id="2" name="Group 1"/>
          <xdr:cNvGrpSpPr/>
        </xdr:nvGrpSpPr>
        <xdr:grpSpPr>
          <a:xfrm>
            <a:off x="114300" y="51306412"/>
            <a:ext cx="6108583" cy="7441613"/>
            <a:chOff x="104775" y="51249262"/>
            <a:chExt cx="6108583" cy="7441613"/>
          </a:xfrm>
        </xdr:grpSpPr>
        <xdr:pic>
          <xdr:nvPicPr>
            <xdr:cNvPr id="38" name="Picture 37" descr="https://vsjcllp.vsjadon.com/upload/insp-250094-15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438525" y="56597550"/>
              <a:ext cx="2774833" cy="20917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50094-84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00025" y="53963887"/>
              <a:ext cx="1916283" cy="25479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50094-85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229100" y="51249262"/>
              <a:ext cx="1973592" cy="26241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50094-86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229100" y="53963887"/>
              <a:ext cx="1916283" cy="25479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50094-87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2219325" y="53963887"/>
              <a:ext cx="1916283" cy="25479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50094-880.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14301" y="56594375"/>
              <a:ext cx="1573180" cy="20917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50094-916.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1771650" y="56599137"/>
              <a:ext cx="1566625" cy="20917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50094-919.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2171700" y="51249262"/>
              <a:ext cx="1973592" cy="26241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https://vsjcllp.vsjadon.com/upload/insp-250094-922.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104775" y="51249262"/>
              <a:ext cx="1973592" cy="26241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 name="TextBox 3"/>
          <xdr:cNvSpPr txBox="1"/>
        </xdr:nvSpPr>
        <xdr:spPr>
          <a:xfrm>
            <a:off x="1181101" y="51368325"/>
            <a:ext cx="933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rPr>
              <a:t>Wing A</a:t>
            </a:r>
          </a:p>
        </xdr:txBody>
      </xdr:sp>
      <xdr:sp macro="" textlink="">
        <xdr:nvSpPr>
          <xdr:cNvPr id="59" name="TextBox 58"/>
          <xdr:cNvSpPr txBox="1"/>
        </xdr:nvSpPr>
        <xdr:spPr>
          <a:xfrm>
            <a:off x="666750" y="53997225"/>
            <a:ext cx="933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rPr>
              <a:t>Wing B</a:t>
            </a:r>
          </a:p>
        </xdr:txBody>
      </xdr:sp>
      <xdr:sp macro="" textlink="">
        <xdr:nvSpPr>
          <xdr:cNvPr id="60" name="TextBox 59"/>
          <xdr:cNvSpPr txBox="1"/>
        </xdr:nvSpPr>
        <xdr:spPr>
          <a:xfrm>
            <a:off x="5133975" y="51292125"/>
            <a:ext cx="933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rPr>
              <a:t>Wing C</a:t>
            </a:r>
          </a:p>
        </xdr:txBody>
      </xdr:sp>
      <xdr:sp macro="" textlink="">
        <xdr:nvSpPr>
          <xdr:cNvPr id="61" name="TextBox 60"/>
          <xdr:cNvSpPr txBox="1"/>
        </xdr:nvSpPr>
        <xdr:spPr>
          <a:xfrm>
            <a:off x="3067050" y="51292125"/>
            <a:ext cx="933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ysClr val="windowText" lastClr="000000"/>
                </a:solidFill>
              </a:rPr>
              <a:t>Wing 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tridentavalon.com/" TargetMode="External"/><Relationship Id="rId1" Type="http://schemas.openxmlformats.org/officeDocument/2006/relationships/hyperlink" Target="https://maps.app.goo.gl/bP6TijihE2DGVY8U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74"/>
  <sheetViews>
    <sheetView tabSelected="1" view="pageBreakPreview" topLeftCell="A85" zoomScaleNormal="100" zoomScaleSheetLayoutView="100" zoomScalePageLayoutView="85" workbookViewId="0">
      <selection activeCell="M110" sqref="M110"/>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237" t="s">
        <v>164</v>
      </c>
      <c r="B1" s="237"/>
      <c r="C1" s="237"/>
      <c r="D1" s="237"/>
      <c r="E1" s="237"/>
      <c r="F1" s="237"/>
      <c r="G1" s="237"/>
      <c r="H1" s="237"/>
    </row>
    <row r="2" spans="1:26" ht="16.5" customHeight="1" x14ac:dyDescent="0.25">
      <c r="A2" s="238" t="s">
        <v>0</v>
      </c>
      <c r="B2" s="238"/>
      <c r="C2" s="238"/>
      <c r="D2" s="238"/>
      <c r="E2" s="238"/>
      <c r="F2" s="238"/>
      <c r="G2" s="238"/>
      <c r="H2" s="238"/>
    </row>
    <row r="3" spans="1:26" x14ac:dyDescent="0.25">
      <c r="A3" s="193" t="s">
        <v>1</v>
      </c>
      <c r="B3" s="193"/>
      <c r="C3" s="193"/>
      <c r="D3" s="193"/>
      <c r="E3" s="193" t="str">
        <f ca="1">TEXT(TODAY(),"DD/MM/YYYY")</f>
        <v>06/10/2025</v>
      </c>
      <c r="F3" s="193"/>
      <c r="G3" s="193"/>
      <c r="H3" s="193"/>
      <c r="K3" s="54" t="s">
        <v>237</v>
      </c>
      <c r="L3" s="51" t="s">
        <v>235</v>
      </c>
      <c r="M3" s="51" t="s">
        <v>240</v>
      </c>
      <c r="N3" s="51" t="s">
        <v>238</v>
      </c>
      <c r="O3" s="51" t="s">
        <v>239</v>
      </c>
      <c r="P3" s="51" t="s">
        <v>241</v>
      </c>
    </row>
    <row r="4" spans="1:26" ht="15" customHeight="1" x14ac:dyDescent="0.25">
      <c r="A4" s="193" t="s">
        <v>234</v>
      </c>
      <c r="B4" s="193"/>
      <c r="C4" s="193"/>
      <c r="D4" s="193"/>
      <c r="E4" s="193" t="s">
        <v>235</v>
      </c>
      <c r="F4" s="193"/>
      <c r="G4" s="193"/>
      <c r="H4" s="193"/>
      <c r="K4" s="50" t="s">
        <v>236</v>
      </c>
      <c r="L4" s="51" t="s">
        <v>170</v>
      </c>
      <c r="M4" s="51" t="s">
        <v>245</v>
      </c>
      <c r="N4" s="51" t="s">
        <v>247</v>
      </c>
      <c r="O4" s="51" t="s">
        <v>249</v>
      </c>
      <c r="P4" s="51"/>
    </row>
    <row r="5" spans="1:26" ht="15" customHeight="1" x14ac:dyDescent="0.25">
      <c r="A5" s="193" t="s">
        <v>2</v>
      </c>
      <c r="B5" s="193"/>
      <c r="C5" s="193"/>
      <c r="D5" s="193"/>
      <c r="E5" s="193" t="s">
        <v>244</v>
      </c>
      <c r="F5" s="193"/>
      <c r="G5" s="193"/>
      <c r="H5" s="193"/>
      <c r="K5" s="50"/>
      <c r="L5" s="51" t="s">
        <v>242</v>
      </c>
      <c r="M5" s="51" t="s">
        <v>246</v>
      </c>
      <c r="N5" s="51" t="s">
        <v>248</v>
      </c>
      <c r="O5" s="51" t="s">
        <v>250</v>
      </c>
      <c r="P5" s="51"/>
    </row>
    <row r="6" spans="1:26" x14ac:dyDescent="0.25">
      <c r="A6" s="193" t="s">
        <v>3</v>
      </c>
      <c r="B6" s="193"/>
      <c r="C6" s="193"/>
      <c r="D6" s="193"/>
      <c r="E6" s="239">
        <v>45936</v>
      </c>
      <c r="F6" s="193"/>
      <c r="G6" s="193"/>
      <c r="H6" s="193"/>
      <c r="K6" s="50"/>
      <c r="L6" s="51" t="s">
        <v>243</v>
      </c>
      <c r="M6" s="51"/>
      <c r="N6" s="51"/>
      <c r="O6" s="51" t="s">
        <v>251</v>
      </c>
      <c r="P6" s="51"/>
    </row>
    <row r="7" spans="1:26" ht="16.5" customHeight="1" x14ac:dyDescent="0.25">
      <c r="A7" s="193" t="s">
        <v>4</v>
      </c>
      <c r="B7" s="193"/>
      <c r="C7" s="193"/>
      <c r="D7" s="193"/>
      <c r="E7" s="193" t="s">
        <v>344</v>
      </c>
      <c r="F7" s="193"/>
      <c r="G7" s="193"/>
      <c r="H7" s="193"/>
      <c r="K7" s="50"/>
      <c r="L7" s="51" t="s">
        <v>244</v>
      </c>
      <c r="M7" s="51"/>
      <c r="N7" s="51"/>
      <c r="O7" s="51" t="s">
        <v>251</v>
      </c>
      <c r="P7" s="51"/>
    </row>
    <row r="8" spans="1:26" ht="15" customHeight="1" x14ac:dyDescent="0.25">
      <c r="A8" s="193" t="s">
        <v>5</v>
      </c>
      <c r="B8" s="193"/>
      <c r="C8" s="193"/>
      <c r="D8" s="193"/>
      <c r="E8" s="193" t="str">
        <f>E7</f>
        <v>Shri Krishna Realty</v>
      </c>
      <c r="F8" s="193"/>
      <c r="G8" s="193"/>
      <c r="H8" s="193"/>
      <c r="K8" s="50"/>
      <c r="L8" s="51"/>
      <c r="M8" s="51"/>
      <c r="N8" s="51"/>
      <c r="O8" s="51" t="s">
        <v>252</v>
      </c>
      <c r="P8" s="51"/>
    </row>
    <row r="9" spans="1:26" x14ac:dyDescent="0.25">
      <c r="A9" s="193" t="s">
        <v>6</v>
      </c>
      <c r="B9" s="193"/>
      <c r="C9" s="193"/>
      <c r="D9" s="193"/>
      <c r="E9" s="176" t="s">
        <v>345</v>
      </c>
      <c r="F9" s="176"/>
      <c r="G9" s="176"/>
      <c r="H9" s="176"/>
      <c r="K9" s="50"/>
      <c r="L9" s="51"/>
      <c r="M9" s="51"/>
      <c r="N9" s="51"/>
      <c r="O9" s="51" t="s">
        <v>253</v>
      </c>
      <c r="P9" s="51"/>
    </row>
    <row r="10" spans="1:26" x14ac:dyDescent="0.25">
      <c r="A10" s="193" t="s">
        <v>167</v>
      </c>
      <c r="B10" s="193"/>
      <c r="C10" s="193"/>
      <c r="D10" s="193"/>
      <c r="E10" s="193" t="s">
        <v>346</v>
      </c>
      <c r="F10" s="193"/>
      <c r="G10" s="193"/>
      <c r="H10" s="193"/>
      <c r="K10" s="50"/>
      <c r="L10" s="51"/>
      <c r="M10" s="51"/>
      <c r="N10" s="51"/>
      <c r="O10" s="51"/>
      <c r="P10" s="51"/>
    </row>
    <row r="11" spans="1:26" x14ac:dyDescent="0.25">
      <c r="A11" s="193" t="s">
        <v>168</v>
      </c>
      <c r="B11" s="193"/>
      <c r="C11" s="193"/>
      <c r="D11" s="193"/>
      <c r="E11" s="193" t="s">
        <v>28</v>
      </c>
      <c r="F11" s="193"/>
      <c r="G11" s="193"/>
      <c r="H11" s="193"/>
    </row>
    <row r="12" spans="1:26" x14ac:dyDescent="0.25">
      <c r="A12" s="193" t="s">
        <v>7</v>
      </c>
      <c r="B12" s="193"/>
      <c r="C12" s="193"/>
      <c r="D12" s="193"/>
      <c r="E12" s="193" t="s">
        <v>390</v>
      </c>
      <c r="F12" s="193"/>
      <c r="G12" s="193"/>
      <c r="H12" s="193"/>
    </row>
    <row r="13" spans="1:26" ht="81.75" customHeight="1" x14ac:dyDescent="0.25">
      <c r="A13" s="193" t="s">
        <v>171</v>
      </c>
      <c r="B13" s="193"/>
      <c r="C13" s="193"/>
      <c r="D13" s="193"/>
      <c r="E13" s="161" t="s">
        <v>347</v>
      </c>
      <c r="F13" s="193"/>
      <c r="G13" s="193"/>
      <c r="H13" s="193"/>
      <c r="S13" s="51" t="s">
        <v>180</v>
      </c>
      <c r="T13" s="51" t="s">
        <v>189</v>
      </c>
      <c r="U13" s="51" t="s">
        <v>172</v>
      </c>
      <c r="V13" s="51" t="s">
        <v>194</v>
      </c>
      <c r="W13" s="51" t="s">
        <v>212</v>
      </c>
      <c r="X13"/>
      <c r="Y13" t="s">
        <v>194</v>
      </c>
      <c r="Z13" t="e">
        <f ca="1">OFFSET($S$13,1,MATCH($G20,$S$13:$W$13,0)-1,15,1)</f>
        <v>#VALUE!</v>
      </c>
    </row>
    <row r="14" spans="1:26" x14ac:dyDescent="0.25">
      <c r="A14" s="143" t="s">
        <v>280</v>
      </c>
      <c r="B14" s="143"/>
      <c r="C14" s="143"/>
      <c r="D14" s="143"/>
      <c r="E14" s="161" t="s">
        <v>407</v>
      </c>
      <c r="F14" s="161"/>
      <c r="G14" s="161"/>
      <c r="H14" s="161"/>
      <c r="I14" s="88" t="s">
        <v>401</v>
      </c>
      <c r="S14" s="51" t="s">
        <v>180</v>
      </c>
      <c r="T14" s="51" t="s">
        <v>187</v>
      </c>
      <c r="U14" s="51" t="s">
        <v>209</v>
      </c>
      <c r="V14" s="51" t="s">
        <v>195</v>
      </c>
      <c r="W14" s="51" t="s">
        <v>213</v>
      </c>
      <c r="X14"/>
      <c r="Y14"/>
      <c r="Z14"/>
    </row>
    <row r="15" spans="1:26" x14ac:dyDescent="0.25">
      <c r="A15" s="143" t="s">
        <v>8</v>
      </c>
      <c r="B15" s="143"/>
      <c r="C15" s="143"/>
      <c r="D15" s="143"/>
      <c r="E15" s="161" t="s">
        <v>343</v>
      </c>
      <c r="F15" s="193"/>
      <c r="G15" s="193"/>
      <c r="H15" s="193"/>
      <c r="I15" s="265" t="e">
        <f ca="1">OFFSET($D$5,1,MATCH($J13,$D$5:$H$5,0)-1,15,1)</f>
        <v>#N/A</v>
      </c>
      <c r="J15" s="266"/>
      <c r="K15" s="266"/>
      <c r="L15" s="266"/>
      <c r="M15" s="266"/>
      <c r="N15" s="266"/>
      <c r="O15" s="266"/>
      <c r="P15" s="266"/>
      <c r="S15" s="51" t="s">
        <v>181</v>
      </c>
      <c r="T15" s="51" t="s">
        <v>188</v>
      </c>
      <c r="U15" s="51" t="s">
        <v>210</v>
      </c>
      <c r="V15" s="51" t="s">
        <v>196</v>
      </c>
      <c r="W15" s="51" t="s">
        <v>226</v>
      </c>
      <c r="X15"/>
      <c r="Y15"/>
      <c r="Z15"/>
    </row>
    <row r="16" spans="1:26" ht="96" customHeight="1" x14ac:dyDescent="0.25">
      <c r="A16" s="235" t="s">
        <v>9</v>
      </c>
      <c r="B16" s="235"/>
      <c r="C16" s="235" t="str">
        <f>CONCATENATE((IF(OR(E9="",E9="NA"),"",E9)),", ",(IF(OR(A17="",A17="NA"),"",A17)),".",(IF(OR(C17="",C17="NA"),"",C17)),", near ",(IF(OR(C22="",C22="NA"),"",C22)),", ",(IF(OR(C19="",C19="NA"),"",C19)),", ",(IF(OR(C18="",C18="NA"),"",C18)),", ",(IF(OR(G19="",G19="NA"),"",G19)),", ",(IF(OR(C20="",C20="NA"),"",C20)),", ",(IF(OR(C21="",C21="NA"),"",C21)),", ",(IF(OR(G20="",G20="NA"),"",G20))," - ",(IF(OR(G21="",G21="NA"),"",G21)),".")</f>
        <v>Trident Avalon, Survey No.93, H No.2, Redevelopement of "  Vanrai Parn Co-operative Housing Society Ltd ", " Vanrai Vihar Co-operative Housing Society Ltd ", " Vanrai Kunj Co-operative Housing Society Ltd ", " Vanrai Vistarit Building 1 &amp; 2 Co-operative Housing Society Ltd. ", near Triveni Sangam, Ambernath-Badlapur Road, , Katrap, Badlapur East, Ambernath, Thane - 421503.</v>
      </c>
      <c r="D16" s="235"/>
      <c r="E16" s="235"/>
      <c r="F16" s="235"/>
      <c r="G16" s="235"/>
      <c r="H16" s="235"/>
      <c r="S16" s="51" t="s">
        <v>182</v>
      </c>
      <c r="T16" s="51" t="s">
        <v>190</v>
      </c>
      <c r="U16" s="51" t="s">
        <v>211</v>
      </c>
      <c r="V16" s="51" t="s">
        <v>197</v>
      </c>
      <c r="W16" s="51" t="s">
        <v>214</v>
      </c>
      <c r="X16"/>
      <c r="Y16"/>
      <c r="Z16"/>
    </row>
    <row r="17" spans="1:26" ht="63.75" customHeight="1" x14ac:dyDescent="0.25">
      <c r="A17" s="161" t="s">
        <v>348</v>
      </c>
      <c r="B17" s="161"/>
      <c r="C17" s="161" t="s">
        <v>349</v>
      </c>
      <c r="D17" s="161"/>
      <c r="E17" s="161"/>
      <c r="F17" s="161"/>
      <c r="G17" s="161"/>
      <c r="H17" s="161"/>
      <c r="S17" s="51" t="s">
        <v>183</v>
      </c>
      <c r="T17" s="51" t="s">
        <v>191</v>
      </c>
      <c r="U17" s="51" t="s">
        <v>172</v>
      </c>
      <c r="V17" s="51" t="s">
        <v>198</v>
      </c>
      <c r="W17" s="51" t="s">
        <v>215</v>
      </c>
      <c r="X17"/>
      <c r="Y17"/>
      <c r="Z17"/>
    </row>
    <row r="18" spans="1:26" ht="15.75" customHeight="1" x14ac:dyDescent="0.25">
      <c r="A18" s="161" t="s">
        <v>162</v>
      </c>
      <c r="B18" s="161"/>
      <c r="C18" s="161" t="s">
        <v>28</v>
      </c>
      <c r="D18" s="161"/>
      <c r="E18" s="161"/>
      <c r="F18" s="161"/>
      <c r="G18" s="161"/>
      <c r="H18" s="161"/>
      <c r="S18" s="51" t="s">
        <v>184</v>
      </c>
      <c r="T18" s="51" t="s">
        <v>189</v>
      </c>
      <c r="U18" s="51"/>
      <c r="V18" s="51" t="s">
        <v>199</v>
      </c>
      <c r="W18" s="51" t="s">
        <v>216</v>
      </c>
      <c r="X18"/>
      <c r="Y18"/>
      <c r="Z18"/>
    </row>
    <row r="19" spans="1:26" ht="15.75" customHeight="1" x14ac:dyDescent="0.25">
      <c r="A19" s="235" t="s">
        <v>10</v>
      </c>
      <c r="B19" s="235"/>
      <c r="C19" s="193" t="s">
        <v>361</v>
      </c>
      <c r="D19" s="193"/>
      <c r="E19" s="161" t="s">
        <v>70</v>
      </c>
      <c r="F19" s="161"/>
      <c r="G19" s="161" t="s">
        <v>350</v>
      </c>
      <c r="H19" s="161"/>
      <c r="S19" s="51" t="s">
        <v>185</v>
      </c>
      <c r="T19" s="51" t="s">
        <v>192</v>
      </c>
      <c r="U19" s="51"/>
      <c r="V19" s="51" t="s">
        <v>200</v>
      </c>
      <c r="W19" s="51" t="s">
        <v>217</v>
      </c>
      <c r="X19"/>
      <c r="Y19"/>
      <c r="Z19"/>
    </row>
    <row r="20" spans="1:26" x14ac:dyDescent="0.25">
      <c r="A20" s="143" t="s">
        <v>12</v>
      </c>
      <c r="B20" s="143"/>
      <c r="C20" s="161" t="s">
        <v>393</v>
      </c>
      <c r="D20" s="161"/>
      <c r="E20" s="161" t="s">
        <v>11</v>
      </c>
      <c r="F20" s="161"/>
      <c r="G20" s="236" t="s">
        <v>180</v>
      </c>
      <c r="H20" s="236"/>
      <c r="S20" s="51" t="s">
        <v>186</v>
      </c>
      <c r="T20" s="51" t="s">
        <v>193</v>
      </c>
      <c r="U20" s="51"/>
      <c r="V20" s="51" t="s">
        <v>201</v>
      </c>
      <c r="W20" s="51" t="s">
        <v>218</v>
      </c>
      <c r="X20"/>
      <c r="Y20"/>
      <c r="Z20"/>
    </row>
    <row r="21" spans="1:26" x14ac:dyDescent="0.25">
      <c r="A21" s="143" t="s">
        <v>71</v>
      </c>
      <c r="B21" s="143"/>
      <c r="C21" s="161" t="s">
        <v>185</v>
      </c>
      <c r="D21" s="161"/>
      <c r="E21" s="161" t="s">
        <v>13</v>
      </c>
      <c r="F21" s="161"/>
      <c r="G21" s="161">
        <v>421503</v>
      </c>
      <c r="H21" s="161"/>
      <c r="S21" s="51"/>
      <c r="T21" s="51"/>
      <c r="U21" s="51"/>
      <c r="V21" s="51" t="s">
        <v>202</v>
      </c>
      <c r="W21" s="51" t="s">
        <v>219</v>
      </c>
      <c r="X21"/>
      <c r="Y21"/>
      <c r="Z21"/>
    </row>
    <row r="22" spans="1:26" ht="32.25" customHeight="1" x14ac:dyDescent="0.25">
      <c r="A22" s="143" t="s">
        <v>118</v>
      </c>
      <c r="B22" s="143"/>
      <c r="C22" s="161" t="s">
        <v>362</v>
      </c>
      <c r="D22" s="161"/>
      <c r="E22" s="161" t="s">
        <v>14</v>
      </c>
      <c r="F22" s="161"/>
      <c r="G22" s="161" t="s">
        <v>392</v>
      </c>
      <c r="H22" s="161"/>
      <c r="S22" s="51"/>
      <c r="T22" s="51"/>
      <c r="U22" s="51"/>
      <c r="V22" s="51" t="s">
        <v>203</v>
      </c>
      <c r="W22" s="51" t="s">
        <v>220</v>
      </c>
      <c r="X22"/>
      <c r="Y22"/>
      <c r="Z22"/>
    </row>
    <row r="23" spans="1:26" ht="15" customHeight="1" x14ac:dyDescent="0.25">
      <c r="A23" s="235" t="s">
        <v>73</v>
      </c>
      <c r="B23" s="235"/>
      <c r="C23" s="235"/>
      <c r="D23" s="235"/>
      <c r="E23" s="193" t="s">
        <v>15</v>
      </c>
      <c r="F23" s="193"/>
      <c r="G23" s="193"/>
      <c r="H23" s="193"/>
      <c r="S23" s="51"/>
      <c r="T23" s="51"/>
      <c r="U23" s="51"/>
      <c r="V23" s="51" t="s">
        <v>204</v>
      </c>
      <c r="W23" s="51" t="s">
        <v>221</v>
      </c>
      <c r="X23"/>
      <c r="Y23"/>
      <c r="Z23"/>
    </row>
    <row r="24" spans="1:26" ht="18.75" customHeight="1" x14ac:dyDescent="0.25">
      <c r="A24" s="235"/>
      <c r="B24" s="235"/>
      <c r="C24" s="235"/>
      <c r="D24" s="235"/>
      <c r="E24" s="193"/>
      <c r="F24" s="193"/>
      <c r="G24" s="193"/>
      <c r="H24" s="193"/>
      <c r="S24" s="51"/>
      <c r="T24" s="51"/>
      <c r="U24" s="51"/>
      <c r="V24" s="51" t="s">
        <v>205</v>
      </c>
      <c r="W24" s="51" t="s">
        <v>222</v>
      </c>
      <c r="X24"/>
      <c r="Y24"/>
      <c r="Z24"/>
    </row>
    <row r="25" spans="1:26" ht="15" customHeight="1" x14ac:dyDescent="0.25">
      <c r="A25" s="235" t="s">
        <v>16</v>
      </c>
      <c r="B25" s="235"/>
      <c r="C25" s="235"/>
      <c r="D25" s="235"/>
      <c r="E25" s="161" t="s">
        <v>17</v>
      </c>
      <c r="F25" s="161"/>
      <c r="G25" s="161"/>
      <c r="H25" s="161"/>
      <c r="S25" s="51"/>
      <c r="T25" s="51"/>
      <c r="U25" s="51"/>
      <c r="V25" s="51" t="s">
        <v>206</v>
      </c>
      <c r="W25" s="51" t="s">
        <v>223</v>
      </c>
      <c r="X25"/>
      <c r="Y25"/>
      <c r="Z25"/>
    </row>
    <row r="26" spans="1:26" ht="15" customHeight="1" x14ac:dyDescent="0.25">
      <c r="A26" s="143" t="s">
        <v>18</v>
      </c>
      <c r="B26" s="143"/>
      <c r="C26" s="143"/>
      <c r="D26" s="143"/>
      <c r="E26" s="161" t="str">
        <f>IF(AND(G20="Mumbai"),"Upper Class","Middle Class")</f>
        <v>Middle Class</v>
      </c>
      <c r="F26" s="161"/>
      <c r="G26" s="161"/>
      <c r="H26" s="161"/>
      <c r="S26" s="51"/>
      <c r="T26" s="51"/>
      <c r="U26" s="51"/>
      <c r="V26" s="51" t="s">
        <v>207</v>
      </c>
      <c r="W26" s="51" t="s">
        <v>224</v>
      </c>
      <c r="X26"/>
      <c r="Y26"/>
      <c r="Z26"/>
    </row>
    <row r="27" spans="1:26" x14ac:dyDescent="0.25">
      <c r="A27" s="143" t="s">
        <v>19</v>
      </c>
      <c r="B27" s="143"/>
      <c r="C27" s="143"/>
      <c r="D27" s="143"/>
      <c r="E27" s="161" t="s">
        <v>20</v>
      </c>
      <c r="F27" s="161"/>
      <c r="G27" s="161"/>
      <c r="H27" s="161"/>
      <c r="S27" s="51"/>
      <c r="T27" s="51"/>
      <c r="U27" s="51"/>
      <c r="V27" s="51" t="s">
        <v>208</v>
      </c>
      <c r="W27" s="51" t="s">
        <v>225</v>
      </c>
      <c r="X27"/>
      <c r="Y27"/>
      <c r="Z27"/>
    </row>
    <row r="28" spans="1:26" ht="15.75" customHeight="1" x14ac:dyDescent="0.25">
      <c r="A28" s="143" t="s">
        <v>21</v>
      </c>
      <c r="B28" s="143"/>
      <c r="C28" s="143"/>
      <c r="D28" s="143"/>
      <c r="E28" s="161" t="str">
        <f>IF(AND(G20="Mumbai"),"Developed","Developing")</f>
        <v>Developing</v>
      </c>
      <c r="F28" s="161"/>
      <c r="G28" s="161"/>
      <c r="H28" s="161"/>
    </row>
    <row r="29" spans="1:26" x14ac:dyDescent="0.25">
      <c r="A29" s="143" t="s">
        <v>22</v>
      </c>
      <c r="B29" s="143"/>
      <c r="C29" s="143"/>
      <c r="D29" s="143"/>
      <c r="E29" s="161" t="s">
        <v>23</v>
      </c>
      <c r="F29" s="161"/>
      <c r="G29" s="161"/>
      <c r="H29" s="161"/>
    </row>
    <row r="30" spans="1:26" ht="15.75" customHeight="1" x14ac:dyDescent="0.25">
      <c r="A30" s="143" t="s">
        <v>78</v>
      </c>
      <c r="B30" s="143"/>
      <c r="C30" s="143"/>
      <c r="D30" s="143"/>
      <c r="E30" s="161" t="s">
        <v>79</v>
      </c>
      <c r="F30" s="161"/>
      <c r="G30" s="161"/>
      <c r="H30" s="161"/>
    </row>
    <row r="31" spans="1:26" ht="15" customHeight="1" x14ac:dyDescent="0.25">
      <c r="A31" s="143" t="s">
        <v>30</v>
      </c>
      <c r="B31" s="143"/>
      <c r="C31" s="143"/>
      <c r="D31" s="143"/>
      <c r="E31" s="16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1"/>
      <c r="G31" s="161"/>
      <c r="H31" s="161"/>
    </row>
    <row r="32" spans="1:26" ht="15.75" customHeight="1" x14ac:dyDescent="0.25">
      <c r="A32" s="143" t="s">
        <v>90</v>
      </c>
      <c r="B32" s="143"/>
      <c r="C32" s="143"/>
      <c r="D32" s="143"/>
      <c r="E32" s="161" t="s">
        <v>31</v>
      </c>
      <c r="F32" s="161"/>
      <c r="G32" s="161"/>
      <c r="H32" s="161"/>
    </row>
    <row r="33" spans="1:19" s="21" customFormat="1" x14ac:dyDescent="0.25">
      <c r="A33" s="234" t="s">
        <v>91</v>
      </c>
      <c r="B33" s="234"/>
      <c r="C33" s="231" t="s">
        <v>173</v>
      </c>
      <c r="D33" s="232"/>
      <c r="E33" s="233"/>
      <c r="F33" s="231" t="s">
        <v>29</v>
      </c>
      <c r="G33" s="232"/>
      <c r="H33" s="233"/>
      <c r="S33" s="21" t="e">
        <f ca="1">OFFSET($S$13,1,MATCH($G20,$S$13:$W$13,0)-1,15,1)</f>
        <v>#VALUE!</v>
      </c>
    </row>
    <row r="34" spans="1:19" s="21" customFormat="1" x14ac:dyDescent="0.25">
      <c r="A34" s="187" t="s">
        <v>24</v>
      </c>
      <c r="B34" s="187" t="s">
        <v>28</v>
      </c>
      <c r="C34" s="188" t="s">
        <v>367</v>
      </c>
      <c r="D34" s="189"/>
      <c r="E34" s="190"/>
      <c r="F34" s="188" t="s">
        <v>361</v>
      </c>
      <c r="G34" s="189"/>
      <c r="H34" s="190"/>
    </row>
    <row r="35" spans="1:19" x14ac:dyDescent="0.25">
      <c r="A35" s="187" t="s">
        <v>25</v>
      </c>
      <c r="B35" s="187" t="s">
        <v>28</v>
      </c>
      <c r="C35" s="188" t="s">
        <v>366</v>
      </c>
      <c r="D35" s="189"/>
      <c r="E35" s="190"/>
      <c r="F35" s="188" t="s">
        <v>362</v>
      </c>
      <c r="G35" s="189"/>
      <c r="H35" s="190"/>
    </row>
    <row r="36" spans="1:19" s="21" customFormat="1" x14ac:dyDescent="0.25">
      <c r="A36" s="187" t="s">
        <v>27</v>
      </c>
      <c r="B36" s="187" t="s">
        <v>28</v>
      </c>
      <c r="C36" s="188" t="s">
        <v>365</v>
      </c>
      <c r="D36" s="189"/>
      <c r="E36" s="190"/>
      <c r="F36" s="188" t="s">
        <v>363</v>
      </c>
      <c r="G36" s="189"/>
      <c r="H36" s="190"/>
    </row>
    <row r="37" spans="1:19" x14ac:dyDescent="0.25">
      <c r="A37" s="187" t="s">
        <v>26</v>
      </c>
      <c r="B37" s="187" t="s">
        <v>28</v>
      </c>
      <c r="C37" s="188" t="s">
        <v>400</v>
      </c>
      <c r="D37" s="189"/>
      <c r="E37" s="190"/>
      <c r="F37" s="188" t="s">
        <v>364</v>
      </c>
      <c r="G37" s="189"/>
      <c r="H37" s="190"/>
    </row>
    <row r="38" spans="1:19" x14ac:dyDescent="0.25">
      <c r="A38" s="143" t="s">
        <v>281</v>
      </c>
      <c r="B38" s="143"/>
      <c r="C38" s="143"/>
      <c r="D38" s="143"/>
      <c r="E38" s="143"/>
      <c r="F38" s="143"/>
      <c r="G38" s="143"/>
      <c r="H38" s="143"/>
    </row>
    <row r="39" spans="1:19" ht="15.75" customHeight="1" x14ac:dyDescent="0.25">
      <c r="A39" s="143" t="s">
        <v>165</v>
      </c>
      <c r="B39" s="143"/>
      <c r="C39" s="192" t="s">
        <v>359</v>
      </c>
      <c r="D39" s="192"/>
      <c r="E39" s="192"/>
      <c r="F39" s="192"/>
      <c r="G39" s="192"/>
      <c r="H39" s="192"/>
    </row>
    <row r="40" spans="1:19" x14ac:dyDescent="0.25">
      <c r="A40" s="143" t="s">
        <v>161</v>
      </c>
      <c r="B40" s="143"/>
      <c r="C40" s="160" t="s">
        <v>360</v>
      </c>
      <c r="D40" s="161"/>
      <c r="E40" s="161"/>
      <c r="F40" s="161"/>
      <c r="G40" s="161"/>
      <c r="H40" s="161"/>
    </row>
    <row r="41" spans="1:19" x14ac:dyDescent="0.25">
      <c r="A41" s="192" t="s">
        <v>32</v>
      </c>
      <c r="B41" s="192"/>
      <c r="C41" s="192"/>
      <c r="D41" s="192"/>
      <c r="E41" s="192"/>
      <c r="F41" s="192"/>
      <c r="G41" s="192"/>
      <c r="H41" s="192"/>
    </row>
    <row r="42" spans="1:19" x14ac:dyDescent="0.25">
      <c r="A42" s="143" t="s">
        <v>33</v>
      </c>
      <c r="B42" s="143"/>
      <c r="C42" s="143"/>
      <c r="D42" s="143"/>
      <c r="E42" s="191">
        <v>2583.19</v>
      </c>
      <c r="F42" s="191"/>
      <c r="G42" s="191"/>
      <c r="H42" s="191"/>
    </row>
    <row r="43" spans="1:19" x14ac:dyDescent="0.25">
      <c r="A43" s="143" t="s">
        <v>34</v>
      </c>
      <c r="B43" s="143"/>
      <c r="C43" s="143"/>
      <c r="D43" s="143"/>
      <c r="E43" s="218">
        <v>1</v>
      </c>
      <c r="F43" s="218"/>
      <c r="G43" s="218"/>
      <c r="H43" s="218"/>
      <c r="I43" s="20">
        <f>2583.19/E42</f>
        <v>1</v>
      </c>
    </row>
    <row r="44" spans="1:19" x14ac:dyDescent="0.25">
      <c r="A44" s="143" t="s">
        <v>35</v>
      </c>
      <c r="B44" s="143"/>
      <c r="C44" s="143"/>
      <c r="D44" s="143"/>
      <c r="E44" s="218">
        <f>E46/E42-E43</f>
        <v>3.9268540060932411</v>
      </c>
      <c r="F44" s="218"/>
      <c r="G44" s="218"/>
      <c r="H44" s="218"/>
    </row>
    <row r="45" spans="1:19" x14ac:dyDescent="0.25">
      <c r="A45" s="143" t="s">
        <v>36</v>
      </c>
      <c r="B45" s="143"/>
      <c r="C45" s="143"/>
      <c r="D45" s="143"/>
      <c r="E45" s="218">
        <f>E43+E44</f>
        <v>4.9268540060932411</v>
      </c>
      <c r="F45" s="218"/>
      <c r="G45" s="218"/>
      <c r="H45" s="218"/>
    </row>
    <row r="46" spans="1:19" x14ac:dyDescent="0.25">
      <c r="A46" s="143" t="s">
        <v>89</v>
      </c>
      <c r="B46" s="143"/>
      <c r="C46" s="143"/>
      <c r="D46" s="143"/>
      <c r="E46" s="219">
        <v>12727</v>
      </c>
      <c r="F46" s="219"/>
      <c r="G46" s="219"/>
      <c r="H46" s="219"/>
    </row>
    <row r="47" spans="1:19" x14ac:dyDescent="0.25">
      <c r="A47" s="193" t="s">
        <v>37</v>
      </c>
      <c r="B47" s="193"/>
      <c r="C47" s="193"/>
      <c r="D47" s="193"/>
      <c r="E47" s="193" t="s">
        <v>412</v>
      </c>
      <c r="F47" s="193"/>
      <c r="G47" s="193"/>
      <c r="H47" s="193"/>
    </row>
    <row r="48" spans="1:19" x14ac:dyDescent="0.25">
      <c r="A48" s="192" t="s">
        <v>38</v>
      </c>
      <c r="B48" s="192"/>
      <c r="C48" s="192"/>
      <c r="D48" s="192"/>
      <c r="E48" s="192"/>
      <c r="F48" s="192"/>
      <c r="G48" s="192"/>
      <c r="H48" s="192"/>
    </row>
    <row r="49" spans="1:24" ht="33.75" customHeight="1" x14ac:dyDescent="0.25">
      <c r="A49" s="223" t="s">
        <v>150</v>
      </c>
      <c r="B49" s="224"/>
      <c r="C49" s="225" t="s">
        <v>263</v>
      </c>
      <c r="D49" s="226"/>
      <c r="E49" s="226"/>
      <c r="F49" s="226"/>
      <c r="G49" s="226"/>
      <c r="H49" s="227"/>
      <c r="R49" t="s">
        <v>254</v>
      </c>
      <c r="S49" s="55" t="s">
        <v>172</v>
      </c>
      <c r="T49" s="55" t="s">
        <v>180</v>
      </c>
      <c r="U49" s="55" t="s">
        <v>194</v>
      </c>
      <c r="V49" s="55" t="s">
        <v>189</v>
      </c>
    </row>
    <row r="50" spans="1:24" ht="15.75" customHeight="1" x14ac:dyDescent="0.25">
      <c r="A50" s="194" t="s">
        <v>39</v>
      </c>
      <c r="B50" s="196"/>
      <c r="C50" s="194" t="s">
        <v>351</v>
      </c>
      <c r="D50" s="195"/>
      <c r="E50" s="196"/>
      <c r="F50" s="17" t="s">
        <v>40</v>
      </c>
      <c r="G50" s="197">
        <v>45268</v>
      </c>
      <c r="H50" s="196"/>
      <c r="R50"/>
      <c r="S50" s="55" t="s">
        <v>255</v>
      </c>
      <c r="T50" s="55" t="s">
        <v>260</v>
      </c>
      <c r="U50" s="55" t="s">
        <v>271</v>
      </c>
      <c r="V50" s="55" t="s">
        <v>276</v>
      </c>
    </row>
    <row r="51" spans="1:24" x14ac:dyDescent="0.25">
      <c r="A51" s="194" t="s">
        <v>41</v>
      </c>
      <c r="B51" s="196"/>
      <c r="C51" s="194" t="str">
        <f>C50</f>
        <v>KBMCB/0011/2023/AutoDCR</v>
      </c>
      <c r="D51" s="195"/>
      <c r="E51" s="196"/>
      <c r="F51" s="17" t="s">
        <v>40</v>
      </c>
      <c r="G51" s="197">
        <f>G50</f>
        <v>45268</v>
      </c>
      <c r="H51" s="202"/>
      <c r="R51"/>
      <c r="S51" s="55" t="s">
        <v>256</v>
      </c>
      <c r="T51" s="55" t="s">
        <v>261</v>
      </c>
      <c r="U51" s="55" t="s">
        <v>269</v>
      </c>
      <c r="V51" s="55" t="s">
        <v>277</v>
      </c>
    </row>
    <row r="52" spans="1:24" s="22" customFormat="1" ht="15.75" customHeight="1" x14ac:dyDescent="0.25">
      <c r="A52" s="203" t="s">
        <v>154</v>
      </c>
      <c r="B52" s="204"/>
      <c r="C52" s="194" t="str">
        <f>C51</f>
        <v>KBMCB/0011/2023/AutoDCR</v>
      </c>
      <c r="D52" s="195"/>
      <c r="E52" s="196"/>
      <c r="F52" s="17" t="s">
        <v>40</v>
      </c>
      <c r="G52" s="197">
        <f>G51</f>
        <v>45268</v>
      </c>
      <c r="H52" s="202"/>
      <c r="R52"/>
      <c r="S52" s="55" t="s">
        <v>257</v>
      </c>
      <c r="T52" s="55" t="s">
        <v>262</v>
      </c>
      <c r="U52" s="55" t="s">
        <v>259</v>
      </c>
      <c r="V52" s="55" t="s">
        <v>278</v>
      </c>
    </row>
    <row r="53" spans="1:24" s="22" customFormat="1" x14ac:dyDescent="0.25">
      <c r="A53" s="205"/>
      <c r="B53" s="206"/>
      <c r="C53" s="194" t="s">
        <v>388</v>
      </c>
      <c r="D53" s="195"/>
      <c r="E53" s="195"/>
      <c r="F53" s="195"/>
      <c r="G53" s="195"/>
      <c r="H53" s="196"/>
      <c r="R53"/>
      <c r="S53" s="55" t="s">
        <v>258</v>
      </c>
      <c r="T53" s="55" t="s">
        <v>265</v>
      </c>
      <c r="U53" s="55" t="s">
        <v>272</v>
      </c>
      <c r="V53" s="75"/>
    </row>
    <row r="54" spans="1:24" s="22" customFormat="1" hidden="1" x14ac:dyDescent="0.25">
      <c r="A54" s="198" t="s">
        <v>282</v>
      </c>
      <c r="B54" s="199"/>
      <c r="C54" s="194" t="str">
        <f>C53</f>
        <v>A, B &amp; C(Vanrai) = 1B + Gr./Stilt + 1st to 12th Floor.</v>
      </c>
      <c r="D54" s="195"/>
      <c r="E54" s="196"/>
      <c r="F54" s="17" t="s">
        <v>40</v>
      </c>
      <c r="G54" s="194"/>
      <c r="H54" s="196"/>
      <c r="R54"/>
      <c r="S54" s="55" t="s">
        <v>257</v>
      </c>
      <c r="T54" s="55" t="s">
        <v>262</v>
      </c>
      <c r="U54" s="55" t="s">
        <v>259</v>
      </c>
      <c r="V54" s="55" t="s">
        <v>278</v>
      </c>
    </row>
    <row r="55" spans="1:24" s="22" customFormat="1" ht="32.25" hidden="1" customHeight="1" x14ac:dyDescent="0.25">
      <c r="A55" s="200"/>
      <c r="B55" s="201"/>
      <c r="C55" s="167"/>
      <c r="D55" s="168"/>
      <c r="E55" s="168"/>
      <c r="F55" s="168"/>
      <c r="G55" s="168"/>
      <c r="H55" s="169"/>
      <c r="R55"/>
      <c r="S55" s="55" t="s">
        <v>259</v>
      </c>
      <c r="T55" s="55" t="s">
        <v>263</v>
      </c>
      <c r="U55" s="55" t="s">
        <v>273</v>
      </c>
      <c r="V55" s="76"/>
      <c r="W55" s="20"/>
      <c r="X55" s="20"/>
    </row>
    <row r="56" spans="1:24" s="22" customFormat="1" ht="34.5" hidden="1" customHeight="1" x14ac:dyDescent="0.25">
      <c r="A56" s="198" t="s">
        <v>283</v>
      </c>
      <c r="B56" s="199"/>
      <c r="C56" s="194">
        <f>C55</f>
        <v>0</v>
      </c>
      <c r="D56" s="195"/>
      <c r="E56" s="196"/>
      <c r="F56" s="17" t="s">
        <v>40</v>
      </c>
      <c r="G56" s="194">
        <f>G55</f>
        <v>0</v>
      </c>
      <c r="H56" s="196"/>
      <c r="R56"/>
      <c r="S56" s="76"/>
      <c r="T56" s="55" t="s">
        <v>264</v>
      </c>
      <c r="U56" s="55" t="s">
        <v>274</v>
      </c>
      <c r="V56" s="76"/>
      <c r="W56" s="20"/>
      <c r="X56" s="20"/>
    </row>
    <row r="57" spans="1:24" s="22" customFormat="1" ht="41.25" hidden="1" customHeight="1" x14ac:dyDescent="0.25">
      <c r="A57" s="200"/>
      <c r="B57" s="201"/>
      <c r="C57" s="194"/>
      <c r="D57" s="195"/>
      <c r="E57" s="195"/>
      <c r="F57" s="195"/>
      <c r="G57" s="195"/>
      <c r="H57" s="196"/>
      <c r="R57"/>
      <c r="S57" s="76"/>
      <c r="T57" s="55" t="s">
        <v>266</v>
      </c>
      <c r="U57" s="55" t="s">
        <v>275</v>
      </c>
      <c r="V57" s="76"/>
      <c r="W57" s="20"/>
      <c r="X57" s="20"/>
    </row>
    <row r="58" spans="1:24" s="22" customFormat="1" ht="15.75" hidden="1" customHeight="1" x14ac:dyDescent="0.25">
      <c r="A58" s="198" t="s">
        <v>284</v>
      </c>
      <c r="B58" s="199"/>
      <c r="C58" s="194">
        <f>C57</f>
        <v>0</v>
      </c>
      <c r="D58" s="195"/>
      <c r="E58" s="196"/>
      <c r="F58" s="17" t="s">
        <v>40</v>
      </c>
      <c r="G58" s="194">
        <f>G57</f>
        <v>0</v>
      </c>
      <c r="H58" s="196"/>
      <c r="R58"/>
      <c r="S58" s="76"/>
      <c r="T58" s="55" t="s">
        <v>267</v>
      </c>
      <c r="U58" s="76" t="s">
        <v>298</v>
      </c>
      <c r="V58" s="76"/>
      <c r="W58" s="20"/>
      <c r="X58" s="20"/>
    </row>
    <row r="59" spans="1:24" s="22" customFormat="1" ht="33.75" hidden="1" customHeight="1" x14ac:dyDescent="0.25">
      <c r="A59" s="200"/>
      <c r="B59" s="201"/>
      <c r="C59" s="194"/>
      <c r="D59" s="195"/>
      <c r="E59" s="195"/>
      <c r="F59" s="195"/>
      <c r="G59" s="195"/>
      <c r="H59" s="196"/>
      <c r="R59"/>
      <c r="S59" s="76"/>
      <c r="T59" s="55" t="s">
        <v>268</v>
      </c>
      <c r="U59" s="76"/>
      <c r="V59" s="76"/>
      <c r="W59" s="20"/>
      <c r="X59" s="20"/>
    </row>
    <row r="60" spans="1:24" ht="39.75" hidden="1" customHeight="1" x14ac:dyDescent="0.25">
      <c r="A60" s="268" t="s">
        <v>42</v>
      </c>
      <c r="B60" s="269"/>
      <c r="C60" s="268" t="s">
        <v>103</v>
      </c>
      <c r="D60" s="270"/>
      <c r="E60" s="269"/>
      <c r="F60" s="42" t="s">
        <v>40</v>
      </c>
      <c r="G60" s="272" t="s">
        <v>28</v>
      </c>
      <c r="H60" s="273"/>
      <c r="R60"/>
      <c r="S60" s="76"/>
      <c r="T60" s="55" t="s">
        <v>270</v>
      </c>
      <c r="U60" s="76"/>
      <c r="V60" s="76"/>
    </row>
    <row r="61" spans="1:24" x14ac:dyDescent="0.25">
      <c r="A61" s="245" t="s">
        <v>44</v>
      </c>
      <c r="B61" s="245"/>
      <c r="C61" s="245"/>
      <c r="D61" s="245"/>
      <c r="E61" s="245"/>
      <c r="F61" s="245"/>
      <c r="G61" s="245"/>
      <c r="H61" s="245"/>
      <c r="S61" s="76"/>
      <c r="T61" s="55" t="s">
        <v>279</v>
      </c>
      <c r="U61" s="76"/>
      <c r="V61" s="76"/>
    </row>
    <row r="62" spans="1:24" x14ac:dyDescent="0.25">
      <c r="A62" s="235" t="s">
        <v>88</v>
      </c>
      <c r="B62" s="235"/>
      <c r="C62" s="235"/>
      <c r="D62" s="143">
        <f>E46</f>
        <v>12727</v>
      </c>
      <c r="E62" s="143"/>
      <c r="F62" s="143"/>
      <c r="G62" s="143"/>
      <c r="H62" s="143"/>
      <c r="R62"/>
    </row>
    <row r="63" spans="1:24" x14ac:dyDescent="0.25">
      <c r="A63" s="161" t="s">
        <v>45</v>
      </c>
      <c r="B63" s="193"/>
      <c r="C63" s="193"/>
      <c r="D63" s="271" t="s">
        <v>399</v>
      </c>
      <c r="E63" s="271"/>
      <c r="F63" s="271"/>
      <c r="G63" s="271"/>
      <c r="H63" s="271"/>
      <c r="I63" s="23"/>
      <c r="R63"/>
    </row>
    <row r="64" spans="1:24" x14ac:dyDescent="0.25">
      <c r="A64" s="207" t="s">
        <v>46</v>
      </c>
      <c r="B64" s="208"/>
      <c r="C64" s="222"/>
      <c r="D64" s="220" t="s">
        <v>395</v>
      </c>
      <c r="E64" s="221"/>
      <c r="F64" s="221"/>
      <c r="G64" s="221"/>
      <c r="H64" s="221"/>
      <c r="R64"/>
    </row>
    <row r="65" spans="1:19" ht="15.75" customHeight="1" x14ac:dyDescent="0.25">
      <c r="A65" s="207" t="s">
        <v>86</v>
      </c>
      <c r="B65" s="208"/>
      <c r="C65" s="208"/>
      <c r="D65" s="213" t="s">
        <v>396</v>
      </c>
      <c r="E65" s="214"/>
      <c r="F65" s="214"/>
      <c r="G65" s="214"/>
      <c r="H65" s="215"/>
      <c r="R65"/>
    </row>
    <row r="66" spans="1:19" ht="15.75" customHeight="1" x14ac:dyDescent="0.25">
      <c r="A66" s="209"/>
      <c r="B66" s="210"/>
      <c r="C66" s="210"/>
      <c r="D66" s="271" t="s">
        <v>397</v>
      </c>
      <c r="E66" s="271"/>
      <c r="F66" s="271"/>
      <c r="G66" s="271"/>
      <c r="H66" s="271"/>
      <c r="R66"/>
    </row>
    <row r="67" spans="1:19" ht="15.75" hidden="1" customHeight="1" x14ac:dyDescent="0.25">
      <c r="A67" s="211"/>
      <c r="B67" s="212"/>
      <c r="C67" s="212"/>
      <c r="D67" s="230" t="s">
        <v>352</v>
      </c>
      <c r="E67" s="230"/>
      <c r="F67" s="230"/>
      <c r="G67" s="230"/>
      <c r="H67" s="230"/>
      <c r="S67"/>
    </row>
    <row r="68" spans="1:19" ht="15.75" customHeight="1" x14ac:dyDescent="0.25">
      <c r="A68" s="193" t="s">
        <v>43</v>
      </c>
      <c r="B68" s="193"/>
      <c r="C68" s="193"/>
      <c r="D68" s="161" t="s">
        <v>353</v>
      </c>
      <c r="E68" s="161"/>
      <c r="F68" s="161"/>
      <c r="G68" s="161"/>
      <c r="H68" s="161"/>
      <c r="J68" s="24"/>
      <c r="K68" s="23"/>
      <c r="N68" s="23"/>
      <c r="S68"/>
    </row>
    <row r="69" spans="1:19" ht="15.75" customHeight="1" x14ac:dyDescent="0.25">
      <c r="A69" s="193" t="s">
        <v>84</v>
      </c>
      <c r="B69" s="193"/>
      <c r="C69" s="193"/>
      <c r="D69" s="274" t="str">
        <f>(IF(G60="NA","60 Years After Completion",IF(G60&lt;&gt;"NA",""&amp;60-ROUNDDOWN((E3-G60)/360,0)&amp;" Years"," ")))</f>
        <v>60 Years After Completion</v>
      </c>
      <c r="E69" s="274"/>
      <c r="F69" s="274"/>
      <c r="G69" s="274"/>
      <c r="H69" s="274"/>
      <c r="N69" s="23"/>
      <c r="S69"/>
    </row>
    <row r="70" spans="1:19" ht="15.75" customHeight="1" x14ac:dyDescent="0.25">
      <c r="A70" s="193" t="s">
        <v>85</v>
      </c>
      <c r="B70" s="193"/>
      <c r="C70" s="193"/>
      <c r="D70" s="161" t="s">
        <v>23</v>
      </c>
      <c r="E70" s="161"/>
      <c r="F70" s="161"/>
      <c r="G70" s="161"/>
      <c r="H70" s="161"/>
      <c r="J70" s="25"/>
      <c r="K70" s="25"/>
      <c r="S70"/>
    </row>
    <row r="71" spans="1:19" ht="33.75" customHeight="1" x14ac:dyDescent="0.25">
      <c r="A71" s="193" t="s">
        <v>402</v>
      </c>
      <c r="B71" s="193"/>
      <c r="C71" s="193"/>
      <c r="D71" s="287" t="s">
        <v>405</v>
      </c>
      <c r="E71" s="287"/>
      <c r="F71" s="287"/>
      <c r="G71" s="287"/>
      <c r="H71" s="287"/>
      <c r="I71" s="20" t="s">
        <v>354</v>
      </c>
      <c r="K71" s="20" t="s">
        <v>355</v>
      </c>
      <c r="N71" s="87" t="s">
        <v>398</v>
      </c>
      <c r="S71"/>
    </row>
    <row r="72" spans="1:19" x14ac:dyDescent="0.25">
      <c r="A72" s="235" t="s">
        <v>146</v>
      </c>
      <c r="B72" s="235"/>
      <c r="C72" s="235"/>
      <c r="D72" s="235" t="s">
        <v>28</v>
      </c>
      <c r="E72" s="235"/>
      <c r="F72" s="235"/>
      <c r="G72" s="235"/>
      <c r="H72" s="235"/>
      <c r="I72" s="26"/>
      <c r="J72" s="26"/>
      <c r="K72" s="26"/>
      <c r="L72" s="26"/>
      <c r="M72" s="26"/>
      <c r="N72" s="26"/>
    </row>
    <row r="73" spans="1:19" ht="15.75" customHeight="1" x14ac:dyDescent="0.25">
      <c r="A73" s="290" t="s">
        <v>83</v>
      </c>
      <c r="B73" s="290"/>
      <c r="C73" s="290"/>
      <c r="D73" s="289" t="str">
        <f ca="1">(IF(G79&gt;95%,"Nothing",IF(G79&gt;0%,"Cement, Aggregate, Steel, etc",IF(G79=0%,"Work not yet Started"))))</f>
        <v>Cement, Aggregate, Steel, etc</v>
      </c>
      <c r="E73" s="289"/>
      <c r="F73" s="289"/>
      <c r="G73" s="289"/>
      <c r="H73" s="289"/>
      <c r="J73" s="25"/>
      <c r="S73"/>
    </row>
    <row r="74" spans="1:19" ht="33.75" customHeight="1" thickBot="1" x14ac:dyDescent="0.3">
      <c r="A74" s="288" t="s">
        <v>116</v>
      </c>
      <c r="B74" s="288"/>
      <c r="C74" s="288"/>
      <c r="D74" s="289" t="str">
        <f ca="1">(IF(D73="Nothing","Yes",IF(D73="Cement, Aggregate, Steel, etc","Under Construction",IF(D73="Work not yet Started","Work not yet Started"))))</f>
        <v>Under Construction</v>
      </c>
      <c r="E74" s="289"/>
      <c r="F74" s="289" t="str">
        <f ca="1">(IF(D73="Nothing","Yes",IF(D73="Cement, Aggregate, Steel, etc","Under Construction",IF(D73="Work not yet Started","Work not yet Started"))))</f>
        <v>Under Construction</v>
      </c>
      <c r="G74" s="289"/>
      <c r="H74" s="289"/>
      <c r="S74"/>
    </row>
    <row r="75" spans="1:19" ht="15.75" customHeight="1" x14ac:dyDescent="0.25">
      <c r="A75" s="282" t="s">
        <v>136</v>
      </c>
      <c r="B75" s="283"/>
      <c r="C75" s="284" t="s">
        <v>411</v>
      </c>
      <c r="D75" s="285"/>
      <c r="E75" s="285"/>
      <c r="F75" s="285"/>
      <c r="G75" s="285"/>
      <c r="H75" s="286"/>
      <c r="I75" s="44" t="str">
        <f ca="1">IF(D88=100%,"All work Completed. Possession granted to the Building.",IF(D87=100%,"All work Completed, Waiting for OC",I76&amp;""&amp;I77&amp;""&amp;J76&amp;""&amp;J75&amp;" "&amp;J77))</f>
        <v>Excavation, Plinth Completed, RCC upto 12 Slab, Brickwork upto 9 Floor, Internal Plaster upto 2 Floor, External Plaster upto 2 Floor Completed</v>
      </c>
      <c r="J75" s="45"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12 Slab, Brickwork upto 9 Floor, Internal Plaster upto 2 Floor, External Plaster upto 2 Floor</v>
      </c>
      <c r="S75"/>
    </row>
    <row r="76" spans="1:19" x14ac:dyDescent="0.25">
      <c r="A76" s="98" t="s">
        <v>138</v>
      </c>
      <c r="B76" s="99">
        <f>IF(AND(ISNUMBER(SEARCH("1B",C75))),1,IF(AND(ISNUMBER(SEARCH("2B",C75))),2,IF(AND(ISNUMBER(SEARCH("3B",C75))),3,IF(AND(ISNUMBER(SEARCH("4B",C75))),4,IF(ISNUMBER(SEARCH("5B",C75)),5,0)))))</f>
        <v>1</v>
      </c>
      <c r="C76" s="99" t="s">
        <v>69</v>
      </c>
      <c r="D76" s="99">
        <v>1</v>
      </c>
      <c r="E76" s="99" t="s">
        <v>68</v>
      </c>
      <c r="F76" s="99">
        <v>0</v>
      </c>
      <c r="G76" s="99" t="s">
        <v>77</v>
      </c>
      <c r="H76" s="100">
        <f ca="1">--TRIM(RIGHT(SUBSTITUTE(LEFT(C75,_xlfn.AGGREGATE(16,6,FIND({0,1,2,3,4,5,6,7,8,9},C75,ROW(INDIRECT("1:"&amp;LEN(C75)))),1))," ",REPT(" ",LEN(C75))),LEN(C75)))</f>
        <v>12</v>
      </c>
      <c r="I76" s="46" t="str">
        <f ca="1">IF(D79=100%,"Excavation","")&amp;IF(D80=100%,", Plinth","")&amp;IF(D81=100%,", RCC Slab","")&amp;IF(D82=100%,", Brickwork","")&amp;IF(D83=100%,", Internal Plaster","")&amp;IF(D84=100%,", External Plaster","")&amp;IF(D85=100%,", Flooring","")&amp;IF(D86=100%,", Painting","")&amp;IF(D87=100%,", Building common Amenities","")</f>
        <v>Excavation, Plinth</v>
      </c>
      <c r="J76" s="47"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5" customHeight="1" x14ac:dyDescent="0.25">
      <c r="A77" s="216" t="s">
        <v>87</v>
      </c>
      <c r="B77" s="217"/>
      <c r="C77" s="184" t="str">
        <f ca="1">I75</f>
        <v>Excavation, Plinth Completed, RCC upto 12 Slab, Brickwork upto 9 Floor, Internal Plaster upto 2 Floor, External Plaster upto 2 Floor Completed</v>
      </c>
      <c r="D77" s="184"/>
      <c r="E77" s="184"/>
      <c r="F77" s="184"/>
      <c r="G77" s="184"/>
      <c r="H77" s="185"/>
      <c r="I77" s="46" t="str">
        <f ca="1">IF(I76&lt;&gt;""," Completed","")</f>
        <v xml:space="preserve"> Completed</v>
      </c>
      <c r="J77" s="47" t="str">
        <f ca="1">IF(J75&lt;&gt;"","Completed","")</f>
        <v>Completed</v>
      </c>
      <c r="S77"/>
    </row>
    <row r="78" spans="1:19" ht="15.75" customHeight="1" x14ac:dyDescent="0.25">
      <c r="A78" s="129" t="s">
        <v>47</v>
      </c>
      <c r="B78" s="130"/>
      <c r="C78" s="90" t="s">
        <v>135</v>
      </c>
      <c r="D78" s="90" t="s">
        <v>80</v>
      </c>
      <c r="E78" s="130" t="s">
        <v>82</v>
      </c>
      <c r="F78" s="130"/>
      <c r="G78" s="130" t="s">
        <v>81</v>
      </c>
      <c r="H78" s="264"/>
      <c r="I78" s="13" t="s">
        <v>137</v>
      </c>
      <c r="J78" s="27">
        <f ca="1">H76*25%</f>
        <v>3</v>
      </c>
      <c r="S78"/>
    </row>
    <row r="79" spans="1:19" x14ac:dyDescent="0.25">
      <c r="A79" s="129" t="s">
        <v>124</v>
      </c>
      <c r="B79" s="130"/>
      <c r="C79" s="90">
        <f ca="1">J80</f>
        <v>12</v>
      </c>
      <c r="D79" s="18">
        <f ca="1">((100/H76)*C79)/100</f>
        <v>1</v>
      </c>
      <c r="E79" s="131">
        <f ca="1">(((C80/H76*10)+(40/(D76+F76+H76)*C81)+(7.5/(H76)*C82)+(7.5/(H76)*C83)+(10/H76*C84)+(10/H76*C85)+(5/H76*C86)+(5/H76*C87)+(5/H76*C88))/100)</f>
        <v>0.55464743589743593</v>
      </c>
      <c r="F79" s="132"/>
      <c r="G79" s="131">
        <f ca="1">((((C79/H76)*20)+((C80/H76)*25)+(30/(H76+F76+D76)*C81)+(5/H76*C82)+(5/H76*C83)+(5/H76*C84)+(5/H76*C85)+(0/H76*C86)+(0/H76*C87)+(5/H76*C88))/100)</f>
        <v>0.78108974358974348</v>
      </c>
      <c r="H79" s="137"/>
      <c r="I79" s="13" t="s">
        <v>98</v>
      </c>
      <c r="J79" s="28">
        <f ca="1">H76*50%</f>
        <v>6</v>
      </c>
    </row>
    <row r="80" spans="1:19" x14ac:dyDescent="0.25">
      <c r="A80" s="129" t="s">
        <v>48</v>
      </c>
      <c r="B80" s="130"/>
      <c r="C80" s="90">
        <f ca="1">J88</f>
        <v>12</v>
      </c>
      <c r="D80" s="18">
        <f ca="1">((100/H76)*C80)/100</f>
        <v>1</v>
      </c>
      <c r="E80" s="133"/>
      <c r="F80" s="134"/>
      <c r="G80" s="133"/>
      <c r="H80" s="138"/>
      <c r="I80" s="13" t="s">
        <v>99</v>
      </c>
      <c r="J80" s="28">
        <f ca="1">H76</f>
        <v>12</v>
      </c>
      <c r="S80"/>
    </row>
    <row r="81" spans="1:19" ht="15.75" customHeight="1" x14ac:dyDescent="0.25">
      <c r="A81" s="129" t="s">
        <v>125</v>
      </c>
      <c r="B81" s="130"/>
      <c r="C81" s="90">
        <v>12</v>
      </c>
      <c r="D81" s="18">
        <f ca="1">((100/(D76+F76+H76))*C81)/100</f>
        <v>0.92307692307692302</v>
      </c>
      <c r="E81" s="133"/>
      <c r="F81" s="134"/>
      <c r="G81" s="133"/>
      <c r="H81" s="138"/>
      <c r="I81" s="13" t="s">
        <v>100</v>
      </c>
      <c r="J81" s="29">
        <f ca="1">(IF(B76&gt;1,(H76/(B76+2)),H76/4))</f>
        <v>3</v>
      </c>
      <c r="S81"/>
    </row>
    <row r="82" spans="1:19" ht="15.75" customHeight="1" x14ac:dyDescent="0.25">
      <c r="A82" s="129" t="s">
        <v>132</v>
      </c>
      <c r="B82" s="130" t="s">
        <v>126</v>
      </c>
      <c r="C82" s="90">
        <v>9</v>
      </c>
      <c r="D82" s="18">
        <f ca="1">((100/H76)*C82)/100</f>
        <v>0.75</v>
      </c>
      <c r="E82" s="133"/>
      <c r="F82" s="134"/>
      <c r="G82" s="133"/>
      <c r="H82" s="138"/>
      <c r="I82" s="13" t="s">
        <v>101</v>
      </c>
      <c r="J82" s="29">
        <f ca="1">(IF(B76&gt;1,(H76/(B76+2)+J81),H76/4+J81))</f>
        <v>6</v>
      </c>
    </row>
    <row r="83" spans="1:19" ht="15.75" customHeight="1" x14ac:dyDescent="0.25">
      <c r="A83" s="129" t="s">
        <v>133</v>
      </c>
      <c r="B83" s="130" t="s">
        <v>126</v>
      </c>
      <c r="C83" s="90">
        <v>2</v>
      </c>
      <c r="D83" s="18">
        <f ca="1">((100/H76)*C83)/100</f>
        <v>0.16666666666666669</v>
      </c>
      <c r="E83" s="133"/>
      <c r="F83" s="134"/>
      <c r="G83" s="133"/>
      <c r="H83" s="138"/>
      <c r="I83" s="13" t="s">
        <v>144</v>
      </c>
      <c r="J83" s="29">
        <f>(IF(B76&gt;1,(H76/(B76+2)+J82),0))</f>
        <v>0</v>
      </c>
    </row>
    <row r="84" spans="1:19" ht="15" customHeight="1" x14ac:dyDescent="0.25">
      <c r="A84" s="129" t="s">
        <v>131</v>
      </c>
      <c r="B84" s="130" t="s">
        <v>128</v>
      </c>
      <c r="C84" s="90">
        <v>2</v>
      </c>
      <c r="D84" s="18">
        <f ca="1">((100/(H76))*C84)/100</f>
        <v>0.16666666666666669</v>
      </c>
      <c r="E84" s="133"/>
      <c r="F84" s="134"/>
      <c r="G84" s="133"/>
      <c r="H84" s="138"/>
      <c r="I84" s="13" t="s">
        <v>139</v>
      </c>
      <c r="J84" s="29">
        <f>(IF(B76&gt;2,(H76/(B76+2)+J83),0))</f>
        <v>0</v>
      </c>
    </row>
    <row r="85" spans="1:19" ht="15.75" customHeight="1" x14ac:dyDescent="0.25">
      <c r="A85" s="129" t="s">
        <v>127</v>
      </c>
      <c r="B85" s="130" t="s">
        <v>127</v>
      </c>
      <c r="C85" s="90">
        <v>0</v>
      </c>
      <c r="D85" s="18">
        <f ca="1">((100/H76)*C85)/100</f>
        <v>0</v>
      </c>
      <c r="E85" s="133"/>
      <c r="F85" s="134"/>
      <c r="G85" s="133"/>
      <c r="H85" s="138"/>
      <c r="I85" s="13" t="s">
        <v>140</v>
      </c>
      <c r="J85" s="30">
        <f>(IF(B76&gt;3,(H76/(B76+2)+J84),0))</f>
        <v>0</v>
      </c>
    </row>
    <row r="86" spans="1:19" ht="15.75" customHeight="1" x14ac:dyDescent="0.25">
      <c r="A86" s="129" t="s">
        <v>134</v>
      </c>
      <c r="B86" s="130"/>
      <c r="C86" s="90">
        <v>0</v>
      </c>
      <c r="D86" s="18">
        <f ca="1">((100/H76)*C86)/100</f>
        <v>0</v>
      </c>
      <c r="E86" s="133"/>
      <c r="F86" s="134"/>
      <c r="G86" s="133"/>
      <c r="H86" s="138"/>
      <c r="I86" s="13" t="s">
        <v>141</v>
      </c>
      <c r="J86" s="29">
        <f>(IF(B76&gt;4,(H76/(B76+2)+J85),0))</f>
        <v>0</v>
      </c>
    </row>
    <row r="87" spans="1:19" ht="15.75" customHeight="1" x14ac:dyDescent="0.25">
      <c r="A87" s="129" t="s">
        <v>129</v>
      </c>
      <c r="B87" s="130" t="s">
        <v>129</v>
      </c>
      <c r="C87" s="90">
        <v>0</v>
      </c>
      <c r="D87" s="18">
        <f ca="1">((100/(H76))*C87)/100</f>
        <v>0</v>
      </c>
      <c r="E87" s="133"/>
      <c r="F87" s="134"/>
      <c r="G87" s="133"/>
      <c r="H87" s="138"/>
      <c r="I87" s="13" t="s">
        <v>145</v>
      </c>
      <c r="J87" s="29">
        <f ca="1">(IF(B76=1,(H76/(B76+3)+J82),IF(B76=0,(H76/4+J82),IF(B76&gt;1,0))))</f>
        <v>9</v>
      </c>
    </row>
    <row r="88" spans="1:19" ht="16.5" thickBot="1" x14ac:dyDescent="0.3">
      <c r="A88" s="259" t="s">
        <v>130</v>
      </c>
      <c r="B88" s="260"/>
      <c r="C88" s="91">
        <v>0</v>
      </c>
      <c r="D88" s="19">
        <f ca="1">((100/(H76))*C88)/100</f>
        <v>0</v>
      </c>
      <c r="E88" s="135"/>
      <c r="F88" s="136"/>
      <c r="G88" s="135"/>
      <c r="H88" s="139"/>
      <c r="I88" s="14" t="s">
        <v>102</v>
      </c>
      <c r="J88" s="31">
        <f ca="1">(IF(B76&gt;1.5,(H76/(B76+2)+J82+MAX(0,J83-J82)+MAX(0,J84-J83)+MAX(0,J85-J84)+MAX(0,J86-J85)+MAX(0,J87-J86)),IF(B76=1,(H76/(B76+3)+J87),IF(B76=0,H76/4+J87))))</f>
        <v>12</v>
      </c>
    </row>
    <row r="89" spans="1:19" ht="15.75" hidden="1" customHeight="1" x14ac:dyDescent="0.25">
      <c r="A89" s="282" t="s">
        <v>136</v>
      </c>
      <c r="B89" s="283"/>
      <c r="C89" s="284" t="s">
        <v>356</v>
      </c>
      <c r="D89" s="285"/>
      <c r="E89" s="285"/>
      <c r="F89" s="285"/>
      <c r="G89" s="285"/>
      <c r="H89" s="286"/>
      <c r="I89" s="44" t="str">
        <f ca="1">IF(D102=100%,"All work Completed. Possession granted to the Building.",IF(D101=100%,"All work Completed, Waiting for OC",I90&amp;""&amp;I91&amp;""&amp;J90&amp;""&amp;J89&amp;" "&amp;J91))</f>
        <v xml:space="preserve">Excavation Completed, Footing work is process </v>
      </c>
      <c r="J89" s="45"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25">
      <c r="A90" s="98" t="s">
        <v>138</v>
      </c>
      <c r="B90" s="99">
        <f>IF(AND(ISNUMBER(SEARCH("1B",C89))),1,IF(AND(ISNUMBER(SEARCH("2B",C89))),2,IF(AND(ISNUMBER(SEARCH("3B",C89))),3,IF(AND(ISNUMBER(SEARCH("4B",C89))),4,IF(ISNUMBER(SEARCH("5B",C89)),5,0)))))</f>
        <v>1</v>
      </c>
      <c r="C90" s="99" t="s">
        <v>69</v>
      </c>
      <c r="D90" s="99">
        <v>1</v>
      </c>
      <c r="E90" s="99" t="s">
        <v>68</v>
      </c>
      <c r="F90" s="99">
        <v>0</v>
      </c>
      <c r="G90" s="99" t="s">
        <v>77</v>
      </c>
      <c r="H90" s="100">
        <f ca="1">--TRIM(RIGHT(SUBSTITUTE(LEFT(C89,_xlfn.AGGREGATE(16,6,FIND({0,1,2,3,4,5,6,7,8,9},C89,ROW(INDIRECT("1:"&amp;LEN(C89)))),1))," ",REPT(" ",LEN(C89))),LEN(C89)))</f>
        <v>12</v>
      </c>
      <c r="I90" s="46" t="str">
        <f ca="1">IF(D93=100%,"Excavation","")&amp;IF(D94=100%,", Plinth","")&amp;IF(D95=100%,", RCC Slab","")&amp;IF(D96=100%,", Brickwork","")&amp;IF(D97=100%,", Internal Plaster","")&amp;IF(D98=100%,", External Plaster","")&amp;IF(D99=100%,", Flooring","")&amp;IF(D100=100%,", Painting","")&amp;IF(D101=100%,", Building common Amenities","")</f>
        <v>Excavation</v>
      </c>
      <c r="J90" s="47"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Footing work is process</v>
      </c>
      <c r="S90"/>
    </row>
    <row r="91" spans="1:19" hidden="1" x14ac:dyDescent="0.25">
      <c r="A91" s="216" t="s">
        <v>87</v>
      </c>
      <c r="B91" s="217"/>
      <c r="C91" s="184" t="str">
        <f ca="1">I89</f>
        <v xml:space="preserve">Excavation Completed, Footing work is process </v>
      </c>
      <c r="D91" s="184"/>
      <c r="E91" s="184"/>
      <c r="F91" s="184"/>
      <c r="G91" s="184"/>
      <c r="H91" s="185"/>
      <c r="I91" s="46" t="str">
        <f ca="1">IF(I90&lt;&gt;""," Completed","")</f>
        <v xml:space="preserve"> Completed</v>
      </c>
      <c r="J91" s="47" t="str">
        <f ca="1">IF(J89&lt;&gt;"","Completed","")</f>
        <v/>
      </c>
      <c r="S91"/>
    </row>
    <row r="92" spans="1:19" ht="15.75" hidden="1" customHeight="1" x14ac:dyDescent="0.25">
      <c r="A92" s="129" t="s">
        <v>47</v>
      </c>
      <c r="B92" s="130"/>
      <c r="C92" s="90" t="s">
        <v>135</v>
      </c>
      <c r="D92" s="90" t="s">
        <v>80</v>
      </c>
      <c r="E92" s="130" t="s">
        <v>82</v>
      </c>
      <c r="F92" s="130"/>
      <c r="G92" s="130" t="s">
        <v>81</v>
      </c>
      <c r="H92" s="264"/>
      <c r="I92" s="13" t="s">
        <v>137</v>
      </c>
      <c r="J92" s="27">
        <f ca="1">H90*25%</f>
        <v>3</v>
      </c>
      <c r="S92"/>
    </row>
    <row r="93" spans="1:19" hidden="1" x14ac:dyDescent="0.25">
      <c r="A93" s="129" t="s">
        <v>124</v>
      </c>
      <c r="B93" s="130"/>
      <c r="C93" s="90">
        <f ca="1">J94</f>
        <v>12</v>
      </c>
      <c r="D93" s="18">
        <f ca="1">((100/H90)*C93)/100</f>
        <v>1</v>
      </c>
      <c r="E93" s="131">
        <f ca="1">(((C94/H90*10)+(40/(D90+F90+H90)*C95)+(7.5/(H90)*C96)+(7.5/(H90)*C97)+(10/H90*C98)+(10/H90*C99)+(5/H90*C100)+(5/H90*C101)+(5/H90*C102))/100)</f>
        <v>2.5000000000000001E-2</v>
      </c>
      <c r="F93" s="132"/>
      <c r="G93" s="131">
        <f ca="1">((((C93/H90)*20)+((C94/H90)*25)+(30/(H90+F90+D90)*C95)+(5/H90*C96)+(5/H90*C97)+(5/H90*C98)+(5/H90*C99)+(0/H90*C100)+(0/H90*C101)+(5/H90*C102))/100)</f>
        <v>0.26250000000000001</v>
      </c>
      <c r="H93" s="137"/>
      <c r="I93" s="13" t="s">
        <v>98</v>
      </c>
      <c r="J93" s="28">
        <f ca="1">H90*50%</f>
        <v>6</v>
      </c>
    </row>
    <row r="94" spans="1:19" hidden="1" x14ac:dyDescent="0.25">
      <c r="A94" s="129" t="s">
        <v>48</v>
      </c>
      <c r="B94" s="130"/>
      <c r="C94" s="84">
        <f ca="1">J95</f>
        <v>3</v>
      </c>
      <c r="D94" s="18">
        <f ca="1">((100/H90)*C94)/100</f>
        <v>0.25</v>
      </c>
      <c r="E94" s="133"/>
      <c r="F94" s="134"/>
      <c r="G94" s="133"/>
      <c r="H94" s="138"/>
      <c r="I94" s="13" t="s">
        <v>99</v>
      </c>
      <c r="J94" s="28">
        <f ca="1">H90</f>
        <v>12</v>
      </c>
      <c r="S94"/>
    </row>
    <row r="95" spans="1:19" ht="15.75" hidden="1" customHeight="1" x14ac:dyDescent="0.25">
      <c r="A95" s="129" t="s">
        <v>125</v>
      </c>
      <c r="B95" s="130"/>
      <c r="C95" s="90">
        <v>0</v>
      </c>
      <c r="D95" s="18">
        <f ca="1">((100/(D90+F90+H90))*C95)/100</f>
        <v>0</v>
      </c>
      <c r="E95" s="133"/>
      <c r="F95" s="134"/>
      <c r="G95" s="133"/>
      <c r="H95" s="138"/>
      <c r="I95" s="13" t="s">
        <v>100</v>
      </c>
      <c r="J95" s="29">
        <f ca="1">(IF(B90&gt;1,(H90/(B90+2)),H90/4))</f>
        <v>3</v>
      </c>
      <c r="S95"/>
    </row>
    <row r="96" spans="1:19" ht="15.75" hidden="1" customHeight="1" x14ac:dyDescent="0.25">
      <c r="A96" s="129" t="s">
        <v>132</v>
      </c>
      <c r="B96" s="130" t="s">
        <v>126</v>
      </c>
      <c r="C96" s="90">
        <v>0</v>
      </c>
      <c r="D96" s="18">
        <f ca="1">((100/H90)*C96)/100</f>
        <v>0</v>
      </c>
      <c r="E96" s="133"/>
      <c r="F96" s="134"/>
      <c r="G96" s="133"/>
      <c r="H96" s="138"/>
      <c r="I96" s="13" t="s">
        <v>101</v>
      </c>
      <c r="J96" s="29">
        <f ca="1">(IF(B90&gt;1,(H90/(B90+2)+J95),H90/4+J95))</f>
        <v>6</v>
      </c>
    </row>
    <row r="97" spans="1:19" ht="15.75" hidden="1" customHeight="1" x14ac:dyDescent="0.25">
      <c r="A97" s="129" t="s">
        <v>133</v>
      </c>
      <c r="B97" s="130" t="s">
        <v>126</v>
      </c>
      <c r="C97" s="90">
        <v>0</v>
      </c>
      <c r="D97" s="18">
        <f ca="1">((100/H90)*C97)/100</f>
        <v>0</v>
      </c>
      <c r="E97" s="133"/>
      <c r="F97" s="134"/>
      <c r="G97" s="133"/>
      <c r="H97" s="138"/>
      <c r="I97" s="13" t="s">
        <v>144</v>
      </c>
      <c r="J97" s="29">
        <f>(IF(B90&gt;1,(H90/(B90+2)+J96),0))</f>
        <v>0</v>
      </c>
    </row>
    <row r="98" spans="1:19" ht="15" hidden="1" customHeight="1" x14ac:dyDescent="0.25">
      <c r="A98" s="129" t="s">
        <v>131</v>
      </c>
      <c r="B98" s="130" t="s">
        <v>128</v>
      </c>
      <c r="C98" s="90">
        <v>0</v>
      </c>
      <c r="D98" s="18">
        <f ca="1">((100/(H90))*C98)/100</f>
        <v>0</v>
      </c>
      <c r="E98" s="133"/>
      <c r="F98" s="134"/>
      <c r="G98" s="133"/>
      <c r="H98" s="138"/>
      <c r="I98" s="13" t="s">
        <v>139</v>
      </c>
      <c r="J98" s="29">
        <f>(IF(B90&gt;2,(H90/(B90+2)+J97),0))</f>
        <v>0</v>
      </c>
    </row>
    <row r="99" spans="1:19" ht="15.75" hidden="1" customHeight="1" x14ac:dyDescent="0.25">
      <c r="A99" s="129" t="s">
        <v>127</v>
      </c>
      <c r="B99" s="130" t="s">
        <v>127</v>
      </c>
      <c r="C99" s="90">
        <v>0</v>
      </c>
      <c r="D99" s="18">
        <f ca="1">((100/H90)*C99)/100</f>
        <v>0</v>
      </c>
      <c r="E99" s="133"/>
      <c r="F99" s="134"/>
      <c r="G99" s="133"/>
      <c r="H99" s="138"/>
      <c r="I99" s="13" t="s">
        <v>140</v>
      </c>
      <c r="J99" s="30">
        <f>(IF(B90&gt;3,(H90/(B90+2)+J98),0))</f>
        <v>0</v>
      </c>
    </row>
    <row r="100" spans="1:19" ht="15.75" hidden="1" customHeight="1" x14ac:dyDescent="0.25">
      <c r="A100" s="129" t="s">
        <v>134</v>
      </c>
      <c r="B100" s="130"/>
      <c r="C100" s="90">
        <v>0</v>
      </c>
      <c r="D100" s="18">
        <f ca="1">((100/H90)*C100)/100</f>
        <v>0</v>
      </c>
      <c r="E100" s="133"/>
      <c r="F100" s="134"/>
      <c r="G100" s="133"/>
      <c r="H100" s="138"/>
      <c r="I100" s="13" t="s">
        <v>141</v>
      </c>
      <c r="J100" s="29">
        <f>(IF(B90&gt;4,(H90/(B90+2)+J99),0))</f>
        <v>0</v>
      </c>
    </row>
    <row r="101" spans="1:19" ht="15.75" hidden="1" customHeight="1" x14ac:dyDescent="0.25">
      <c r="A101" s="129" t="s">
        <v>129</v>
      </c>
      <c r="B101" s="130" t="s">
        <v>129</v>
      </c>
      <c r="C101" s="90">
        <v>0</v>
      </c>
      <c r="D101" s="18">
        <f ca="1">((100/(H90))*C101)/100</f>
        <v>0</v>
      </c>
      <c r="E101" s="133"/>
      <c r="F101" s="134"/>
      <c r="G101" s="133"/>
      <c r="H101" s="138"/>
      <c r="I101" s="13" t="s">
        <v>145</v>
      </c>
      <c r="J101" s="29">
        <f ca="1">(IF(B90=1,(H90/(B90+3)+J96),IF(B90=0,(H90/4+J96),IF(B90&gt;1,0))))</f>
        <v>9</v>
      </c>
    </row>
    <row r="102" spans="1:19" ht="16.5" hidden="1" thickBot="1" x14ac:dyDescent="0.3">
      <c r="A102" s="228" t="s">
        <v>130</v>
      </c>
      <c r="B102" s="229"/>
      <c r="C102" s="93">
        <v>0</v>
      </c>
      <c r="D102" s="85">
        <f ca="1">((100/(H90))*C102)/100</f>
        <v>0</v>
      </c>
      <c r="E102" s="133"/>
      <c r="F102" s="134"/>
      <c r="G102" s="133"/>
      <c r="H102" s="138"/>
      <c r="I102" s="14" t="s">
        <v>102</v>
      </c>
      <c r="J102" s="31">
        <f ca="1">(IF(B90&gt;1.5,(H90/(B90+2)+J96+MAX(0,J97-J96)+MAX(0,J98-J97)+MAX(0,J99-J98)+MAX(0,J100-J99)+MAX(0,J101-J100)),IF(B90=1,(H90/(B90+3)+J101),IF(B90=0,H90/4+J101))))</f>
        <v>12</v>
      </c>
    </row>
    <row r="103" spans="1:19" hidden="1" x14ac:dyDescent="0.25">
      <c r="A103" s="275" t="s">
        <v>357</v>
      </c>
      <c r="B103" s="276"/>
      <c r="C103" s="279">
        <f ca="1">AVERAGE(E79,E93)</f>
        <v>0.28982371794871797</v>
      </c>
      <c r="D103" s="276"/>
      <c r="E103" s="276" t="s">
        <v>358</v>
      </c>
      <c r="F103" s="276"/>
      <c r="G103" s="279">
        <f ca="1">AVERAGE(G79,G93)</f>
        <v>0.52179487179487172</v>
      </c>
      <c r="H103" s="280"/>
      <c r="I103" s="13"/>
      <c r="J103" s="28"/>
    </row>
    <row r="104" spans="1:19" ht="16.5" hidden="1" thickBot="1" x14ac:dyDescent="0.3">
      <c r="A104" s="277"/>
      <c r="B104" s="278"/>
      <c r="C104" s="278"/>
      <c r="D104" s="278"/>
      <c r="E104" s="278"/>
      <c r="F104" s="278"/>
      <c r="G104" s="278"/>
      <c r="H104" s="281"/>
      <c r="I104" s="13"/>
      <c r="J104" s="28"/>
    </row>
    <row r="105" spans="1:19" ht="15.75" customHeight="1" x14ac:dyDescent="0.25">
      <c r="A105" s="179" t="s">
        <v>136</v>
      </c>
      <c r="B105" s="180"/>
      <c r="C105" s="181" t="s">
        <v>409</v>
      </c>
      <c r="D105" s="182"/>
      <c r="E105" s="182"/>
      <c r="F105" s="182"/>
      <c r="G105" s="182"/>
      <c r="H105" s="183"/>
      <c r="I105" s="44" t="str">
        <f ca="1">IF(D118=100%,"All work Completed. Possession granted to the Building.",IF(D117=100%,"All work Completed, Waiting for OC",I106&amp;""&amp;I107&amp;""&amp;J106&amp;""&amp;J105&amp;" "&amp;J107))</f>
        <v>Excavation, Plinth Completed, RCC upto 12 Slab, Brickwork upto 8 Floor, Internal Plaster upto 2 Floor Completed</v>
      </c>
      <c r="J105" s="45"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RCC upto 12 Slab, Brickwork upto 8 Floor, Internal Plaster upto 2 Floor</v>
      </c>
      <c r="S105"/>
    </row>
    <row r="106" spans="1:19" x14ac:dyDescent="0.25">
      <c r="A106" s="98" t="s">
        <v>138</v>
      </c>
      <c r="B106" s="99">
        <f>IF(AND(ISNUMBER(SEARCH("1B",C105))),1,IF(AND(ISNUMBER(SEARCH("2B",C105))),2,IF(AND(ISNUMBER(SEARCH("3B",C105))),3,IF(AND(ISNUMBER(SEARCH("4B",C105))),4,IF(ISNUMBER(SEARCH("5B",C105)),5,0)))))</f>
        <v>1</v>
      </c>
      <c r="C106" s="99" t="s">
        <v>69</v>
      </c>
      <c r="D106" s="99">
        <v>1</v>
      </c>
      <c r="E106" s="99" t="s">
        <v>68</v>
      </c>
      <c r="F106" s="99">
        <v>0</v>
      </c>
      <c r="G106" s="99" t="s">
        <v>77</v>
      </c>
      <c r="H106" s="100">
        <f ca="1">--TRIM(RIGHT(SUBSTITUTE(LEFT(C105,_xlfn.AGGREGATE(16,6,FIND({0,1,2,3,4,5,6,7,8,9},C105,ROW(INDIRECT("1:"&amp;LEN(C105)))),1))," ",REPT(" ",LEN(C105))),LEN(C105)))</f>
        <v>12</v>
      </c>
      <c r="I106" s="46" t="str">
        <f ca="1">IF(D109=100%,"Excavation","")&amp;IF(D110=100%,", Plinth","")&amp;IF(D111=100%,", RCC Slab","")&amp;IF(D112=100%,", Brickwork","")&amp;IF(D113=100%,", Internal Plaster","")&amp;IF(D114=100%,", External Plaster","")&amp;IF(D115=100%,", Flooring","")&amp;IF(D116=100%,", Painting","")&amp;IF(D117=100%,", Building common Amenities","")</f>
        <v>Excavation, Plinth</v>
      </c>
      <c r="J106" s="47"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ht="32.25" customHeight="1" x14ac:dyDescent="0.25">
      <c r="A107" s="216" t="s">
        <v>87</v>
      </c>
      <c r="B107" s="217"/>
      <c r="C107" s="184" t="str">
        <f ca="1">I105</f>
        <v>Excavation, Plinth Completed, RCC upto 12 Slab, Brickwork upto 8 Floor, Internal Plaster upto 2 Floor Completed</v>
      </c>
      <c r="D107" s="184"/>
      <c r="E107" s="184"/>
      <c r="F107" s="184"/>
      <c r="G107" s="184"/>
      <c r="H107" s="185"/>
      <c r="I107" s="46" t="str">
        <f ca="1">IF(I106&lt;&gt;""," Completed","")</f>
        <v xml:space="preserve"> Completed</v>
      </c>
      <c r="J107" s="47" t="str">
        <f ca="1">IF(J105&lt;&gt;"","Completed","")</f>
        <v>Completed</v>
      </c>
      <c r="S107"/>
    </row>
    <row r="108" spans="1:19" ht="15.75" customHeight="1" x14ac:dyDescent="0.25">
      <c r="A108" s="129" t="s">
        <v>47</v>
      </c>
      <c r="B108" s="130"/>
      <c r="C108" s="90" t="s">
        <v>135</v>
      </c>
      <c r="D108" s="90" t="s">
        <v>80</v>
      </c>
      <c r="E108" s="130" t="s">
        <v>82</v>
      </c>
      <c r="F108" s="130"/>
      <c r="G108" s="130" t="s">
        <v>81</v>
      </c>
      <c r="H108" s="264"/>
      <c r="I108" s="13" t="s">
        <v>137</v>
      </c>
      <c r="J108" s="27">
        <f ca="1">H106*25%</f>
        <v>3</v>
      </c>
      <c r="S108"/>
    </row>
    <row r="109" spans="1:19" x14ac:dyDescent="0.25">
      <c r="A109" s="129" t="s">
        <v>124</v>
      </c>
      <c r="B109" s="130"/>
      <c r="C109" s="90">
        <f ca="1">J110</f>
        <v>12</v>
      </c>
      <c r="D109" s="18">
        <f ca="1">((100/H106)*C109)/100</f>
        <v>1</v>
      </c>
      <c r="E109" s="131">
        <f ca="1">(((C110/H106*10)+(40/(D106+F106+H106)*C111)+(7.5/(H106)*C112)+(7.5/(H106)*C113)+(10/H106*C114)+(10/H106*C115)+(5/H106*C116)+(5/H106*C117)+(5/H106*C118))/100)</f>
        <v>0.53173076923076923</v>
      </c>
      <c r="F109" s="132"/>
      <c r="G109" s="131">
        <f ca="1">((((C109/H106)*20)+((C110/H106)*25)+(30/(H106+F106+D106)*C111)+(5/H106*C112)+(5/H106*C113)+(5/H106*C114)+(5/H106*C115)+(0/H106*C116)+(0/H106*C117)+(5/H106*C118))/100)</f>
        <v>0.76858974358974352</v>
      </c>
      <c r="H109" s="137"/>
      <c r="I109" s="13" t="s">
        <v>98</v>
      </c>
      <c r="J109" s="28">
        <f ca="1">H106*50%</f>
        <v>6</v>
      </c>
    </row>
    <row r="110" spans="1:19" x14ac:dyDescent="0.25">
      <c r="A110" s="129" t="s">
        <v>48</v>
      </c>
      <c r="B110" s="130"/>
      <c r="C110" s="84">
        <f ca="1">J118</f>
        <v>12</v>
      </c>
      <c r="D110" s="18">
        <f ca="1">((100/H106)*C110)/100</f>
        <v>1</v>
      </c>
      <c r="E110" s="133"/>
      <c r="F110" s="134"/>
      <c r="G110" s="133"/>
      <c r="H110" s="138"/>
      <c r="I110" s="13" t="s">
        <v>99</v>
      </c>
      <c r="J110" s="28">
        <f ca="1">H106</f>
        <v>12</v>
      </c>
      <c r="S110"/>
    </row>
    <row r="111" spans="1:19" ht="15.75" customHeight="1" x14ac:dyDescent="0.25">
      <c r="A111" s="129" t="s">
        <v>125</v>
      </c>
      <c r="B111" s="130"/>
      <c r="C111" s="90">
        <v>12</v>
      </c>
      <c r="D111" s="18">
        <f ca="1">((100/(D106+F106+H106))*C111)/100</f>
        <v>0.92307692307692302</v>
      </c>
      <c r="E111" s="133"/>
      <c r="F111" s="134"/>
      <c r="G111" s="133"/>
      <c r="H111" s="138"/>
      <c r="I111" s="13" t="s">
        <v>100</v>
      </c>
      <c r="J111" s="29">
        <f ca="1">(IF(B106&gt;1,(H106/(B106+2)),H106/4))</f>
        <v>3</v>
      </c>
      <c r="S111"/>
    </row>
    <row r="112" spans="1:19" ht="15.75" customHeight="1" x14ac:dyDescent="0.25">
      <c r="A112" s="129" t="s">
        <v>132</v>
      </c>
      <c r="B112" s="130" t="s">
        <v>126</v>
      </c>
      <c r="C112" s="90">
        <v>8</v>
      </c>
      <c r="D112" s="18">
        <f ca="1">((100/H106)*C112)/100</f>
        <v>0.66666666666666674</v>
      </c>
      <c r="E112" s="133"/>
      <c r="F112" s="134"/>
      <c r="G112" s="133"/>
      <c r="H112" s="138"/>
      <c r="I112" s="13" t="s">
        <v>101</v>
      </c>
      <c r="J112" s="29">
        <f ca="1">(IF(B106&gt;1,(H106/(B106+2)+J111),H106/4+J111))</f>
        <v>6</v>
      </c>
    </row>
    <row r="113" spans="1:19" ht="15.75" customHeight="1" x14ac:dyDescent="0.25">
      <c r="A113" s="129" t="s">
        <v>133</v>
      </c>
      <c r="B113" s="130" t="s">
        <v>126</v>
      </c>
      <c r="C113" s="90">
        <v>2</v>
      </c>
      <c r="D113" s="18">
        <f ca="1">((100/H106)*C113)/100</f>
        <v>0.16666666666666669</v>
      </c>
      <c r="E113" s="133"/>
      <c r="F113" s="134"/>
      <c r="G113" s="133"/>
      <c r="H113" s="138"/>
      <c r="I113" s="13" t="s">
        <v>144</v>
      </c>
      <c r="J113" s="29">
        <f>(IF(B106&gt;1,(H106/(B106+2)+J112),0))</f>
        <v>0</v>
      </c>
    </row>
    <row r="114" spans="1:19" ht="15" customHeight="1" x14ac:dyDescent="0.25">
      <c r="A114" s="129" t="s">
        <v>131</v>
      </c>
      <c r="B114" s="130" t="s">
        <v>128</v>
      </c>
      <c r="C114" s="90">
        <v>0</v>
      </c>
      <c r="D114" s="18">
        <f ca="1">((100/(H106))*C114)/100</f>
        <v>0</v>
      </c>
      <c r="E114" s="133"/>
      <c r="F114" s="134"/>
      <c r="G114" s="133"/>
      <c r="H114" s="138"/>
      <c r="I114" s="13" t="s">
        <v>139</v>
      </c>
      <c r="J114" s="29">
        <f>(IF(B106&gt;2,(H106/(B106+2)+J113),0))</f>
        <v>0</v>
      </c>
    </row>
    <row r="115" spans="1:19" ht="15.75" customHeight="1" x14ac:dyDescent="0.25">
      <c r="A115" s="129" t="s">
        <v>127</v>
      </c>
      <c r="B115" s="130" t="s">
        <v>127</v>
      </c>
      <c r="C115" s="90">
        <v>0</v>
      </c>
      <c r="D115" s="18">
        <f ca="1">((100/H106)*C115)/100</f>
        <v>0</v>
      </c>
      <c r="E115" s="133"/>
      <c r="F115" s="134"/>
      <c r="G115" s="133"/>
      <c r="H115" s="138"/>
      <c r="I115" s="13" t="s">
        <v>140</v>
      </c>
      <c r="J115" s="30">
        <f>(IF(B106&gt;3,(H106/(B106+2)+J114),0))</f>
        <v>0</v>
      </c>
    </row>
    <row r="116" spans="1:19" ht="15.75" customHeight="1" x14ac:dyDescent="0.25">
      <c r="A116" s="129" t="s">
        <v>134</v>
      </c>
      <c r="B116" s="130"/>
      <c r="C116" s="90">
        <v>0</v>
      </c>
      <c r="D116" s="18">
        <f ca="1">((100/H106)*C116)/100</f>
        <v>0</v>
      </c>
      <c r="E116" s="133"/>
      <c r="F116" s="134"/>
      <c r="G116" s="133"/>
      <c r="H116" s="138"/>
      <c r="I116" s="13" t="s">
        <v>141</v>
      </c>
      <c r="J116" s="29">
        <f>(IF(B106&gt;4,(H106/(B106+2)+J115),0))</f>
        <v>0</v>
      </c>
    </row>
    <row r="117" spans="1:19" ht="15.75" customHeight="1" x14ac:dyDescent="0.25">
      <c r="A117" s="129" t="s">
        <v>129</v>
      </c>
      <c r="B117" s="130" t="s">
        <v>129</v>
      </c>
      <c r="C117" s="90">
        <v>0</v>
      </c>
      <c r="D117" s="18">
        <f ca="1">((100/(H106))*C117)/100</f>
        <v>0</v>
      </c>
      <c r="E117" s="133"/>
      <c r="F117" s="134"/>
      <c r="G117" s="133"/>
      <c r="H117" s="138"/>
      <c r="I117" s="13" t="s">
        <v>145</v>
      </c>
      <c r="J117" s="29">
        <f ca="1">(IF(B106=1,(H106/(B106+3)+J112),IF(B106=0,(H106/4+J112),IF(B106&gt;1,0))))</f>
        <v>9</v>
      </c>
    </row>
    <row r="118" spans="1:19" ht="16.5" thickBot="1" x14ac:dyDescent="0.3">
      <c r="A118" s="259" t="s">
        <v>130</v>
      </c>
      <c r="B118" s="260"/>
      <c r="C118" s="91">
        <v>0</v>
      </c>
      <c r="D118" s="19">
        <f ca="1">((100/(H106))*C118)/100</f>
        <v>0</v>
      </c>
      <c r="E118" s="135"/>
      <c r="F118" s="136"/>
      <c r="G118" s="135"/>
      <c r="H118" s="139"/>
      <c r="I118" s="14" t="s">
        <v>102</v>
      </c>
      <c r="J118" s="31">
        <f ca="1">(IF(B106&gt;1.5,(H106/(B106+2)+J112+MAX(0,J113-J112)+MAX(0,J114-J113)+MAX(0,J115-J114)+MAX(0,J116-J115)+MAX(0,J117-J116)),IF(B106=1,(H106/(B106+3)+J117),IF(B106=0,H106/4+J117))))</f>
        <v>12</v>
      </c>
    </row>
    <row r="119" spans="1:19" ht="15.75" customHeight="1" x14ac:dyDescent="0.25">
      <c r="A119" s="170" t="s">
        <v>136</v>
      </c>
      <c r="B119" s="171"/>
      <c r="C119" s="172" t="s">
        <v>410</v>
      </c>
      <c r="D119" s="173"/>
      <c r="E119" s="173"/>
      <c r="F119" s="173"/>
      <c r="G119" s="173"/>
      <c r="H119" s="174"/>
      <c r="I119" s="44" t="str">
        <f ca="1">IF(D132=100%,"All work Completed. Possession granted to the Building.",IF(D131=100%,"All work Completed, Waiting for OC",I120&amp;""&amp;I121&amp;""&amp;J120&amp;""&amp;J119&amp;" "&amp;J121))</f>
        <v>Excavation, Plinth, RCC Slab, Brickwork Completed, Internal Plaster upto 8 Floor, External Plaster upto 5 Floor Completed</v>
      </c>
      <c r="J119" s="45" t="str">
        <f ca="1">(IF(C125=(D120+F120+H120),"",IF(C125&gt;0,", RCC upto "&amp;C125&amp;" Slab","")))&amp;(IF(C126=H120,"",IF(C126&gt;0,", Brickwork upto "&amp;C126&amp;" Floor","")))&amp;(IF(C127=H120,"",IF(C127&gt;0,", Internal Plaster upto "&amp;C127&amp;" Floor","")))&amp;(IF(C128=H120,"",IF(C128&gt;0,", External Plaster upto "&amp;C128&amp;" Floor","")))&amp;(IF(C129=H120,"",IF(C129&gt;0,", Flooring upto "&amp;C129&amp;" Floor","")))&amp;(IF(C130=H120,"",IF(C130&gt;0,", Painting upto "&amp;C130&amp;" Floor","")))&amp;(IF(C131=H120,"",IF(C131&gt;0,", Finishing upto "&amp;C131&amp;" Floor","")))&amp;(IF(C132=H120,"",IF(C132&gt;0,", Possession upto "&amp;C132&amp;" Floor","")))</f>
        <v>, Internal Plaster upto 8 Floor, External Plaster upto 5 Floor</v>
      </c>
      <c r="S119"/>
    </row>
    <row r="120" spans="1:19" x14ac:dyDescent="0.25">
      <c r="A120" s="15" t="s">
        <v>138</v>
      </c>
      <c r="B120" s="48">
        <f>IF(AND(ISNUMBER(SEARCH("1B",C119))),1,IF(AND(ISNUMBER(SEARCH("2B",C119))),2,IF(AND(ISNUMBER(SEARCH("3B",C119))),3,IF(AND(ISNUMBER(SEARCH("4B",C119))),4,IF(ISNUMBER(SEARCH("5B",C119)),5,0)))))</f>
        <v>1</v>
      </c>
      <c r="C120" s="48" t="s">
        <v>69</v>
      </c>
      <c r="D120" s="48">
        <v>1</v>
      </c>
      <c r="E120" s="48" t="s">
        <v>68</v>
      </c>
      <c r="F120" s="48">
        <v>0</v>
      </c>
      <c r="G120" s="48" t="s">
        <v>77</v>
      </c>
      <c r="H120" s="16">
        <f ca="1">--TRIM(RIGHT(SUBSTITUTE(LEFT(C119,_xlfn.AGGREGATE(16,6,FIND({0,1,2,3,4,5,6,7,8,9},C119,ROW(INDIRECT("1:"&amp;LEN(C119)))),1))," ",REPT(" ",LEN(C119))),LEN(C119)))</f>
        <v>12</v>
      </c>
      <c r="I120" s="46" t="str">
        <f ca="1">IF(D123=100%,"Excavation","")&amp;IF(D124=100%,", Plinth","")&amp;IF(D125=100%,", RCC Slab","")&amp;IF(D126=100%,", Brickwork","")&amp;IF(D127=100%,", Internal Plaster","")&amp;IF(D128=100%,", External Plaster","")&amp;IF(D129=100%,", Flooring","")&amp;IF(D130=100%,", Painting","")&amp;IF(D131=100%,", Building common Amenities","")</f>
        <v>Excavation, Plinth, RCC Slab, Brickwork</v>
      </c>
      <c r="J120" s="47" t="str">
        <f ca="1">(IF(C123=0,"Work not yet Started.",IF(D123=25%,"Piling work in process",IF(D123=50%,"Excavation work in process",IF(D123=100%,"","0")))))&amp;(IF(C124=0%,"",IF(C124=J125,", Footing work is process",IF(C124=J126,", Footing work Completed",IF(C124=J127,", 1st Basement Completed",IF(C124=J128,", 1st &amp; 2nd Basement Completed",IF(C124=J129,", 1st to 3rd Basement Completed",IF(C124=J130,", 1st to 4th Basement Completed",IF(C124=J131,", Plinth work is process",IF(C124=J132,"","0"))))))))))</f>
        <v/>
      </c>
      <c r="S120"/>
    </row>
    <row r="121" spans="1:19" ht="32.25" customHeight="1" x14ac:dyDescent="0.25">
      <c r="A121" s="175" t="s">
        <v>87</v>
      </c>
      <c r="B121" s="176"/>
      <c r="C121" s="177" t="str">
        <f ca="1">I119</f>
        <v>Excavation, Plinth, RCC Slab, Brickwork Completed, Internal Plaster upto 8 Floor, External Plaster upto 5 Floor Completed</v>
      </c>
      <c r="D121" s="177"/>
      <c r="E121" s="177"/>
      <c r="F121" s="177"/>
      <c r="G121" s="177"/>
      <c r="H121" s="178"/>
      <c r="I121" s="46" t="str">
        <f ca="1">IF(I120&lt;&gt;""," Completed","")</f>
        <v xml:space="preserve"> Completed</v>
      </c>
      <c r="J121" s="47" t="str">
        <f ca="1">IF(J119&lt;&gt;"","Completed","")</f>
        <v>Completed</v>
      </c>
      <c r="S121"/>
    </row>
    <row r="122" spans="1:19" ht="15.75" customHeight="1" x14ac:dyDescent="0.25">
      <c r="A122" s="117" t="s">
        <v>47</v>
      </c>
      <c r="B122" s="118"/>
      <c r="C122" s="101" t="s">
        <v>135</v>
      </c>
      <c r="D122" s="101" t="s">
        <v>80</v>
      </c>
      <c r="E122" s="118" t="s">
        <v>82</v>
      </c>
      <c r="F122" s="118"/>
      <c r="G122" s="118" t="s">
        <v>81</v>
      </c>
      <c r="H122" s="119"/>
      <c r="I122" s="13" t="s">
        <v>137</v>
      </c>
      <c r="J122" s="27">
        <f ca="1">H120*25%</f>
        <v>3</v>
      </c>
      <c r="S122"/>
    </row>
    <row r="123" spans="1:19" x14ac:dyDescent="0.25">
      <c r="A123" s="117" t="s">
        <v>124</v>
      </c>
      <c r="B123" s="118"/>
      <c r="C123" s="101">
        <f ca="1">J124</f>
        <v>12</v>
      </c>
      <c r="D123" s="102">
        <f ca="1">((100/H120)*C123)/100</f>
        <v>1</v>
      </c>
      <c r="E123" s="120">
        <f ca="1">(((C124/H120*10)+(40/(D120+F120+H120)*C125)+(7.5/(H120)*C126)+(7.5/(H120)*C127)+(10/H120*C128)+(10/H120*C129)+(5/H120*C130)+(5/H120*C131)+(5/H120*C132))/100)</f>
        <v>0.66666666666666674</v>
      </c>
      <c r="F123" s="121"/>
      <c r="G123" s="120">
        <f ca="1">((((C123/H120)*20)+((C124/H120)*25)+(30/(H120+F120+D120)*C125)+(5/H120*C126)+(5/H120*C127)+(5/H120*C128)+(5/H120*C129)+(0/H120*C130)+(0/H120*C131)+(5/H120*C132))/100)</f>
        <v>0.85416666666666652</v>
      </c>
      <c r="H123" s="126"/>
      <c r="I123" s="13" t="s">
        <v>98</v>
      </c>
      <c r="J123" s="28">
        <f ca="1">H120*50%</f>
        <v>6</v>
      </c>
    </row>
    <row r="124" spans="1:19" x14ac:dyDescent="0.25">
      <c r="A124" s="117" t="s">
        <v>48</v>
      </c>
      <c r="B124" s="118"/>
      <c r="C124" s="103">
        <f ca="1">J132</f>
        <v>12</v>
      </c>
      <c r="D124" s="102">
        <f ca="1">((100/H120)*C124)/100</f>
        <v>1</v>
      </c>
      <c r="E124" s="122"/>
      <c r="F124" s="123"/>
      <c r="G124" s="122"/>
      <c r="H124" s="127"/>
      <c r="I124" s="13" t="s">
        <v>99</v>
      </c>
      <c r="J124" s="28">
        <f ca="1">H120</f>
        <v>12</v>
      </c>
      <c r="S124"/>
    </row>
    <row r="125" spans="1:19" ht="15.75" customHeight="1" x14ac:dyDescent="0.25">
      <c r="A125" s="117" t="s">
        <v>125</v>
      </c>
      <c r="B125" s="118"/>
      <c r="C125" s="101">
        <v>13</v>
      </c>
      <c r="D125" s="102">
        <f ca="1">((100/(D120+F120+H120))*C125)/100</f>
        <v>1</v>
      </c>
      <c r="E125" s="122"/>
      <c r="F125" s="123"/>
      <c r="G125" s="122"/>
      <c r="H125" s="127"/>
      <c r="I125" s="13" t="s">
        <v>100</v>
      </c>
      <c r="J125" s="29">
        <f ca="1">(IF(B120&gt;1,(H120/(B120+2)),H120/4))</f>
        <v>3</v>
      </c>
      <c r="S125"/>
    </row>
    <row r="126" spans="1:19" ht="15.75" customHeight="1" x14ac:dyDescent="0.25">
      <c r="A126" s="117" t="s">
        <v>132</v>
      </c>
      <c r="B126" s="118" t="s">
        <v>126</v>
      </c>
      <c r="C126" s="101">
        <v>12</v>
      </c>
      <c r="D126" s="102">
        <f ca="1">((100/H120)*C126)/100</f>
        <v>1</v>
      </c>
      <c r="E126" s="122"/>
      <c r="F126" s="123"/>
      <c r="G126" s="122"/>
      <c r="H126" s="127"/>
      <c r="I126" s="13" t="s">
        <v>101</v>
      </c>
      <c r="J126" s="29">
        <f ca="1">(IF(B120&gt;1,(H120/(B120+2)+J125),H120/4+J125))</f>
        <v>6</v>
      </c>
    </row>
    <row r="127" spans="1:19" ht="15.75" customHeight="1" x14ac:dyDescent="0.25">
      <c r="A127" s="117" t="s">
        <v>133</v>
      </c>
      <c r="B127" s="118" t="s">
        <v>126</v>
      </c>
      <c r="C127" s="101">
        <v>8</v>
      </c>
      <c r="D127" s="102">
        <f ca="1">((100/H120)*C127)/100</f>
        <v>0.66666666666666674</v>
      </c>
      <c r="E127" s="122"/>
      <c r="F127" s="123"/>
      <c r="G127" s="122"/>
      <c r="H127" s="127"/>
      <c r="I127" s="13" t="s">
        <v>144</v>
      </c>
      <c r="J127" s="29">
        <f>(IF(B120&gt;1,(H120/(B120+2)+J126),0))</f>
        <v>0</v>
      </c>
    </row>
    <row r="128" spans="1:19" ht="15" customHeight="1" x14ac:dyDescent="0.25">
      <c r="A128" s="117" t="s">
        <v>131</v>
      </c>
      <c r="B128" s="118" t="s">
        <v>128</v>
      </c>
      <c r="C128" s="101">
        <v>5</v>
      </c>
      <c r="D128" s="102">
        <f ca="1">((100/(H120))*C128)/100</f>
        <v>0.41666666666666674</v>
      </c>
      <c r="E128" s="122"/>
      <c r="F128" s="123"/>
      <c r="G128" s="122"/>
      <c r="H128" s="127"/>
      <c r="I128" s="13" t="s">
        <v>139</v>
      </c>
      <c r="J128" s="29">
        <f>(IF(B120&gt;2,(H120/(B120+2)+J127),0))</f>
        <v>0</v>
      </c>
    </row>
    <row r="129" spans="1:22" ht="15.75" customHeight="1" x14ac:dyDescent="0.25">
      <c r="A129" s="117" t="s">
        <v>127</v>
      </c>
      <c r="B129" s="118" t="s">
        <v>127</v>
      </c>
      <c r="C129" s="101">
        <v>0</v>
      </c>
      <c r="D129" s="102">
        <f ca="1">((100/H120)*C129)/100</f>
        <v>0</v>
      </c>
      <c r="E129" s="122"/>
      <c r="F129" s="123"/>
      <c r="G129" s="122"/>
      <c r="H129" s="127"/>
      <c r="I129" s="13" t="s">
        <v>140</v>
      </c>
      <c r="J129" s="30">
        <f>(IF(B120&gt;3,(H120/(B120+2)+J128),0))</f>
        <v>0</v>
      </c>
    </row>
    <row r="130" spans="1:22" ht="15.75" customHeight="1" x14ac:dyDescent="0.25">
      <c r="A130" s="117" t="s">
        <v>134</v>
      </c>
      <c r="B130" s="118"/>
      <c r="C130" s="101">
        <v>0</v>
      </c>
      <c r="D130" s="102">
        <f ca="1">((100/H120)*C130)/100</f>
        <v>0</v>
      </c>
      <c r="E130" s="122"/>
      <c r="F130" s="123"/>
      <c r="G130" s="122"/>
      <c r="H130" s="127"/>
      <c r="I130" s="13" t="s">
        <v>141</v>
      </c>
      <c r="J130" s="29">
        <f>(IF(B120&gt;4,(H120/(B120+2)+J129),0))</f>
        <v>0</v>
      </c>
    </row>
    <row r="131" spans="1:22" ht="15.75" customHeight="1" x14ac:dyDescent="0.25">
      <c r="A131" s="117" t="s">
        <v>129</v>
      </c>
      <c r="B131" s="118" t="s">
        <v>129</v>
      </c>
      <c r="C131" s="101">
        <v>0</v>
      </c>
      <c r="D131" s="102">
        <f ca="1">((100/(H120))*C131)/100</f>
        <v>0</v>
      </c>
      <c r="E131" s="122"/>
      <c r="F131" s="123"/>
      <c r="G131" s="122"/>
      <c r="H131" s="127"/>
      <c r="I131" s="13" t="s">
        <v>145</v>
      </c>
      <c r="J131" s="29">
        <f ca="1">(IF(B120=1,(H120/(B120+3)+J126),IF(B120=0,(H120/4+J126),IF(B120&gt;1,0))))</f>
        <v>9</v>
      </c>
    </row>
    <row r="132" spans="1:22" ht="16.5" thickBot="1" x14ac:dyDescent="0.3">
      <c r="A132" s="152" t="s">
        <v>130</v>
      </c>
      <c r="B132" s="153"/>
      <c r="C132" s="104">
        <v>0</v>
      </c>
      <c r="D132" s="105">
        <f ca="1">((100/(H120))*C132)/100</f>
        <v>0</v>
      </c>
      <c r="E132" s="124"/>
      <c r="F132" s="125"/>
      <c r="G132" s="124"/>
      <c r="H132" s="128"/>
      <c r="I132" s="14" t="s">
        <v>102</v>
      </c>
      <c r="J132" s="31">
        <f ca="1">(IF(B120&gt;1.5,(H120/(B120+2)+J126+MAX(0,J127-J126)+MAX(0,J128-J127)+MAX(0,J129-J128)+MAX(0,J130-J129)+MAX(0,J131-J130)),IF(B120=1,(H120/(B120+3)+J131),IF(B120=0,H120/4+J131))))</f>
        <v>12</v>
      </c>
    </row>
    <row r="133" spans="1:22" x14ac:dyDescent="0.25">
      <c r="A133" s="263" t="s">
        <v>156</v>
      </c>
      <c r="B133" s="263"/>
      <c r="C133" s="263"/>
      <c r="D133" s="263"/>
      <c r="E133" s="263"/>
      <c r="F133" s="249" t="s">
        <v>160</v>
      </c>
      <c r="G133" s="249"/>
      <c r="H133" s="249"/>
      <c r="R133" t="s">
        <v>254</v>
      </c>
      <c r="S133" t="s">
        <v>172</v>
      </c>
      <c r="T133" t="s">
        <v>180</v>
      </c>
      <c r="U133" t="s">
        <v>194</v>
      </c>
      <c r="V133" t="s">
        <v>189</v>
      </c>
    </row>
    <row r="134" spans="1:22" x14ac:dyDescent="0.25">
      <c r="A134" s="143" t="s">
        <v>158</v>
      </c>
      <c r="B134" s="143"/>
      <c r="C134" s="143"/>
      <c r="D134" s="143"/>
      <c r="E134" s="143"/>
      <c r="F134" s="186">
        <v>4200</v>
      </c>
      <c r="G134" s="186"/>
      <c r="H134" s="186"/>
      <c r="R134"/>
      <c r="S134">
        <v>800000</v>
      </c>
      <c r="T134">
        <v>150000</v>
      </c>
      <c r="U134">
        <v>100000</v>
      </c>
      <c r="V134">
        <v>100000</v>
      </c>
    </row>
    <row r="135" spans="1:22" x14ac:dyDescent="0.25">
      <c r="A135" s="143" t="s">
        <v>157</v>
      </c>
      <c r="B135" s="143"/>
      <c r="C135" s="143"/>
      <c r="D135" s="143"/>
      <c r="E135" s="143"/>
      <c r="F135" s="186">
        <v>7000</v>
      </c>
      <c r="G135" s="186"/>
      <c r="H135" s="186"/>
      <c r="I135" s="20" t="s">
        <v>406</v>
      </c>
      <c r="R135"/>
      <c r="S135">
        <v>900000</v>
      </c>
      <c r="T135">
        <v>200000</v>
      </c>
      <c r="U135">
        <v>150000</v>
      </c>
      <c r="V135">
        <v>150000</v>
      </c>
    </row>
    <row r="136" spans="1:22" x14ac:dyDescent="0.25">
      <c r="A136" s="143" t="s">
        <v>159</v>
      </c>
      <c r="B136" s="143"/>
      <c r="C136" s="143"/>
      <c r="D136" s="143"/>
      <c r="E136" s="143"/>
      <c r="F136" s="186">
        <v>6000</v>
      </c>
      <c r="G136" s="186"/>
      <c r="H136" s="186"/>
      <c r="R136"/>
      <c r="S136">
        <v>1000000</v>
      </c>
      <c r="T136">
        <v>250000</v>
      </c>
      <c r="U136">
        <v>200000</v>
      </c>
      <c r="V136">
        <v>200000</v>
      </c>
    </row>
    <row r="137" spans="1:22" s="32" customFormat="1" hidden="1" x14ac:dyDescent="0.25">
      <c r="A137" s="143" t="s">
        <v>175</v>
      </c>
      <c r="B137" s="143"/>
      <c r="C137" s="143"/>
      <c r="D137" s="143"/>
      <c r="E137" s="143"/>
      <c r="F137" s="186"/>
      <c r="G137" s="186"/>
      <c r="H137" s="186"/>
      <c r="R137"/>
      <c r="S137">
        <v>1100000</v>
      </c>
      <c r="T137">
        <v>300000</v>
      </c>
      <c r="U137">
        <v>250000</v>
      </c>
      <c r="V137" s="22">
        <v>250000</v>
      </c>
    </row>
    <row r="138" spans="1:22" s="32" customFormat="1" x14ac:dyDescent="0.25">
      <c r="A138" s="143" t="s">
        <v>92</v>
      </c>
      <c r="B138" s="143"/>
      <c r="C138" s="143"/>
      <c r="D138" s="143"/>
      <c r="E138" s="143"/>
      <c r="F138" s="186">
        <v>200000</v>
      </c>
      <c r="G138" s="186"/>
      <c r="H138" s="186"/>
      <c r="R138"/>
      <c r="S138">
        <v>1200000</v>
      </c>
      <c r="T138">
        <v>350000</v>
      </c>
      <c r="U138">
        <v>300000</v>
      </c>
      <c r="V138">
        <v>300000</v>
      </c>
    </row>
    <row r="139" spans="1:22" s="32" customFormat="1" hidden="1" x14ac:dyDescent="0.25">
      <c r="A139" s="143" t="s">
        <v>93</v>
      </c>
      <c r="B139" s="143"/>
      <c r="C139" s="143"/>
      <c r="D139" s="143"/>
      <c r="E139" s="143"/>
      <c r="F139" s="186"/>
      <c r="G139" s="186"/>
      <c r="H139" s="186"/>
      <c r="R139"/>
      <c r="S139">
        <v>1300000</v>
      </c>
      <c r="T139">
        <v>400000</v>
      </c>
      <c r="U139">
        <v>350000</v>
      </c>
      <c r="V139" s="22">
        <v>400000</v>
      </c>
    </row>
    <row r="140" spans="1:22" s="32" customFormat="1" hidden="1" x14ac:dyDescent="0.25">
      <c r="A140" s="143" t="s">
        <v>94</v>
      </c>
      <c r="B140" s="143"/>
      <c r="C140" s="143"/>
      <c r="D140" s="143"/>
      <c r="E140" s="143"/>
      <c r="F140" s="186"/>
      <c r="G140" s="186"/>
      <c r="H140" s="186"/>
      <c r="R140"/>
      <c r="S140">
        <v>1400000</v>
      </c>
      <c r="T140">
        <v>500000</v>
      </c>
      <c r="U140">
        <v>400000</v>
      </c>
      <c r="V140"/>
    </row>
    <row r="141" spans="1:22" s="32" customFormat="1" hidden="1" x14ac:dyDescent="0.25">
      <c r="A141" s="143" t="s">
        <v>95</v>
      </c>
      <c r="B141" s="143"/>
      <c r="C141" s="143"/>
      <c r="D141" s="143"/>
      <c r="E141" s="143"/>
      <c r="F141" s="186"/>
      <c r="G141" s="186"/>
      <c r="H141" s="186"/>
      <c r="R141"/>
      <c r="S141">
        <v>1500000</v>
      </c>
      <c r="T141">
        <v>600000</v>
      </c>
      <c r="U141">
        <v>500000</v>
      </c>
      <c r="V141" s="22"/>
    </row>
    <row r="142" spans="1:22" s="32" customFormat="1" hidden="1" x14ac:dyDescent="0.25">
      <c r="A142" s="143" t="s">
        <v>96</v>
      </c>
      <c r="B142" s="143"/>
      <c r="C142" s="143"/>
      <c r="D142" s="143"/>
      <c r="E142" s="143"/>
      <c r="F142" s="186"/>
      <c r="G142" s="186"/>
      <c r="H142" s="186"/>
      <c r="R142"/>
      <c r="S142">
        <v>1600000</v>
      </c>
      <c r="T142">
        <v>700000</v>
      </c>
      <c r="U142">
        <v>600000</v>
      </c>
      <c r="V142"/>
    </row>
    <row r="143" spans="1:22" s="32" customFormat="1" hidden="1" x14ac:dyDescent="0.25">
      <c r="A143" s="143" t="s">
        <v>97</v>
      </c>
      <c r="B143" s="143"/>
      <c r="C143" s="143"/>
      <c r="D143" s="143"/>
      <c r="E143" s="143"/>
      <c r="F143" s="186"/>
      <c r="G143" s="186"/>
      <c r="H143" s="186"/>
      <c r="R143"/>
      <c r="S143">
        <v>1700000</v>
      </c>
      <c r="T143">
        <v>800000</v>
      </c>
      <c r="U143"/>
      <c r="V143" s="22"/>
    </row>
    <row r="144" spans="1:22" x14ac:dyDescent="0.25">
      <c r="A144" s="143" t="s">
        <v>49</v>
      </c>
      <c r="B144" s="143"/>
      <c r="C144" s="143"/>
      <c r="D144" s="143"/>
      <c r="E144" s="143"/>
      <c r="F144" s="243">
        <v>200000</v>
      </c>
      <c r="G144" s="243"/>
      <c r="H144" s="243"/>
      <c r="R144"/>
      <c r="S144">
        <v>1800000</v>
      </c>
      <c r="T144">
        <v>900000</v>
      </c>
      <c r="U144"/>
    </row>
    <row r="145" spans="1:22" s="33" customFormat="1" x14ac:dyDescent="0.25">
      <c r="A145" s="192" t="s">
        <v>50</v>
      </c>
      <c r="B145" s="192"/>
      <c r="C145" s="192"/>
      <c r="D145" s="192"/>
      <c r="E145" s="192"/>
      <c r="F145" s="186">
        <f>F134*0.8</f>
        <v>3360</v>
      </c>
      <c r="G145" s="186"/>
      <c r="H145" s="186"/>
      <c r="R145" s="20"/>
      <c r="S145" s="20"/>
      <c r="T145">
        <v>1000000</v>
      </c>
      <c r="U145"/>
      <c r="V145" s="20"/>
    </row>
    <row r="146" spans="1:22" s="34" customFormat="1" ht="15.75" customHeight="1" x14ac:dyDescent="0.25">
      <c r="A146" s="148" t="s">
        <v>72</v>
      </c>
      <c r="B146" s="148"/>
      <c r="C146" s="148"/>
      <c r="D146" s="148"/>
      <c r="E146" s="148"/>
      <c r="F146" s="148"/>
      <c r="G146" s="148"/>
      <c r="H146" s="148"/>
      <c r="R146"/>
      <c r="S146" s="20"/>
      <c r="T146"/>
      <c r="U146"/>
      <c r="V146" s="20"/>
    </row>
    <row r="147" spans="1:22" s="34" customFormat="1" ht="15.75" customHeight="1" x14ac:dyDescent="0.25">
      <c r="A147" s="151" t="s">
        <v>51</v>
      </c>
      <c r="B147" s="151"/>
      <c r="C147" s="149" t="s">
        <v>75</v>
      </c>
      <c r="D147" s="149"/>
      <c r="E147" s="150" t="s">
        <v>52</v>
      </c>
      <c r="F147" s="150"/>
      <c r="G147" s="151" t="s">
        <v>53</v>
      </c>
      <c r="H147" s="151"/>
      <c r="R147"/>
      <c r="S147" s="20"/>
      <c r="T147"/>
      <c r="U147" s="20"/>
      <c r="V147" s="20"/>
    </row>
    <row r="148" spans="1:22" s="34" customFormat="1" x14ac:dyDescent="0.25">
      <c r="A148" s="112" t="s">
        <v>375</v>
      </c>
      <c r="B148" s="112"/>
      <c r="C148" s="113">
        <f>COUNT(D165:D170)</f>
        <v>6</v>
      </c>
      <c r="D148" s="162"/>
      <c r="E148" s="113">
        <f t="shared" ref="E148" si="0">SUM(F165:F170)</f>
        <v>5231.5192799999995</v>
      </c>
      <c r="F148" s="162"/>
      <c r="G148" s="113">
        <f t="shared" ref="G148" si="1">SUM(H165:H170)</f>
        <v>7847.2789200000007</v>
      </c>
      <c r="H148" s="162"/>
      <c r="R148"/>
      <c r="S148" s="20"/>
      <c r="T148"/>
      <c r="U148" s="20"/>
      <c r="V148" s="20"/>
    </row>
    <row r="149" spans="1:22" s="34" customFormat="1" x14ac:dyDescent="0.25">
      <c r="A149" s="112" t="s">
        <v>374</v>
      </c>
      <c r="B149" s="112"/>
      <c r="C149" s="113">
        <f>COUNT(D172:D181)*2</f>
        <v>20</v>
      </c>
      <c r="D149" s="113"/>
      <c r="E149" s="113">
        <f t="shared" ref="E149" si="2">SUM(F172:F181)*2</f>
        <v>10079.409600000001</v>
      </c>
      <c r="F149" s="113"/>
      <c r="G149" s="113">
        <f t="shared" ref="G149" si="3">SUM(H172:H181)*2</f>
        <v>15119.114399999999</v>
      </c>
      <c r="H149" s="113"/>
      <c r="R149"/>
      <c r="S149" s="20"/>
      <c r="T149"/>
      <c r="U149" s="20"/>
      <c r="V149" s="20"/>
    </row>
    <row r="150" spans="1:22" s="34" customFormat="1" hidden="1" x14ac:dyDescent="0.25">
      <c r="A150" s="148" t="s">
        <v>149</v>
      </c>
      <c r="B150" s="148"/>
      <c r="C150" s="149"/>
      <c r="D150" s="149"/>
      <c r="E150" s="150"/>
      <c r="F150" s="150"/>
      <c r="G150" s="151"/>
      <c r="H150" s="151"/>
      <c r="R150"/>
      <c r="S150" s="20"/>
      <c r="T150"/>
      <c r="U150" s="20"/>
      <c r="V150" s="20"/>
    </row>
    <row r="151" spans="1:22" s="34" customFormat="1" x14ac:dyDescent="0.25">
      <c r="A151" s="148" t="s">
        <v>67</v>
      </c>
      <c r="B151" s="148"/>
      <c r="C151" s="148"/>
      <c r="D151" s="148"/>
      <c r="E151" s="148"/>
      <c r="F151" s="148"/>
      <c r="G151" s="148"/>
      <c r="H151" s="148"/>
      <c r="T151"/>
    </row>
    <row r="152" spans="1:22" s="34" customFormat="1" ht="15.75" customHeight="1" x14ac:dyDescent="0.25">
      <c r="A152" s="151" t="s">
        <v>51</v>
      </c>
      <c r="B152" s="151"/>
      <c r="C152" s="149" t="s">
        <v>75</v>
      </c>
      <c r="D152" s="149"/>
      <c r="E152" s="150" t="s">
        <v>52</v>
      </c>
      <c r="F152" s="150"/>
      <c r="G152" s="151" t="s">
        <v>53</v>
      </c>
      <c r="H152" s="151"/>
      <c r="T152"/>
    </row>
    <row r="153" spans="1:22" s="34" customFormat="1" x14ac:dyDescent="0.25">
      <c r="A153" s="112" t="s">
        <v>368</v>
      </c>
      <c r="B153" s="112"/>
      <c r="C153" s="113">
        <f>COUNT(D190:D195)+COUNT(D197:D202)*8+COUNT(D204:D209)</f>
        <v>60</v>
      </c>
      <c r="D153" s="113"/>
      <c r="E153" s="113">
        <f t="shared" ref="E153" si="4">SUM(F190:F195)+SUM(F197:F202)*8+SUM(F204:F209)</f>
        <v>46820.714381999991</v>
      </c>
      <c r="F153" s="113"/>
      <c r="G153" s="113">
        <f t="shared" ref="G153" si="5">SUM(H190:H195)+SUM(H197:H202)*8+SUM(H204:H209)</f>
        <v>70644.183801749998</v>
      </c>
      <c r="H153" s="113"/>
      <c r="I153" s="34">
        <f>6*10</f>
        <v>60</v>
      </c>
      <c r="T153"/>
    </row>
    <row r="154" spans="1:22" s="34" customFormat="1" x14ac:dyDescent="0.25">
      <c r="A154" s="112" t="s">
        <v>383</v>
      </c>
      <c r="B154" s="112"/>
      <c r="C154" s="113">
        <f>COUNT(D213:D216)*6+COUNT(D218:D221)*5+COUNT(D223:D226)</f>
        <v>48</v>
      </c>
      <c r="D154" s="113"/>
      <c r="E154" s="113">
        <f t="shared" ref="E154" si="6">SUM(F213:F216)*6+SUM(F218:F221)*5+SUM(F223:F226)</f>
        <v>28971.898020000004</v>
      </c>
      <c r="F154" s="113"/>
      <c r="G154" s="113">
        <f t="shared" ref="G154" si="7">SUM(H213:H216)*6+SUM(H218:H221)*5+SUM(H223:H226)</f>
        <v>43457.84702999999</v>
      </c>
      <c r="H154" s="113"/>
      <c r="T154"/>
    </row>
    <row r="155" spans="1:22" s="34" customFormat="1" x14ac:dyDescent="0.25">
      <c r="A155" s="112" t="s">
        <v>387</v>
      </c>
      <c r="B155" s="112"/>
      <c r="C155" s="113">
        <f>COUNT(D230:D233)*11+COUNT(D235:D238)</f>
        <v>48</v>
      </c>
      <c r="D155" s="113"/>
      <c r="E155" s="113">
        <f t="shared" ref="E155" si="8">SUM(F230:F233)*11+SUM(F235:F238)</f>
        <v>28818.564839999995</v>
      </c>
      <c r="F155" s="113"/>
      <c r="G155" s="113">
        <f t="shared" ref="G155" si="9">SUM(H230:H233)*11+SUM(H235:H238)</f>
        <v>43227.847259999995</v>
      </c>
      <c r="H155" s="113"/>
      <c r="T155"/>
    </row>
    <row r="156" spans="1:22" s="34" customFormat="1" ht="16.5" thickBot="1" x14ac:dyDescent="0.3">
      <c r="A156" s="144" t="s">
        <v>149</v>
      </c>
      <c r="B156" s="144"/>
      <c r="C156" s="261">
        <f>SUM(C153:C155)</f>
        <v>156</v>
      </c>
      <c r="D156" s="262"/>
      <c r="E156" s="145">
        <f>SUM(E153:E155)</f>
        <v>104611.17724199999</v>
      </c>
      <c r="F156" s="146"/>
      <c r="G156" s="147">
        <f>SUM(G153:G155)</f>
        <v>157329.87809174997</v>
      </c>
      <c r="H156" s="147"/>
      <c r="T156"/>
    </row>
    <row r="157" spans="1:22" s="34" customFormat="1" ht="16.5" thickBot="1" x14ac:dyDescent="0.3">
      <c r="A157" s="256" t="s">
        <v>166</v>
      </c>
      <c r="B157" s="257"/>
      <c r="C157" s="165">
        <f>SUM(C148:D149,C153:D155)</f>
        <v>182</v>
      </c>
      <c r="D157" s="166"/>
      <c r="E157" s="165">
        <f t="shared" ref="E157" si="10">SUM(E148:F149,E153:F155)</f>
        <v>119922.10612199998</v>
      </c>
      <c r="F157" s="166"/>
      <c r="G157" s="165">
        <f t="shared" ref="G157" si="11">SUM(G148:H149,G153:H155)</f>
        <v>180296.27141175</v>
      </c>
      <c r="H157" s="166"/>
      <c r="T157"/>
    </row>
    <row r="158" spans="1:22" s="33" customFormat="1" x14ac:dyDescent="0.25">
      <c r="A158" s="249" t="s">
        <v>54</v>
      </c>
      <c r="B158" s="249"/>
      <c r="C158" s="249"/>
      <c r="D158" s="249"/>
      <c r="E158" s="249"/>
      <c r="F158" s="249"/>
      <c r="G158" s="249"/>
      <c r="H158" s="249"/>
      <c r="T158" s="34"/>
    </row>
    <row r="159" spans="1:22" x14ac:dyDescent="0.25">
      <c r="A159" s="267" t="s">
        <v>174</v>
      </c>
      <c r="B159" s="267"/>
      <c r="C159" s="267"/>
      <c r="D159" s="267"/>
      <c r="E159" s="267"/>
      <c r="F159" s="267"/>
      <c r="G159" s="267"/>
      <c r="H159" s="267"/>
      <c r="T159" s="34"/>
    </row>
    <row r="160" spans="1:22" ht="47.25" customHeight="1" x14ac:dyDescent="0.25">
      <c r="A160" s="154" t="s">
        <v>403</v>
      </c>
      <c r="B160" s="154" t="s">
        <v>176</v>
      </c>
      <c r="C160" s="154" t="s">
        <v>55</v>
      </c>
      <c r="D160" s="154" t="s">
        <v>232</v>
      </c>
      <c r="E160" s="163" t="s">
        <v>155</v>
      </c>
      <c r="F160" s="154" t="s">
        <v>56</v>
      </c>
      <c r="G160" s="163" t="s">
        <v>57</v>
      </c>
      <c r="H160" s="94" t="s">
        <v>147</v>
      </c>
      <c r="T160" s="34"/>
    </row>
    <row r="161" spans="1:20" s="36" customFormat="1" x14ac:dyDescent="0.25">
      <c r="A161" s="155"/>
      <c r="B161" s="155"/>
      <c r="C161" s="155"/>
      <c r="D161" s="155"/>
      <c r="E161" s="164"/>
      <c r="F161" s="155"/>
      <c r="G161" s="164"/>
      <c r="H161" s="95">
        <v>0.5</v>
      </c>
      <c r="T161" s="34"/>
    </row>
    <row r="162" spans="1:20" s="81" customFormat="1" x14ac:dyDescent="0.25">
      <c r="A162" s="109" t="s">
        <v>368</v>
      </c>
      <c r="B162" s="110"/>
      <c r="C162" s="110"/>
      <c r="D162" s="110"/>
      <c r="E162" s="110"/>
      <c r="F162" s="110"/>
      <c r="G162" s="110"/>
      <c r="H162" s="111"/>
      <c r="J162" s="35"/>
      <c r="T162" s="34"/>
    </row>
    <row r="163" spans="1:20" s="81" customFormat="1" x14ac:dyDescent="0.25">
      <c r="A163" s="109" t="s">
        <v>369</v>
      </c>
      <c r="B163" s="110"/>
      <c r="C163" s="110"/>
      <c r="D163" s="110"/>
      <c r="E163" s="110"/>
      <c r="F163" s="110"/>
      <c r="G163" s="110"/>
      <c r="H163" s="111"/>
      <c r="J163" s="35"/>
      <c r="T163" s="34"/>
    </row>
    <row r="164" spans="1:20" s="36" customFormat="1" x14ac:dyDescent="0.25">
      <c r="A164" s="109" t="s">
        <v>370</v>
      </c>
      <c r="B164" s="110"/>
      <c r="C164" s="110"/>
      <c r="D164" s="110"/>
      <c r="E164" s="110"/>
      <c r="F164" s="110"/>
      <c r="G164" s="110"/>
      <c r="H164" s="111"/>
      <c r="J164" s="35"/>
      <c r="T164" s="34"/>
    </row>
    <row r="165" spans="1:20" s="36" customFormat="1" ht="15.75" customHeight="1" x14ac:dyDescent="0.25">
      <c r="A165" s="106">
        <v>1</v>
      </c>
      <c r="B165" s="107"/>
      <c r="C165" s="41" t="s">
        <v>371</v>
      </c>
      <c r="D165" s="80">
        <f>(78.04)*10.764</f>
        <v>840.02256</v>
      </c>
      <c r="E165" s="41">
        <v>0</v>
      </c>
      <c r="F165" s="59">
        <f>D165+(IF(E165&lt;201,E165,IF(E165&lt;301,E165/2,E165/3)))</f>
        <v>840.02256</v>
      </c>
      <c r="G165" s="60">
        <v>0</v>
      </c>
      <c r="H165" s="59">
        <f>(F165+(IF(G165&lt;101,G165,IF(G165&lt;201,G165/2,IF(G165&lt;=301,G165/3,G165/4)))))*(($H$161)+1)</f>
        <v>1260.0338400000001</v>
      </c>
      <c r="I165" s="35"/>
      <c r="K165" s="80">
        <v>10.763999999999999</v>
      </c>
      <c r="L165" s="108"/>
      <c r="M165" s="108"/>
      <c r="N165" s="35"/>
      <c r="T165" s="34"/>
    </row>
    <row r="166" spans="1:20" s="36" customFormat="1" ht="15.75" customHeight="1" x14ac:dyDescent="0.25">
      <c r="A166" s="106">
        <f>A165+1</f>
        <v>2</v>
      </c>
      <c r="B166" s="107"/>
      <c r="C166" s="80" t="s">
        <v>371</v>
      </c>
      <c r="D166" s="80">
        <f>(45.43)*10.764</f>
        <v>489.00851999999998</v>
      </c>
      <c r="E166" s="41">
        <v>0</v>
      </c>
      <c r="F166" s="59">
        <f t="shared" ref="F166:F168" si="12">D166+(IF(E166&lt;201,E166,IF(E166&lt;301,E166/2,E166/3)))</f>
        <v>489.00851999999998</v>
      </c>
      <c r="G166" s="52">
        <v>0</v>
      </c>
      <c r="H166" s="59">
        <f t="shared" ref="H166:H168" si="13">(F166+(IF(G166&lt;101,G166,IF(G166&lt;201,G166/2,IF(G166&lt;=301,G166/3,G166/4)))))*(($H$161)+1)</f>
        <v>733.51278000000002</v>
      </c>
      <c r="I166" s="35">
        <f>5.9*5.85+3.5*2.25+1.2*2.1</f>
        <v>44.910000000000004</v>
      </c>
      <c r="L166" s="108"/>
      <c r="M166" s="108"/>
      <c r="N166" s="35"/>
      <c r="T166" s="33"/>
    </row>
    <row r="167" spans="1:20" s="36" customFormat="1" ht="15.75" customHeight="1" x14ac:dyDescent="0.25">
      <c r="A167" s="106">
        <f>A166+1</f>
        <v>3</v>
      </c>
      <c r="B167" s="107"/>
      <c r="C167" s="80" t="s">
        <v>371</v>
      </c>
      <c r="D167" s="80">
        <f>(41.72)*10.764</f>
        <v>449.07407999999998</v>
      </c>
      <c r="E167" s="41">
        <v>0</v>
      </c>
      <c r="F167" s="59">
        <f t="shared" si="12"/>
        <v>449.07407999999998</v>
      </c>
      <c r="G167" s="52">
        <v>0</v>
      </c>
      <c r="H167" s="59">
        <f t="shared" si="13"/>
        <v>673.61112000000003</v>
      </c>
      <c r="I167" s="35">
        <f>5.15*8.1</f>
        <v>41.715000000000003</v>
      </c>
      <c r="L167" s="108"/>
      <c r="M167" s="108"/>
      <c r="N167" s="35"/>
      <c r="T167" s="20"/>
    </row>
    <row r="168" spans="1:20" s="36" customFormat="1" ht="15.75" customHeight="1" x14ac:dyDescent="0.25">
      <c r="A168" s="106">
        <f>A167+1</f>
        <v>4</v>
      </c>
      <c r="B168" s="107"/>
      <c r="C168" s="80" t="s">
        <v>371</v>
      </c>
      <c r="D168" s="80">
        <f>(45.02)*10.764</f>
        <v>484.59528</v>
      </c>
      <c r="E168" s="41">
        <v>0</v>
      </c>
      <c r="F168" s="59">
        <f t="shared" si="12"/>
        <v>484.59528</v>
      </c>
      <c r="G168" s="52">
        <v>0</v>
      </c>
      <c r="H168" s="59">
        <f t="shared" si="13"/>
        <v>726.89292</v>
      </c>
      <c r="I168" s="35"/>
      <c r="L168" s="108"/>
      <c r="M168" s="108"/>
      <c r="N168" s="35"/>
      <c r="T168" s="20"/>
    </row>
    <row r="169" spans="1:20" s="81" customFormat="1" ht="15.75" customHeight="1" x14ac:dyDescent="0.25">
      <c r="A169" s="106">
        <f>A168+1</f>
        <v>5</v>
      </c>
      <c r="B169" s="107"/>
      <c r="C169" s="80" t="s">
        <v>371</v>
      </c>
      <c r="D169" s="80">
        <f>(130.03)*10.764</f>
        <v>1399.64292</v>
      </c>
      <c r="E169" s="80">
        <v>0</v>
      </c>
      <c r="F169" s="80">
        <f t="shared" ref="F169:F170" si="14">D169+(IF(E169&lt;201,E169,IF(E169&lt;301,E169/2,E169/3)))</f>
        <v>1399.64292</v>
      </c>
      <c r="G169" s="80">
        <v>0</v>
      </c>
      <c r="H169" s="80">
        <f t="shared" ref="H169:H170" si="15">(F169+(IF(G169&lt;101,G169,IF(G169&lt;201,G169/2,IF(G169&lt;=301,G169/3,G169/4)))))*(($H$161)+1)</f>
        <v>2099.4643799999999</v>
      </c>
      <c r="I169" s="35"/>
      <c r="L169" s="108"/>
      <c r="M169" s="108"/>
      <c r="N169" s="35"/>
      <c r="T169" s="20"/>
    </row>
    <row r="170" spans="1:20" s="81" customFormat="1" ht="15.75" customHeight="1" x14ac:dyDescent="0.25">
      <c r="A170" s="106">
        <f>A169+1</f>
        <v>6</v>
      </c>
      <c r="B170" s="107"/>
      <c r="C170" s="80" t="s">
        <v>371</v>
      </c>
      <c r="D170" s="80">
        <f>(145.78)*10.764</f>
        <v>1569.1759199999999</v>
      </c>
      <c r="E170" s="80">
        <v>0</v>
      </c>
      <c r="F170" s="80">
        <f t="shared" si="14"/>
        <v>1569.1759199999999</v>
      </c>
      <c r="G170" s="80">
        <v>0</v>
      </c>
      <c r="H170" s="80">
        <f t="shared" si="15"/>
        <v>2353.76388</v>
      </c>
      <c r="I170" s="35">
        <f>6.8*20.62+0.5*(1.29*3.98)+2.1*1.2</f>
        <v>145.30310000000003</v>
      </c>
      <c r="L170" s="108"/>
      <c r="M170" s="108"/>
      <c r="N170" s="35"/>
      <c r="T170" s="20"/>
    </row>
    <row r="171" spans="1:20" s="81" customFormat="1" x14ac:dyDescent="0.25">
      <c r="A171" s="109" t="s">
        <v>373</v>
      </c>
      <c r="B171" s="110"/>
      <c r="C171" s="110"/>
      <c r="D171" s="110"/>
      <c r="E171" s="110"/>
      <c r="F171" s="110"/>
      <c r="G171" s="110"/>
      <c r="H171" s="111"/>
      <c r="J171" s="35"/>
      <c r="T171" s="34"/>
    </row>
    <row r="172" spans="1:20" s="81" customFormat="1" ht="15.75" customHeight="1" x14ac:dyDescent="0.25">
      <c r="A172" s="106">
        <v>1</v>
      </c>
      <c r="B172" s="107"/>
      <c r="C172" s="80" t="s">
        <v>372</v>
      </c>
      <c r="D172" s="80">
        <f>(41.02)*10.764</f>
        <v>441.53928000000002</v>
      </c>
      <c r="E172" s="80">
        <v>0</v>
      </c>
      <c r="F172" s="80">
        <f>D172+(IF(E172&lt;201,E172,IF(E172&lt;301,E172/2,E172/3)))</f>
        <v>441.53928000000002</v>
      </c>
      <c r="G172" s="60">
        <v>0</v>
      </c>
      <c r="H172" s="80">
        <f>(F172+(IF(G172&lt;101,G172,IF(G172&lt;201,G172/2,IF(G172&lt;=301,G172/3,G172/4)))))*(($H$161)+1)</f>
        <v>662.30892000000006</v>
      </c>
      <c r="I172" s="35">
        <f>5.15*7.94</f>
        <v>40.891000000000005</v>
      </c>
      <c r="K172" s="86"/>
      <c r="L172" s="108"/>
      <c r="M172" s="108"/>
      <c r="N172" s="35"/>
      <c r="T172" s="34"/>
    </row>
    <row r="173" spans="1:20" s="81" customFormat="1" ht="15.75" customHeight="1" x14ac:dyDescent="0.25">
      <c r="A173" s="106">
        <f t="shared" ref="A173:A181" si="16">A172+1</f>
        <v>2</v>
      </c>
      <c r="B173" s="107"/>
      <c r="C173" s="80" t="s">
        <v>372</v>
      </c>
      <c r="D173" s="80">
        <f>(63.15)*10.764</f>
        <v>679.74659999999994</v>
      </c>
      <c r="E173" s="80">
        <v>0</v>
      </c>
      <c r="F173" s="80">
        <f t="shared" ref="F173:F177" si="17">D173+(IF(E173&lt;201,E173,IF(E173&lt;301,E173/2,E173/3)))</f>
        <v>679.74659999999994</v>
      </c>
      <c r="G173" s="80">
        <v>0</v>
      </c>
      <c r="H173" s="80">
        <f t="shared" ref="H173:H177" si="18">(F173+(IF(G173&lt;101,G173,IF(G173&lt;201,G173/2,IF(G173&lt;=301,G173/3,G173/4)))))*(($H$161)+1)</f>
        <v>1019.6198999999999</v>
      </c>
      <c r="I173" s="35"/>
      <c r="L173" s="108"/>
      <c r="M173" s="108"/>
      <c r="N173" s="35"/>
      <c r="T173" s="33"/>
    </row>
    <row r="174" spans="1:20" s="81" customFormat="1" ht="15.75" customHeight="1" x14ac:dyDescent="0.25">
      <c r="A174" s="106">
        <f t="shared" si="16"/>
        <v>3</v>
      </c>
      <c r="B174" s="107"/>
      <c r="C174" s="80" t="s">
        <v>372</v>
      </c>
      <c r="D174" s="80">
        <f>(87.67)*10.764</f>
        <v>943.67987999999991</v>
      </c>
      <c r="E174" s="80">
        <v>0</v>
      </c>
      <c r="F174" s="80">
        <f t="shared" si="17"/>
        <v>943.67987999999991</v>
      </c>
      <c r="G174" s="80">
        <v>0</v>
      </c>
      <c r="H174" s="80">
        <f t="shared" si="18"/>
        <v>1415.51982</v>
      </c>
      <c r="I174" s="35"/>
      <c r="L174" s="108"/>
      <c r="M174" s="108"/>
      <c r="N174" s="35"/>
      <c r="T174" s="20"/>
    </row>
    <row r="175" spans="1:20" s="81" customFormat="1" ht="15.75" customHeight="1" x14ac:dyDescent="0.25">
      <c r="A175" s="106">
        <f t="shared" si="16"/>
        <v>4</v>
      </c>
      <c r="B175" s="107"/>
      <c r="C175" s="80" t="s">
        <v>372</v>
      </c>
      <c r="D175" s="80">
        <f>(44.01)*10.764</f>
        <v>473.72363999999993</v>
      </c>
      <c r="E175" s="80">
        <v>0</v>
      </c>
      <c r="F175" s="80">
        <f t="shared" si="17"/>
        <v>473.72363999999993</v>
      </c>
      <c r="G175" s="80">
        <v>0</v>
      </c>
      <c r="H175" s="80">
        <f t="shared" si="18"/>
        <v>710.5854599999999</v>
      </c>
      <c r="I175" s="35"/>
      <c r="L175" s="108"/>
      <c r="M175" s="108"/>
      <c r="N175" s="35"/>
      <c r="T175" s="20"/>
    </row>
    <row r="176" spans="1:20" s="81" customFormat="1" ht="15.75" customHeight="1" x14ac:dyDescent="0.25">
      <c r="A176" s="106">
        <f t="shared" si="16"/>
        <v>5</v>
      </c>
      <c r="B176" s="107"/>
      <c r="C176" s="80" t="s">
        <v>372</v>
      </c>
      <c r="D176" s="80">
        <f>(36.38)*10.764</f>
        <v>391.59431999999998</v>
      </c>
      <c r="E176" s="80">
        <v>0</v>
      </c>
      <c r="F176" s="80">
        <f t="shared" si="17"/>
        <v>391.59431999999998</v>
      </c>
      <c r="G176" s="80">
        <v>0</v>
      </c>
      <c r="H176" s="80">
        <f t="shared" si="18"/>
        <v>587.39148</v>
      </c>
      <c r="I176" s="35">
        <f>5.9*5.1+2.3*1.5+2.1*1.2</f>
        <v>36.06</v>
      </c>
      <c r="L176" s="108"/>
      <c r="M176" s="108"/>
      <c r="N176" s="35"/>
      <c r="T176" s="20"/>
    </row>
    <row r="177" spans="1:20" s="81" customFormat="1" ht="15.75" customHeight="1" x14ac:dyDescent="0.25">
      <c r="A177" s="106">
        <f t="shared" si="16"/>
        <v>6</v>
      </c>
      <c r="B177" s="107"/>
      <c r="C177" s="80" t="s">
        <v>372</v>
      </c>
      <c r="D177" s="80">
        <f>(33.37)*10.764</f>
        <v>359.19467999999995</v>
      </c>
      <c r="E177" s="80">
        <v>0</v>
      </c>
      <c r="F177" s="80">
        <f t="shared" si="17"/>
        <v>359.19467999999995</v>
      </c>
      <c r="G177" s="80">
        <v>0</v>
      </c>
      <c r="H177" s="80">
        <f t="shared" si="18"/>
        <v>538.79201999999987</v>
      </c>
      <c r="I177" s="35">
        <f>5.15*5.1+2.9*1.35+2.1*1.2</f>
        <v>32.700000000000003</v>
      </c>
      <c r="L177" s="108"/>
      <c r="M177" s="108"/>
      <c r="N177" s="35"/>
      <c r="T177" s="20"/>
    </row>
    <row r="178" spans="1:20" s="81" customFormat="1" ht="15.75" customHeight="1" x14ac:dyDescent="0.25">
      <c r="A178" s="106">
        <f t="shared" si="16"/>
        <v>7</v>
      </c>
      <c r="B178" s="107"/>
      <c r="C178" s="80" t="s">
        <v>372</v>
      </c>
      <c r="D178" s="80">
        <f>(33.37)*10.764</f>
        <v>359.19467999999995</v>
      </c>
      <c r="E178" s="80">
        <v>0</v>
      </c>
      <c r="F178" s="80">
        <f t="shared" ref="F178:F181" si="19">D178+(IF(E178&lt;201,E178,IF(E178&lt;301,E178/2,E178/3)))</f>
        <v>359.19467999999995</v>
      </c>
      <c r="G178" s="80">
        <v>0</v>
      </c>
      <c r="H178" s="80">
        <f t="shared" ref="H178:H181" si="20">(F178+(IF(G178&lt;101,G178,IF(G178&lt;201,G178/2,IF(G178&lt;=301,G178/3,G178/4)))))*(($H$161)+1)</f>
        <v>538.79201999999987</v>
      </c>
      <c r="I178" s="35">
        <f>5.15*6.45</f>
        <v>33.217500000000001</v>
      </c>
      <c r="L178" s="108"/>
      <c r="M178" s="108"/>
      <c r="N178" s="35"/>
      <c r="T178" s="20"/>
    </row>
    <row r="179" spans="1:20" s="81" customFormat="1" ht="15.75" customHeight="1" x14ac:dyDescent="0.25">
      <c r="A179" s="106">
        <f t="shared" si="16"/>
        <v>8</v>
      </c>
      <c r="B179" s="107"/>
      <c r="C179" s="80" t="s">
        <v>372</v>
      </c>
      <c r="D179" s="80">
        <f>(36.79)*10.764</f>
        <v>396.00755999999996</v>
      </c>
      <c r="E179" s="80">
        <v>0</v>
      </c>
      <c r="F179" s="80">
        <f t="shared" si="19"/>
        <v>396.00755999999996</v>
      </c>
      <c r="G179" s="80">
        <v>0</v>
      </c>
      <c r="H179" s="80">
        <f t="shared" si="20"/>
        <v>594.0113399999999</v>
      </c>
      <c r="I179" s="35"/>
      <c r="L179" s="108"/>
      <c r="M179" s="108"/>
      <c r="N179" s="35"/>
      <c r="T179" s="20"/>
    </row>
    <row r="180" spans="1:20" s="81" customFormat="1" ht="15.75" customHeight="1" x14ac:dyDescent="0.25">
      <c r="A180" s="106">
        <f t="shared" si="16"/>
        <v>9</v>
      </c>
      <c r="B180" s="107"/>
      <c r="C180" s="80" t="s">
        <v>372</v>
      </c>
      <c r="D180" s="80">
        <f>(78.19)*10.764</f>
        <v>841.63715999999988</v>
      </c>
      <c r="E180" s="80">
        <v>0</v>
      </c>
      <c r="F180" s="80">
        <f t="shared" si="19"/>
        <v>841.63715999999988</v>
      </c>
      <c r="G180" s="80">
        <v>0</v>
      </c>
      <c r="H180" s="80">
        <f t="shared" si="20"/>
        <v>1262.4557399999999</v>
      </c>
      <c r="I180" s="35"/>
      <c r="L180" s="108"/>
      <c r="M180" s="108"/>
      <c r="N180" s="35"/>
      <c r="T180" s="20"/>
    </row>
    <row r="181" spans="1:20" s="81" customFormat="1" ht="15.75" customHeight="1" x14ac:dyDescent="0.25">
      <c r="A181" s="106">
        <f t="shared" si="16"/>
        <v>10</v>
      </c>
      <c r="B181" s="107"/>
      <c r="C181" s="80" t="s">
        <v>372</v>
      </c>
      <c r="D181" s="80">
        <f>(14.25)*10.764</f>
        <v>153.387</v>
      </c>
      <c r="E181" s="80">
        <v>0</v>
      </c>
      <c r="F181" s="80">
        <f t="shared" si="19"/>
        <v>153.387</v>
      </c>
      <c r="G181" s="80">
        <v>0</v>
      </c>
      <c r="H181" s="80">
        <f t="shared" si="20"/>
        <v>230.0805</v>
      </c>
      <c r="I181" s="35"/>
      <c r="L181" s="108"/>
      <c r="M181" s="108"/>
      <c r="N181" s="35"/>
      <c r="T181" s="20"/>
    </row>
    <row r="182" spans="1:20" s="36" customFormat="1" x14ac:dyDescent="0.25">
      <c r="A182" s="106"/>
      <c r="B182" s="250"/>
      <c r="C182" s="250"/>
      <c r="D182" s="250"/>
      <c r="E182" s="250"/>
      <c r="F182" s="250"/>
      <c r="G182" s="250"/>
      <c r="H182" s="107"/>
      <c r="I182" s="35"/>
      <c r="N182" s="35"/>
    </row>
    <row r="183" spans="1:20" ht="47.25" customHeight="1" x14ac:dyDescent="0.25">
      <c r="A183" s="251" t="s">
        <v>404</v>
      </c>
      <c r="B183" s="154" t="s">
        <v>177</v>
      </c>
      <c r="C183" s="154" t="s">
        <v>55</v>
      </c>
      <c r="D183" s="154" t="s">
        <v>232</v>
      </c>
      <c r="E183" s="154" t="s">
        <v>379</v>
      </c>
      <c r="F183" s="154" t="s">
        <v>56</v>
      </c>
      <c r="G183" s="163" t="s">
        <v>57</v>
      </c>
      <c r="H183" s="94" t="s">
        <v>147</v>
      </c>
      <c r="I183" s="35"/>
      <c r="T183" s="36"/>
    </row>
    <row r="184" spans="1:20" s="36" customFormat="1" x14ac:dyDescent="0.25">
      <c r="A184" s="252"/>
      <c r="B184" s="155"/>
      <c r="C184" s="155"/>
      <c r="D184" s="155"/>
      <c r="E184" s="155"/>
      <c r="F184" s="155"/>
      <c r="G184" s="164"/>
      <c r="H184" s="95">
        <v>0.5</v>
      </c>
      <c r="I184" s="35"/>
    </row>
    <row r="185" spans="1:20" s="82" customFormat="1" x14ac:dyDescent="0.25">
      <c r="A185" s="109" t="s">
        <v>368</v>
      </c>
      <c r="B185" s="110"/>
      <c r="C185" s="110"/>
      <c r="D185" s="110"/>
      <c r="E185" s="110"/>
      <c r="F185" s="110"/>
      <c r="G185" s="110"/>
      <c r="H185" s="111"/>
      <c r="J185" s="35"/>
      <c r="T185" s="34"/>
    </row>
    <row r="186" spans="1:20" s="82" customFormat="1" x14ac:dyDescent="0.25">
      <c r="A186" s="109" t="s">
        <v>369</v>
      </c>
      <c r="B186" s="110"/>
      <c r="C186" s="110"/>
      <c r="D186" s="110"/>
      <c r="E186" s="110"/>
      <c r="F186" s="110"/>
      <c r="G186" s="110"/>
      <c r="H186" s="111"/>
      <c r="J186" s="35"/>
      <c r="T186" s="34"/>
    </row>
    <row r="187" spans="1:20" s="82" customFormat="1" x14ac:dyDescent="0.25">
      <c r="A187" s="109" t="s">
        <v>370</v>
      </c>
      <c r="B187" s="110"/>
      <c r="C187" s="110"/>
      <c r="D187" s="110"/>
      <c r="E187" s="110"/>
      <c r="F187" s="110"/>
      <c r="G187" s="110"/>
      <c r="H187" s="111"/>
      <c r="J187" s="35"/>
      <c r="T187" s="34"/>
    </row>
    <row r="188" spans="1:20" s="82" customFormat="1" x14ac:dyDescent="0.25">
      <c r="A188" s="109" t="s">
        <v>373</v>
      </c>
      <c r="B188" s="110"/>
      <c r="C188" s="110"/>
      <c r="D188" s="110"/>
      <c r="E188" s="110"/>
      <c r="F188" s="110"/>
      <c r="G188" s="110"/>
      <c r="H188" s="111"/>
      <c r="J188" s="35"/>
      <c r="T188" s="34"/>
    </row>
    <row r="189" spans="1:20" s="36" customFormat="1" x14ac:dyDescent="0.25">
      <c r="A189" s="109" t="s">
        <v>376</v>
      </c>
      <c r="B189" s="110"/>
      <c r="C189" s="110"/>
      <c r="D189" s="110"/>
      <c r="E189" s="110"/>
      <c r="F189" s="110"/>
      <c r="G189" s="110"/>
      <c r="H189" s="111"/>
      <c r="J189" s="35"/>
    </row>
    <row r="190" spans="1:20" s="36" customFormat="1" ht="15.75" customHeight="1" x14ac:dyDescent="0.25">
      <c r="A190" s="106">
        <v>1</v>
      </c>
      <c r="B190" s="107"/>
      <c r="C190" s="41" t="s">
        <v>377</v>
      </c>
      <c r="D190" s="80">
        <f>(58.41)*10.764</f>
        <v>628.72523999999987</v>
      </c>
      <c r="E190" s="80">
        <v>0</v>
      </c>
      <c r="F190" s="41">
        <f t="shared" ref="F190:F195" si="21">D190+E190</f>
        <v>628.72523999999987</v>
      </c>
      <c r="G190" s="80">
        <f>(2.75*2.5+8*1.5+0.5*(8*3)+3.05*1+0.5*(3.05*0.85))*10.764</f>
        <v>379.12153499999994</v>
      </c>
      <c r="H190" s="52">
        <f t="shared" ref="H190:H195" si="22">F190*(($H$184)+1)+(IF(G190&lt;101,G190,IF(G190&lt;201,G190/2,IF(G190&lt;=301,G190/3,G190/4))))</f>
        <v>1037.8682437499999</v>
      </c>
      <c r="I190" s="96">
        <f>3.75*5.15+3.2*(2.3+2.75)+3.05*3.6+2.15*1.2+2.55*1.25+4.35*1.2+1.1*0.5</f>
        <v>57.989999999999995</v>
      </c>
      <c r="K190" s="36">
        <f>L190/F190</f>
        <v>2.4494006316654318</v>
      </c>
      <c r="L190" s="108">
        <v>1540</v>
      </c>
      <c r="M190" s="108"/>
      <c r="N190" s="35"/>
    </row>
    <row r="191" spans="1:20" s="36" customFormat="1" ht="15.75" customHeight="1" x14ac:dyDescent="0.25">
      <c r="A191" s="106">
        <f>A190+1</f>
        <v>2</v>
      </c>
      <c r="B191" s="107"/>
      <c r="C191" s="41" t="s">
        <v>378</v>
      </c>
      <c r="D191" s="80">
        <f>(64.32)*10.764</f>
        <v>692.34047999999984</v>
      </c>
      <c r="E191" s="80">
        <f>(1.2*(3.2+2.3)+1*3.4+1.1*2.9)*10.764</f>
        <v>141.97716</v>
      </c>
      <c r="F191" s="52">
        <f t="shared" si="21"/>
        <v>834.31763999999987</v>
      </c>
      <c r="G191" s="80">
        <f>(3.05*1+1.45*1.25+0.5*(3.05*1)+2.25*2.1)*10.764</f>
        <v>119.61495000000001</v>
      </c>
      <c r="H191" s="52">
        <f t="shared" si="22"/>
        <v>1311.2839349999999</v>
      </c>
      <c r="I191" s="96">
        <f>4.5*3.5+2.75*2.3+3.5*2.75+3.2*3.15+3.05*3.35+2.3*1.2+1.8*1.35+1.2*2.15+1.3*1.7+1.2*2.6+0.9*0.9</f>
        <v>65.907499999999999</v>
      </c>
      <c r="J191" s="97">
        <f>3.2*1.2+2.3*1.2</f>
        <v>6.6</v>
      </c>
      <c r="K191" s="89">
        <f t="shared" ref="K191:K209" si="23">L191/F191</f>
        <v>1.7619188778029435</v>
      </c>
      <c r="L191" s="108">
        <v>1470</v>
      </c>
      <c r="M191" s="108"/>
      <c r="N191" s="35"/>
    </row>
    <row r="192" spans="1:20" s="36" customFormat="1" ht="15.75" customHeight="1" x14ac:dyDescent="0.25">
      <c r="A192" s="106">
        <f>A191+1</f>
        <v>3</v>
      </c>
      <c r="B192" s="107"/>
      <c r="C192" s="41" t="s">
        <v>377</v>
      </c>
      <c r="D192" s="80">
        <f>(49.74)*10.764</f>
        <v>535.40135999999995</v>
      </c>
      <c r="E192" s="80">
        <f>(1.2*(2.75+2.3+2.7)+3.35*1)*10.764</f>
        <v>136.16459999999998</v>
      </c>
      <c r="F192" s="52">
        <f t="shared" si="21"/>
        <v>671.5659599999999</v>
      </c>
      <c r="G192" s="80">
        <f>(0.9*4.2)*10.764</f>
        <v>40.687919999999998</v>
      </c>
      <c r="H192" s="52">
        <f t="shared" si="22"/>
        <v>1048.0368599999999</v>
      </c>
      <c r="I192" s="96">
        <f>4.55*2.75+2.75*2.3+2.75*3.35+3.05*3.85+2.05*1.35+2.05*1.1+0.9*2.7+(3.35*1)</f>
        <v>50.594999999999999</v>
      </c>
      <c r="J192" s="97">
        <f>3.35</f>
        <v>3.35</v>
      </c>
      <c r="K192" s="89">
        <f t="shared" si="23"/>
        <v>1.6156268551789017</v>
      </c>
      <c r="L192" s="108">
        <v>1085</v>
      </c>
      <c r="M192" s="108"/>
      <c r="N192" s="35"/>
    </row>
    <row r="193" spans="1:20" s="36" customFormat="1" ht="15.75" customHeight="1" x14ac:dyDescent="0.25">
      <c r="A193" s="106">
        <f>A192+1</f>
        <v>4</v>
      </c>
      <c r="B193" s="107"/>
      <c r="C193" s="80" t="s">
        <v>377</v>
      </c>
      <c r="D193" s="80">
        <f>(51.7)*10.764</f>
        <v>556.49879999999996</v>
      </c>
      <c r="E193" s="80">
        <f>(1.2*(3.05+2.75+2.3))*10.764</f>
        <v>104.62607999999999</v>
      </c>
      <c r="F193" s="52">
        <f t="shared" si="21"/>
        <v>661.12487999999996</v>
      </c>
      <c r="G193" s="80">
        <f>(2.75*2)*10.764</f>
        <v>59.201999999999998</v>
      </c>
      <c r="H193" s="52">
        <f t="shared" si="22"/>
        <v>1050.88932</v>
      </c>
      <c r="I193" s="35"/>
      <c r="K193" s="89">
        <f t="shared" si="23"/>
        <v>1.6789566291923548</v>
      </c>
      <c r="L193" s="108">
        <v>1110</v>
      </c>
      <c r="M193" s="108"/>
      <c r="N193" s="35"/>
      <c r="T193" s="20"/>
    </row>
    <row r="194" spans="1:20" s="81" customFormat="1" ht="15.75" customHeight="1" x14ac:dyDescent="0.25">
      <c r="A194" s="106">
        <f>A193+1</f>
        <v>5</v>
      </c>
      <c r="B194" s="107"/>
      <c r="C194" s="80" t="s">
        <v>377</v>
      </c>
      <c r="D194" s="80">
        <f>(55.11)*10.764</f>
        <v>593.20403999999996</v>
      </c>
      <c r="E194" s="80">
        <f>(1.2*(3.05+2.75+2.3))*10.764</f>
        <v>104.62607999999999</v>
      </c>
      <c r="F194" s="80">
        <f t="shared" si="21"/>
        <v>697.83011999999997</v>
      </c>
      <c r="G194" s="80">
        <f>(2.75*2)*10.764</f>
        <v>59.201999999999998</v>
      </c>
      <c r="H194" s="80">
        <f t="shared" si="22"/>
        <v>1105.9471799999999</v>
      </c>
      <c r="I194" s="35"/>
      <c r="K194" s="89">
        <f t="shared" si="23"/>
        <v>1.655130621189008</v>
      </c>
      <c r="L194" s="108">
        <v>1155</v>
      </c>
      <c r="M194" s="108"/>
      <c r="N194" s="35"/>
    </row>
    <row r="195" spans="1:20" s="81" customFormat="1" ht="15.75" customHeight="1" x14ac:dyDescent="0.25">
      <c r="A195" s="106">
        <f>A194+1</f>
        <v>6</v>
      </c>
      <c r="B195" s="107"/>
      <c r="C195" s="80" t="s">
        <v>378</v>
      </c>
      <c r="D195" s="80">
        <f>(65.87)*10.764</f>
        <v>709.02467999999999</v>
      </c>
      <c r="E195" s="80">
        <f>(1.2*(3.1+3.5)+1.4*2.7+2.9*1)*10.764</f>
        <v>157.15439999999998</v>
      </c>
      <c r="F195" s="80">
        <f t="shared" si="21"/>
        <v>866.17908</v>
      </c>
      <c r="G195" s="80">
        <f>(0.5*(2*2.1)+3.65*2+0.5*(3.65*1)+2*1.5+1.5*1.5+0.5*(2*2))*10.764</f>
        <v>198.86490000000001</v>
      </c>
      <c r="H195" s="80">
        <f t="shared" si="22"/>
        <v>1398.7010700000001</v>
      </c>
      <c r="I195" s="35">
        <f>3.65*4.2+2.65*3.05+2.75*(3.5+2.5)+3.1*2.9+1.2*(2.1+2.1)+2.15*1.35+2.65*1.2+0.9*2.95</f>
        <v>62.68</v>
      </c>
      <c r="K195" s="89">
        <f t="shared" si="23"/>
        <v>1.95687016592458</v>
      </c>
      <c r="L195" s="108">
        <v>1695</v>
      </c>
      <c r="M195" s="108"/>
      <c r="N195" s="35"/>
      <c r="T195" s="20"/>
    </row>
    <row r="196" spans="1:20" s="81" customFormat="1" x14ac:dyDescent="0.25">
      <c r="A196" s="109" t="s">
        <v>380</v>
      </c>
      <c r="B196" s="110"/>
      <c r="C196" s="110"/>
      <c r="D196" s="110"/>
      <c r="E196" s="110"/>
      <c r="F196" s="110"/>
      <c r="G196" s="110"/>
      <c r="H196" s="111"/>
      <c r="J196" s="35"/>
      <c r="K196" s="89" t="e">
        <f t="shared" si="23"/>
        <v>#DIV/0!</v>
      </c>
    </row>
    <row r="197" spans="1:20" s="81" customFormat="1" ht="15.75" customHeight="1" x14ac:dyDescent="0.25">
      <c r="A197" s="106">
        <v>1</v>
      </c>
      <c r="B197" s="107"/>
      <c r="C197" s="80" t="s">
        <v>377</v>
      </c>
      <c r="D197" s="83">
        <f>(58.41)*10.764</f>
        <v>628.72523999999987</v>
      </c>
      <c r="E197" s="83">
        <f>(1.2*(3+2.75+2.3+2.7))*10.764</f>
        <v>138.85559999999998</v>
      </c>
      <c r="F197" s="80">
        <f t="shared" ref="F197:F202" si="24">D197+E197</f>
        <v>767.58083999999985</v>
      </c>
      <c r="G197" s="80">
        <v>0</v>
      </c>
      <c r="H197" s="80">
        <f t="shared" ref="H197:H202" si="25">F197*(($H$184)+1)+(IF(G197&lt;101,G197,IF(G197&lt;201,G197/2,IF(G197&lt;=301,G197/3,G197/4))))</f>
        <v>1151.3712599999999</v>
      </c>
      <c r="I197" s="35"/>
      <c r="K197" s="89">
        <f t="shared" si="23"/>
        <v>1.524269417668112</v>
      </c>
      <c r="L197" s="108">
        <v>1170</v>
      </c>
      <c r="M197" s="108"/>
      <c r="N197" s="35"/>
    </row>
    <row r="198" spans="1:20" s="81" customFormat="1" ht="15.75" customHeight="1" x14ac:dyDescent="0.25">
      <c r="A198" s="106">
        <f>A197+1</f>
        <v>2</v>
      </c>
      <c r="B198" s="107"/>
      <c r="C198" s="80" t="s">
        <v>378</v>
      </c>
      <c r="D198" s="83">
        <f>(64.51)*10.764</f>
        <v>694.38563999999997</v>
      </c>
      <c r="E198" s="83">
        <f>(1.2*(3+3.2+2.7+2.25)+1.1*2.9+1*3.4)*10.764</f>
        <v>214.95707999999996</v>
      </c>
      <c r="F198" s="80">
        <f t="shared" si="24"/>
        <v>909.34271999999987</v>
      </c>
      <c r="G198" s="80">
        <v>0</v>
      </c>
      <c r="H198" s="80">
        <f t="shared" si="25"/>
        <v>1364.0140799999999</v>
      </c>
      <c r="I198" s="35">
        <f>4.5*3.5+2.75*(2.3+3.5)+3.15*2.2+3.05*3.35+1.2*(2.15+2.3)+0.9*(1+0.8+1.3+1.8)+1.5*1.05+0.45*1.2</f>
        <v>60.712499999999999</v>
      </c>
      <c r="K198" s="89">
        <f t="shared" si="23"/>
        <v>1.523078119545511</v>
      </c>
      <c r="L198" s="108">
        <v>1385</v>
      </c>
      <c r="M198" s="108"/>
      <c r="N198" s="35"/>
    </row>
    <row r="199" spans="1:20" s="81" customFormat="1" ht="15.75" customHeight="1" x14ac:dyDescent="0.25">
      <c r="A199" s="106">
        <f>A198+1</f>
        <v>3</v>
      </c>
      <c r="B199" s="107"/>
      <c r="C199" s="80" t="s">
        <v>377</v>
      </c>
      <c r="D199" s="83">
        <f>(49.74)*10.764</f>
        <v>535.40135999999995</v>
      </c>
      <c r="E199" s="83">
        <f>(1.2*(2.75+2.3+2.7)+3.35*1)*10.764</f>
        <v>136.16459999999998</v>
      </c>
      <c r="F199" s="80">
        <f t="shared" si="24"/>
        <v>671.5659599999999</v>
      </c>
      <c r="G199" s="80">
        <v>0</v>
      </c>
      <c r="H199" s="80">
        <f t="shared" si="25"/>
        <v>1007.3489399999999</v>
      </c>
      <c r="I199" s="35"/>
      <c r="K199" s="89">
        <f t="shared" si="23"/>
        <v>1.5188381495691059</v>
      </c>
      <c r="L199" s="108">
        <v>1020</v>
      </c>
      <c r="M199" s="108"/>
      <c r="N199" s="35"/>
    </row>
    <row r="200" spans="1:20" s="81" customFormat="1" ht="15.75" customHeight="1" x14ac:dyDescent="0.25">
      <c r="A200" s="106">
        <f>A199+1</f>
        <v>4</v>
      </c>
      <c r="B200" s="107"/>
      <c r="C200" s="80" t="s">
        <v>377</v>
      </c>
      <c r="D200" s="83">
        <f>(51.7)*10.764</f>
        <v>556.49879999999996</v>
      </c>
      <c r="E200" s="83">
        <f>(1.2*(2.7+2.3+2.75+3.05))*10.764</f>
        <v>139.50144</v>
      </c>
      <c r="F200" s="80">
        <f t="shared" si="24"/>
        <v>696.00023999999996</v>
      </c>
      <c r="G200" s="80">
        <v>0</v>
      </c>
      <c r="H200" s="80">
        <f t="shared" si="25"/>
        <v>1044.00036</v>
      </c>
      <c r="I200" s="35">
        <f>2.75*4.4+2.9*(2.3+2.75)+3.05*4+1.2*(2.3+2.1)+1*(1.45+3.8)</f>
        <v>49.475000000000001</v>
      </c>
      <c r="K200" s="89">
        <f t="shared" si="23"/>
        <v>1.5229879805788573</v>
      </c>
      <c r="L200" s="108">
        <v>1060</v>
      </c>
      <c r="M200" s="108"/>
      <c r="N200" s="35"/>
      <c r="T200" s="20"/>
    </row>
    <row r="201" spans="1:20" s="81" customFormat="1" ht="15.75" customHeight="1" x14ac:dyDescent="0.25">
      <c r="A201" s="106">
        <f>A200+1</f>
        <v>5</v>
      </c>
      <c r="B201" s="107"/>
      <c r="C201" s="80" t="s">
        <v>377</v>
      </c>
      <c r="D201" s="83">
        <f>(55.11)*10.764</f>
        <v>593.20403999999996</v>
      </c>
      <c r="E201" s="83">
        <f>(1.2*(2.7+2.3+2.75+3.05))*10.764</f>
        <v>139.50144</v>
      </c>
      <c r="F201" s="80">
        <f t="shared" si="24"/>
        <v>732.70547999999997</v>
      </c>
      <c r="G201" s="80">
        <v>0</v>
      </c>
      <c r="H201" s="80">
        <f t="shared" si="25"/>
        <v>1099.0582199999999</v>
      </c>
      <c r="I201" s="35"/>
      <c r="K201" s="89">
        <f t="shared" si="23"/>
        <v>1.5217574188199057</v>
      </c>
      <c r="L201" s="108">
        <v>1115</v>
      </c>
      <c r="M201" s="108"/>
      <c r="N201" s="35"/>
    </row>
    <row r="202" spans="1:20" s="81" customFormat="1" ht="15.75" customHeight="1" x14ac:dyDescent="0.25">
      <c r="A202" s="106">
        <f>A201+1</f>
        <v>6</v>
      </c>
      <c r="B202" s="107"/>
      <c r="C202" s="80" t="s">
        <v>378</v>
      </c>
      <c r="D202" s="83">
        <f>(65.87)*10.764</f>
        <v>709.02467999999999</v>
      </c>
      <c r="E202" s="83">
        <f>(3.65*1.5+2.71*1.45+1.2*(2.75+3.5+3.1)+2.9*1)*10.764</f>
        <v>253.21771799999993</v>
      </c>
      <c r="F202" s="80">
        <f t="shared" si="24"/>
        <v>962.24239799999987</v>
      </c>
      <c r="G202" s="80">
        <v>0</v>
      </c>
      <c r="H202" s="80">
        <f t="shared" si="25"/>
        <v>1443.3635969999998</v>
      </c>
      <c r="I202" s="35"/>
      <c r="K202" s="89">
        <f t="shared" si="23"/>
        <v>1.5068968100073266</v>
      </c>
      <c r="L202" s="108">
        <v>1450</v>
      </c>
      <c r="M202" s="108"/>
      <c r="N202" s="35"/>
      <c r="T202" s="20"/>
    </row>
    <row r="203" spans="1:20" s="81" customFormat="1" x14ac:dyDescent="0.25">
      <c r="A203" s="109" t="s">
        <v>381</v>
      </c>
      <c r="B203" s="110"/>
      <c r="C203" s="110"/>
      <c r="D203" s="110"/>
      <c r="E203" s="110"/>
      <c r="F203" s="110"/>
      <c r="G203" s="110"/>
      <c r="H203" s="111"/>
      <c r="J203" s="35">
        <v>4200</v>
      </c>
      <c r="K203" s="89" t="e">
        <f t="shared" si="23"/>
        <v>#DIV/0!</v>
      </c>
    </row>
    <row r="204" spans="1:20" s="81" customFormat="1" ht="15.75" customHeight="1" x14ac:dyDescent="0.25">
      <c r="A204" s="106">
        <v>1</v>
      </c>
      <c r="B204" s="107"/>
      <c r="C204" s="80" t="s">
        <v>377</v>
      </c>
      <c r="D204" s="83">
        <f>(58.41)*10.764</f>
        <v>628.72523999999987</v>
      </c>
      <c r="E204" s="83">
        <f>(1.2*(2.7+2.3+2.75+3))*10.764</f>
        <v>138.85559999999998</v>
      </c>
      <c r="F204" s="80">
        <f t="shared" ref="F204:F209" si="26">D204+E204</f>
        <v>767.58083999999985</v>
      </c>
      <c r="G204" s="80">
        <v>0</v>
      </c>
      <c r="H204" s="80">
        <f t="shared" ref="H204:H209" si="27">F204*(($H$184)+1)+(IF(G204&lt;101,G204,IF(G204&lt;201,G204/2,IF(G204&lt;=301,G204/3,G204/4))))</f>
        <v>1151.3712599999999</v>
      </c>
      <c r="I204" s="35">
        <f>J204+200000</f>
        <v>5035759.2919999994</v>
      </c>
      <c r="J204" s="81">
        <f>J$203*H204</f>
        <v>4835759.2919999994</v>
      </c>
      <c r="K204" s="89">
        <f t="shared" si="23"/>
        <v>1.524269417668112</v>
      </c>
      <c r="L204" s="108">
        <v>1170</v>
      </c>
      <c r="M204" s="108"/>
      <c r="N204" s="35"/>
    </row>
    <row r="205" spans="1:20" s="81" customFormat="1" ht="15.75" customHeight="1" x14ac:dyDescent="0.25">
      <c r="A205" s="106">
        <f>A204+1</f>
        <v>2</v>
      </c>
      <c r="B205" s="107"/>
      <c r="C205" s="80" t="s">
        <v>378</v>
      </c>
      <c r="D205" s="83">
        <f>(64.5)*10.764</f>
        <v>694.27799999999991</v>
      </c>
      <c r="E205" s="83">
        <f>(1.2*(2.7+2.25+3.2+3)+1.1*2.9+1*3.4)*10.764</f>
        <v>214.95707999999996</v>
      </c>
      <c r="F205" s="80">
        <f t="shared" si="26"/>
        <v>909.23507999999993</v>
      </c>
      <c r="G205" s="80">
        <v>0</v>
      </c>
      <c r="H205" s="80">
        <f t="shared" si="27"/>
        <v>1363.8526199999999</v>
      </c>
      <c r="I205" s="35">
        <f t="shared" ref="I205:I209" si="28">J205+200000</f>
        <v>5928181.0039999997</v>
      </c>
      <c r="J205" s="89">
        <f t="shared" ref="J205:J209" si="29">J$203*H205</f>
        <v>5728181.0039999997</v>
      </c>
      <c r="K205" s="89">
        <f t="shared" si="23"/>
        <v>1.5232584294921838</v>
      </c>
      <c r="L205" s="108">
        <v>1385</v>
      </c>
      <c r="M205" s="108"/>
      <c r="N205" s="35"/>
    </row>
    <row r="206" spans="1:20" s="81" customFormat="1" ht="15.75" customHeight="1" x14ac:dyDescent="0.25">
      <c r="A206" s="106">
        <f>A205+1</f>
        <v>3</v>
      </c>
      <c r="B206" s="107"/>
      <c r="C206" s="80" t="s">
        <v>377</v>
      </c>
      <c r="D206" s="83">
        <f>(49.74)*10.764</f>
        <v>535.40135999999995</v>
      </c>
      <c r="E206" s="83">
        <f>(1.2*(2.75+2.3+2.7)+3.35*1)*10.764</f>
        <v>136.16459999999998</v>
      </c>
      <c r="F206" s="80">
        <f t="shared" si="26"/>
        <v>671.5659599999999</v>
      </c>
      <c r="G206" s="80">
        <v>0</v>
      </c>
      <c r="H206" s="80">
        <f t="shared" si="27"/>
        <v>1007.3489399999999</v>
      </c>
      <c r="I206" s="35">
        <f t="shared" si="28"/>
        <v>4430865.5479999995</v>
      </c>
      <c r="J206" s="89">
        <f t="shared" si="29"/>
        <v>4230865.5479999995</v>
      </c>
      <c r="K206" s="89">
        <f t="shared" si="23"/>
        <v>1.5188381495691059</v>
      </c>
      <c r="L206" s="108">
        <v>1020</v>
      </c>
      <c r="M206" s="108"/>
      <c r="N206" s="35"/>
    </row>
    <row r="207" spans="1:20" s="81" customFormat="1" ht="15.75" customHeight="1" x14ac:dyDescent="0.25">
      <c r="A207" s="106">
        <f>A206+1</f>
        <v>4</v>
      </c>
      <c r="B207" s="107"/>
      <c r="C207" s="80" t="s">
        <v>382</v>
      </c>
      <c r="D207" s="83">
        <f>(2.75*(4.4+4)+2.3*2.9+1.2*(2.3+2.1)+2.3*1)*10.764</f>
        <v>402.03539999999992</v>
      </c>
      <c r="E207" s="83">
        <f>(1.2*(2.7+2.3+2.75))*10.764</f>
        <v>100.10519999999998</v>
      </c>
      <c r="F207" s="80">
        <f t="shared" si="26"/>
        <v>502.14059999999989</v>
      </c>
      <c r="G207" s="80">
        <v>0</v>
      </c>
      <c r="H207" s="80">
        <f t="shared" si="27"/>
        <v>753.21089999999981</v>
      </c>
      <c r="I207" s="35">
        <f t="shared" si="28"/>
        <v>3363485.7799999993</v>
      </c>
      <c r="J207" s="89">
        <f t="shared" si="29"/>
        <v>3163485.7799999993</v>
      </c>
      <c r="K207" s="89">
        <f t="shared" si="23"/>
        <v>1.5832219103573784</v>
      </c>
      <c r="L207" s="108">
        <v>795</v>
      </c>
      <c r="M207" s="108"/>
      <c r="N207" s="35"/>
      <c r="T207" s="20"/>
    </row>
    <row r="208" spans="1:20" s="82" customFormat="1" ht="15.75" customHeight="1" x14ac:dyDescent="0.25">
      <c r="A208" s="106">
        <f>A207+1</f>
        <v>5</v>
      </c>
      <c r="B208" s="107"/>
      <c r="C208" s="83" t="s">
        <v>377</v>
      </c>
      <c r="D208" s="83">
        <f>(55.11)*10.764</f>
        <v>593.20403999999996</v>
      </c>
      <c r="E208" s="83">
        <f>(1.2*(2.7+2.3+2.75+3.05))*10.764</f>
        <v>139.50144</v>
      </c>
      <c r="F208" s="83">
        <f t="shared" si="26"/>
        <v>732.70547999999997</v>
      </c>
      <c r="G208" s="83">
        <v>0</v>
      </c>
      <c r="H208" s="83">
        <f t="shared" si="27"/>
        <v>1099.0582199999999</v>
      </c>
      <c r="I208" s="35">
        <f t="shared" si="28"/>
        <v>4816044.5239999993</v>
      </c>
      <c r="J208" s="89">
        <f t="shared" si="29"/>
        <v>4616044.5239999993</v>
      </c>
      <c r="K208" s="89">
        <f t="shared" si="23"/>
        <v>1.5217574188199057</v>
      </c>
      <c r="L208" s="108">
        <v>1115</v>
      </c>
      <c r="M208" s="108"/>
      <c r="N208" s="35"/>
    </row>
    <row r="209" spans="1:20" s="82" customFormat="1" ht="15.75" customHeight="1" x14ac:dyDescent="0.25">
      <c r="A209" s="106">
        <f>A208+1</f>
        <v>6</v>
      </c>
      <c r="B209" s="107"/>
      <c r="C209" s="83" t="s">
        <v>378</v>
      </c>
      <c r="D209" s="83">
        <f>(65.87)*10.764</f>
        <v>709.02467999999999</v>
      </c>
      <c r="E209" s="83">
        <f>(3.65*1.5+2.71*1.45+1.2*(2.75+3.5+3.1)+2.9*1)*10.764</f>
        <v>253.21771799999993</v>
      </c>
      <c r="F209" s="83">
        <f t="shared" si="26"/>
        <v>962.24239799999987</v>
      </c>
      <c r="G209" s="83">
        <v>0</v>
      </c>
      <c r="H209" s="83">
        <f t="shared" si="27"/>
        <v>1443.3635969999998</v>
      </c>
      <c r="I209" s="35">
        <f t="shared" si="28"/>
        <v>6262127.1073999992</v>
      </c>
      <c r="J209" s="89">
        <f t="shared" si="29"/>
        <v>6062127.1073999992</v>
      </c>
      <c r="K209" s="89">
        <f t="shared" si="23"/>
        <v>1.5068968100073266</v>
      </c>
      <c r="L209" s="108">
        <v>1450</v>
      </c>
      <c r="M209" s="108"/>
      <c r="N209" s="35"/>
      <c r="T209" s="20"/>
    </row>
    <row r="210" spans="1:20" s="82" customFormat="1" x14ac:dyDescent="0.25">
      <c r="A210" s="114" t="s">
        <v>383</v>
      </c>
      <c r="B210" s="115"/>
      <c r="C210" s="115"/>
      <c r="D210" s="115"/>
      <c r="E210" s="115"/>
      <c r="F210" s="115"/>
      <c r="G210" s="115"/>
      <c r="H210" s="116"/>
      <c r="J210" s="35"/>
      <c r="T210" s="34"/>
    </row>
    <row r="211" spans="1:20" s="82" customFormat="1" x14ac:dyDescent="0.25">
      <c r="A211" s="109" t="s">
        <v>384</v>
      </c>
      <c r="B211" s="110"/>
      <c r="C211" s="110"/>
      <c r="D211" s="110"/>
      <c r="E211" s="110"/>
      <c r="F211" s="110"/>
      <c r="G211" s="110"/>
      <c r="H211" s="111"/>
      <c r="J211" s="35"/>
      <c r="T211" s="34"/>
    </row>
    <row r="212" spans="1:20" s="82" customFormat="1" x14ac:dyDescent="0.25">
      <c r="A212" s="109" t="s">
        <v>385</v>
      </c>
      <c r="B212" s="110"/>
      <c r="C212" s="110"/>
      <c r="D212" s="110"/>
      <c r="E212" s="110"/>
      <c r="F212" s="110"/>
      <c r="G212" s="110"/>
      <c r="H212" s="111"/>
      <c r="J212" s="35"/>
    </row>
    <row r="213" spans="1:20" s="82" customFormat="1" ht="15.75" customHeight="1" x14ac:dyDescent="0.25">
      <c r="A213" s="106">
        <v>1</v>
      </c>
      <c r="B213" s="107"/>
      <c r="C213" s="83" t="s">
        <v>377</v>
      </c>
      <c r="D213" s="83">
        <f>(49.81)*10.764</f>
        <v>536.15484000000004</v>
      </c>
      <c r="E213" s="83">
        <f>(2.7*1.25+2.25*1.2+3.05*1)*10.764</f>
        <v>98.221499999999992</v>
      </c>
      <c r="F213" s="83">
        <f>D213+E213</f>
        <v>634.37634000000003</v>
      </c>
      <c r="G213" s="83">
        <v>0</v>
      </c>
      <c r="H213" s="83">
        <f>F213*(($H$184)+1)+(IF(G213&lt;101,G213,IF(G213&lt;201,G213/2,IF(G213&lt;=301,G213/3,G213/4))))</f>
        <v>951.56451000000004</v>
      </c>
      <c r="I213" s="35">
        <f>3.55*4.6+2.3*2.3+2.75*(2+4.5)+1.2*(2+1.95)+4.45*0.9+0.95*0.45</f>
        <v>48.667500000000004</v>
      </c>
      <c r="J213" s="82">
        <v>885</v>
      </c>
      <c r="K213" s="82">
        <f>J213/F213</f>
        <v>1.3950709447959551</v>
      </c>
      <c r="L213" s="108"/>
      <c r="M213" s="108"/>
      <c r="N213" s="35"/>
    </row>
    <row r="214" spans="1:20" s="82" customFormat="1" ht="15.75" customHeight="1" x14ac:dyDescent="0.25">
      <c r="A214" s="106">
        <f>A213+1</f>
        <v>2</v>
      </c>
      <c r="B214" s="107"/>
      <c r="C214" s="83" t="s">
        <v>377</v>
      </c>
      <c r="D214" s="83">
        <f>(49.81)*10.764</f>
        <v>536.15484000000004</v>
      </c>
      <c r="E214" s="83">
        <f>(2.7*1.25+2.25*0.9+3.05*1)*10.764</f>
        <v>90.955799999999982</v>
      </c>
      <c r="F214" s="83">
        <f>D214+E214</f>
        <v>627.11063999999999</v>
      </c>
      <c r="G214" s="83">
        <v>0</v>
      </c>
      <c r="H214" s="83">
        <f>F214*(($H$184)+1)+(IF(G214&lt;101,G214,IF(G214&lt;201,G214/2,IF(G214&lt;=301,G214/3,G214/4))))</f>
        <v>940.66596000000004</v>
      </c>
      <c r="I214" s="35"/>
      <c r="J214" s="82">
        <v>835</v>
      </c>
      <c r="K214" s="89">
        <f t="shared" ref="K214:K226" si="30">J214/F214</f>
        <v>1.3315034807892911</v>
      </c>
      <c r="L214" s="108"/>
      <c r="M214" s="108"/>
      <c r="N214" s="35"/>
    </row>
    <row r="215" spans="1:20" s="82" customFormat="1" ht="15.75" customHeight="1" x14ac:dyDescent="0.25">
      <c r="A215" s="106">
        <f>A214+1</f>
        <v>3</v>
      </c>
      <c r="B215" s="107"/>
      <c r="C215" s="83" t="s">
        <v>377</v>
      </c>
      <c r="D215" s="83">
        <f>(47.58)*10.764</f>
        <v>512.15111999999999</v>
      </c>
      <c r="E215" s="83">
        <f>(2.7*1.2+0.75*2.1)*10.764</f>
        <v>51.828659999999999</v>
      </c>
      <c r="F215" s="83">
        <f>D215+E215</f>
        <v>563.97978000000001</v>
      </c>
      <c r="G215" s="83">
        <v>0</v>
      </c>
      <c r="H215" s="83">
        <f>F215*(($H$184)+1)+(IF(G215&lt;101,G215,IF(G215&lt;201,G215/2,IF(G215&lt;=301,G215/3,G215/4))))</f>
        <v>845.96966999999995</v>
      </c>
      <c r="I215" s="35">
        <f>2.75*(4.5+3.4+3.15)+2.1*(2.4+1)+1.2*(2.15+2.25+1.2)+0.9*1.3</f>
        <v>45.417500000000004</v>
      </c>
      <c r="J215" s="82">
        <v>885</v>
      </c>
      <c r="K215" s="89">
        <f t="shared" si="30"/>
        <v>1.5692051938457794</v>
      </c>
      <c r="L215" s="108">
        <f>4200*H215</f>
        <v>3553072.6139999996</v>
      </c>
      <c r="M215" s="108"/>
      <c r="N215" s="35"/>
    </row>
    <row r="216" spans="1:20" s="82" customFormat="1" ht="15.75" customHeight="1" x14ac:dyDescent="0.25">
      <c r="A216" s="106">
        <f>A215+1</f>
        <v>4</v>
      </c>
      <c r="B216" s="107"/>
      <c r="C216" s="83" t="s">
        <v>377</v>
      </c>
      <c r="D216" s="83">
        <f>(47.51)*10.764</f>
        <v>511.39763999999997</v>
      </c>
      <c r="E216" s="83">
        <f>(1.2*(2.75+2+2.3))*10.764</f>
        <v>91.063439999999986</v>
      </c>
      <c r="F216" s="83">
        <f>D216+E216</f>
        <v>602.46107999999992</v>
      </c>
      <c r="G216" s="83">
        <v>0</v>
      </c>
      <c r="H216" s="83">
        <f>F216*(($H$184)+1)+(IF(G216&lt;101,G216,IF(G216&lt;201,G216/2,IF(G216&lt;=301,G216/3,G216/4))))</f>
        <v>903.69161999999983</v>
      </c>
      <c r="I216" s="35"/>
      <c r="J216" s="82">
        <v>895</v>
      </c>
      <c r="K216" s="89">
        <f t="shared" si="30"/>
        <v>1.4855731427497361</v>
      </c>
      <c r="L216" s="108"/>
      <c r="M216" s="108"/>
      <c r="N216" s="35"/>
      <c r="T216" s="20"/>
    </row>
    <row r="217" spans="1:20" s="82" customFormat="1" x14ac:dyDescent="0.25">
      <c r="A217" s="109" t="s">
        <v>386</v>
      </c>
      <c r="B217" s="110"/>
      <c r="C217" s="110"/>
      <c r="D217" s="110"/>
      <c r="E217" s="110"/>
      <c r="F217" s="110"/>
      <c r="G217" s="110"/>
      <c r="H217" s="111"/>
      <c r="J217" s="35"/>
      <c r="K217" s="89" t="e">
        <f t="shared" si="30"/>
        <v>#DIV/0!</v>
      </c>
    </row>
    <row r="218" spans="1:20" s="82" customFormat="1" ht="15.75" customHeight="1" x14ac:dyDescent="0.25">
      <c r="A218" s="106">
        <v>1</v>
      </c>
      <c r="B218" s="107"/>
      <c r="C218" s="83" t="s">
        <v>377</v>
      </c>
      <c r="D218" s="83">
        <f>(45.11)*10.764</f>
        <v>485.56403999999998</v>
      </c>
      <c r="E218" s="83">
        <f>(2.7*1.55+2.25*1.2+3.05*1+2.7*1.45)*10.764</f>
        <v>149.08139999999997</v>
      </c>
      <c r="F218" s="83">
        <f>D218+E218</f>
        <v>634.64544000000001</v>
      </c>
      <c r="G218" s="83">
        <v>0</v>
      </c>
      <c r="H218" s="83">
        <f>F218*(($H$184)+1)+(IF(G218&lt;101,G218,IF(G218&lt;201,G218/2,IF(G218&lt;=301,G218/3,G218/4))))</f>
        <v>951.96816000000001</v>
      </c>
      <c r="I218" s="35"/>
      <c r="J218" s="82">
        <v>965</v>
      </c>
      <c r="K218" s="89">
        <f t="shared" si="30"/>
        <v>1.5205340481135419</v>
      </c>
      <c r="L218" s="108"/>
      <c r="M218" s="108"/>
      <c r="N218" s="35"/>
    </row>
    <row r="219" spans="1:20" s="82" customFormat="1" ht="15.75" customHeight="1" x14ac:dyDescent="0.25">
      <c r="A219" s="106">
        <f>A218+1</f>
        <v>2</v>
      </c>
      <c r="B219" s="107"/>
      <c r="C219" s="83" t="s">
        <v>377</v>
      </c>
      <c r="D219" s="83">
        <f>(49.81)*10.764</f>
        <v>536.15484000000004</v>
      </c>
      <c r="E219" s="83">
        <f>(2.7*1.25+2.25*0.9+3.05*1)*10.764</f>
        <v>90.955799999999982</v>
      </c>
      <c r="F219" s="83">
        <f>D219+E219</f>
        <v>627.11063999999999</v>
      </c>
      <c r="G219" s="83">
        <v>0</v>
      </c>
      <c r="H219" s="83">
        <f>F219*(($H$184)+1)+(IF(G219&lt;101,G219,IF(G219&lt;201,G219/2,IF(G219&lt;=301,G219/3,G219/4))))</f>
        <v>940.66596000000004</v>
      </c>
      <c r="I219" s="35"/>
      <c r="J219" s="82">
        <v>955</v>
      </c>
      <c r="K219" s="89">
        <f t="shared" si="30"/>
        <v>1.5228572744356563</v>
      </c>
      <c r="L219" s="108"/>
      <c r="M219" s="108"/>
      <c r="N219" s="35"/>
    </row>
    <row r="220" spans="1:20" s="82" customFormat="1" ht="15.75" customHeight="1" x14ac:dyDescent="0.25">
      <c r="A220" s="106">
        <f>A219+1</f>
        <v>3</v>
      </c>
      <c r="B220" s="107"/>
      <c r="C220" s="83" t="s">
        <v>377</v>
      </c>
      <c r="D220" s="83">
        <f>(47.58)*10.764</f>
        <v>512.15111999999999</v>
      </c>
      <c r="E220" s="83">
        <f>(2.7*1.2+0.75*2.1)*10.764</f>
        <v>51.828659999999999</v>
      </c>
      <c r="F220" s="83">
        <f>D220+E220</f>
        <v>563.97978000000001</v>
      </c>
      <c r="G220" s="83">
        <v>0</v>
      </c>
      <c r="H220" s="83">
        <f>F220*(($H$184)+1)+(IF(G220&lt;101,G220,IF(G220&lt;201,G220/2,IF(G220&lt;=301,G220/3,G220/4))))</f>
        <v>845.96966999999995</v>
      </c>
      <c r="I220" s="35"/>
      <c r="J220" s="82">
        <v>885</v>
      </c>
      <c r="K220" s="89">
        <f t="shared" si="30"/>
        <v>1.5692051938457794</v>
      </c>
      <c r="L220" s="108"/>
      <c r="M220" s="108"/>
      <c r="N220" s="35"/>
    </row>
    <row r="221" spans="1:20" s="82" customFormat="1" ht="15.75" customHeight="1" x14ac:dyDescent="0.25">
      <c r="A221" s="106">
        <f>A220+1</f>
        <v>4</v>
      </c>
      <c r="B221" s="107"/>
      <c r="C221" s="83" t="s">
        <v>377</v>
      </c>
      <c r="D221" s="83">
        <f>(47.51)*10.764</f>
        <v>511.39763999999997</v>
      </c>
      <c r="E221" s="83">
        <f>(1.2*(2+2.3+2.75))*10.764</f>
        <v>91.063439999999986</v>
      </c>
      <c r="F221" s="83">
        <f>D221+E221</f>
        <v>602.46107999999992</v>
      </c>
      <c r="G221" s="83">
        <v>0</v>
      </c>
      <c r="H221" s="83">
        <f>F221*(($H$184)+1)+(IF(G221&lt;101,G221,IF(G221&lt;201,G221/2,IF(G221&lt;=301,G221/3,G221/4))))</f>
        <v>903.69161999999983</v>
      </c>
      <c r="I221" s="35"/>
      <c r="J221" s="82">
        <v>915</v>
      </c>
      <c r="K221" s="89">
        <f t="shared" si="30"/>
        <v>1.5187703079508474</v>
      </c>
      <c r="L221" s="108"/>
      <c r="M221" s="108"/>
      <c r="N221" s="35"/>
      <c r="T221" s="20"/>
    </row>
    <row r="222" spans="1:20" s="82" customFormat="1" x14ac:dyDescent="0.25">
      <c r="A222" s="109" t="s">
        <v>381</v>
      </c>
      <c r="B222" s="110"/>
      <c r="C222" s="110"/>
      <c r="D222" s="110"/>
      <c r="E222" s="110"/>
      <c r="F222" s="110"/>
      <c r="G222" s="110"/>
      <c r="H222" s="111"/>
      <c r="J222" s="35"/>
      <c r="K222" s="89" t="e">
        <f t="shared" si="30"/>
        <v>#DIV/0!</v>
      </c>
    </row>
    <row r="223" spans="1:20" s="82" customFormat="1" ht="15.75" customHeight="1" x14ac:dyDescent="0.25">
      <c r="A223" s="106">
        <v>1</v>
      </c>
      <c r="B223" s="107"/>
      <c r="C223" s="83" t="s">
        <v>377</v>
      </c>
      <c r="D223" s="83">
        <f>(45.11)*10.764</f>
        <v>485.56403999999998</v>
      </c>
      <c r="E223" s="83">
        <f>(2.7*1.55+2.25*1.2+3.05*1+2.7*1.45)*10.764</f>
        <v>149.08139999999997</v>
      </c>
      <c r="F223" s="83">
        <f>D223+E223</f>
        <v>634.64544000000001</v>
      </c>
      <c r="G223" s="83">
        <v>0</v>
      </c>
      <c r="H223" s="83">
        <f>F223*(($H$184)+1)+(IF(G223&lt;101,G223,IF(G223&lt;201,G223/2,IF(G223&lt;=301,G223/3,G223/4))))</f>
        <v>951.96816000000001</v>
      </c>
      <c r="I223" s="35"/>
      <c r="J223" s="89">
        <v>965</v>
      </c>
      <c r="K223" s="89">
        <f t="shared" si="30"/>
        <v>1.5205340481135419</v>
      </c>
      <c r="L223" s="108"/>
      <c r="M223" s="108"/>
      <c r="N223" s="35"/>
    </row>
    <row r="224" spans="1:20" s="82" customFormat="1" ht="15.75" customHeight="1" x14ac:dyDescent="0.25">
      <c r="A224" s="106">
        <f>A223+1</f>
        <v>2</v>
      </c>
      <c r="B224" s="107"/>
      <c r="C224" s="83" t="s">
        <v>377</v>
      </c>
      <c r="D224" s="83">
        <f>(49.81)*10.764</f>
        <v>536.15484000000004</v>
      </c>
      <c r="E224" s="83">
        <f>(2.7*1.25+2.25*0.9+3.05*1)*10.764</f>
        <v>90.955799999999982</v>
      </c>
      <c r="F224" s="83">
        <f>D224+E224</f>
        <v>627.11063999999999</v>
      </c>
      <c r="G224" s="83">
        <v>0</v>
      </c>
      <c r="H224" s="83">
        <f>F224*(($H$184)+1)+(IF(G224&lt;101,G224,IF(G224&lt;201,G224/2,IF(G224&lt;=301,G224/3,G224/4))))</f>
        <v>940.66596000000004</v>
      </c>
      <c r="I224" s="35"/>
      <c r="J224" s="89">
        <v>955</v>
      </c>
      <c r="K224" s="89">
        <f t="shared" si="30"/>
        <v>1.5228572744356563</v>
      </c>
      <c r="L224" s="108"/>
      <c r="M224" s="108"/>
      <c r="N224" s="35"/>
    </row>
    <row r="225" spans="1:20" s="82" customFormat="1" ht="15.75" customHeight="1" x14ac:dyDescent="0.25">
      <c r="A225" s="106">
        <f>A224+1</f>
        <v>3</v>
      </c>
      <c r="B225" s="107"/>
      <c r="C225" s="83" t="s">
        <v>382</v>
      </c>
      <c r="D225" s="83">
        <f>(37.08)*10.764</f>
        <v>399.12911999999994</v>
      </c>
      <c r="E225" s="83">
        <v>0</v>
      </c>
      <c r="F225" s="83">
        <f>D225+E225</f>
        <v>399.12911999999994</v>
      </c>
      <c r="G225" s="83">
        <v>0</v>
      </c>
      <c r="H225" s="83">
        <f>F225*(($H$184)+1)+(IF(G225&lt;101,G225,IF(G225&lt;201,G225/2,IF(G225&lt;=301,G225/3,G225/4))))</f>
        <v>598.69367999999986</v>
      </c>
      <c r="I225" s="35">
        <f>4200*H225</f>
        <v>2514513.4559999993</v>
      </c>
      <c r="J225" s="89">
        <v>610</v>
      </c>
      <c r="K225" s="89">
        <f t="shared" si="30"/>
        <v>1.5283274745776507</v>
      </c>
      <c r="L225" s="108"/>
      <c r="M225" s="108"/>
      <c r="N225" s="35"/>
    </row>
    <row r="226" spans="1:20" s="82" customFormat="1" ht="15.75" customHeight="1" x14ac:dyDescent="0.25">
      <c r="A226" s="106">
        <f>A225+1</f>
        <v>4</v>
      </c>
      <c r="B226" s="107"/>
      <c r="C226" s="83" t="s">
        <v>377</v>
      </c>
      <c r="D226" s="83">
        <f>(47.51)*10.764</f>
        <v>511.39763999999997</v>
      </c>
      <c r="E226" s="83">
        <f>(1.2*(2+2.3+2.75))*10.764</f>
        <v>91.063439999999986</v>
      </c>
      <c r="F226" s="83">
        <f>D226+E226</f>
        <v>602.46107999999992</v>
      </c>
      <c r="G226" s="83">
        <v>0</v>
      </c>
      <c r="H226" s="83">
        <f>F226*(($H$184)+1)+(IF(G226&lt;101,G226,IF(G226&lt;201,G226/2,IF(G226&lt;=301,G226/3,G226/4))))</f>
        <v>903.69161999999983</v>
      </c>
      <c r="I226" s="35"/>
      <c r="J226" s="89">
        <v>915</v>
      </c>
      <c r="K226" s="89">
        <f t="shared" si="30"/>
        <v>1.5187703079508474</v>
      </c>
      <c r="L226" s="108"/>
      <c r="M226" s="108"/>
      <c r="N226" s="35"/>
      <c r="T226" s="20"/>
    </row>
    <row r="227" spans="1:20" s="82" customFormat="1" x14ac:dyDescent="0.25">
      <c r="A227" s="109" t="s">
        <v>387</v>
      </c>
      <c r="B227" s="110"/>
      <c r="C227" s="110"/>
      <c r="D227" s="110"/>
      <c r="E227" s="110"/>
      <c r="F227" s="110"/>
      <c r="G227" s="110"/>
      <c r="H227" s="111"/>
      <c r="J227" s="35"/>
      <c r="T227" s="34"/>
    </row>
    <row r="228" spans="1:20" s="82" customFormat="1" x14ac:dyDescent="0.25">
      <c r="A228" s="109" t="s">
        <v>384</v>
      </c>
      <c r="B228" s="110"/>
      <c r="C228" s="110"/>
      <c r="D228" s="110"/>
      <c r="E228" s="110"/>
      <c r="F228" s="110"/>
      <c r="G228" s="110"/>
      <c r="H228" s="111"/>
      <c r="J228" s="35"/>
      <c r="T228" s="34"/>
    </row>
    <row r="229" spans="1:20" s="82" customFormat="1" x14ac:dyDescent="0.25">
      <c r="A229" s="109" t="s">
        <v>391</v>
      </c>
      <c r="B229" s="110"/>
      <c r="C229" s="110"/>
      <c r="D229" s="110"/>
      <c r="E229" s="110"/>
      <c r="F229" s="110"/>
      <c r="G229" s="110"/>
      <c r="H229" s="111"/>
      <c r="J229" s="35"/>
    </row>
    <row r="230" spans="1:20" s="82" customFormat="1" ht="15.75" customHeight="1" x14ac:dyDescent="0.25">
      <c r="A230" s="106">
        <v>1</v>
      </c>
      <c r="B230" s="107"/>
      <c r="C230" s="83" t="s">
        <v>382</v>
      </c>
      <c r="D230" s="83">
        <f>(36.09)*10.764</f>
        <v>388.47275999999999</v>
      </c>
      <c r="E230" s="83">
        <f>(1.2*(2.7+2.3+2.75))*10.764</f>
        <v>100.10519999999998</v>
      </c>
      <c r="F230" s="83">
        <f>D230+E230</f>
        <v>488.57795999999996</v>
      </c>
      <c r="G230" s="83">
        <v>0</v>
      </c>
      <c r="H230" s="83">
        <f>F230*(($H$184)+1)+(IF(G230&lt;101,G230,IF(G230&lt;201,G230/2,IF(G230&lt;=301,G230/3,G230/4))))</f>
        <v>732.86693999999989</v>
      </c>
      <c r="I230" s="35">
        <f>2.75*(4.5+3)+2.3*2.65+1.2*(2.1+2.3)+2.5*1.05</f>
        <v>34.625</v>
      </c>
      <c r="L230" s="108"/>
      <c r="M230" s="108"/>
      <c r="N230" s="35"/>
    </row>
    <row r="231" spans="1:20" s="82" customFormat="1" ht="15.75" customHeight="1" x14ac:dyDescent="0.25">
      <c r="A231" s="106">
        <f>A230+1</f>
        <v>2</v>
      </c>
      <c r="B231" s="107"/>
      <c r="C231" s="83" t="s">
        <v>377</v>
      </c>
      <c r="D231" s="83">
        <f>(52.28)*10.764</f>
        <v>562.74191999999994</v>
      </c>
      <c r="E231" s="83">
        <f>(1.2*(2.7+2.75+2.7)+2.1*0.75)*10.764</f>
        <v>122.22521999999999</v>
      </c>
      <c r="F231" s="83">
        <f>D231+E231</f>
        <v>684.96713999999997</v>
      </c>
      <c r="G231" s="83">
        <v>0</v>
      </c>
      <c r="H231" s="83">
        <f>F231*(($H$184)+1)+(IF(G231&lt;101,G231,IF(G231&lt;201,G231/2,IF(G231&lt;=301,G231/3,G231/4))))</f>
        <v>1027.4507100000001</v>
      </c>
      <c r="I231" s="35"/>
      <c r="L231" s="108"/>
      <c r="M231" s="108"/>
      <c r="N231" s="35"/>
    </row>
    <row r="232" spans="1:20" s="82" customFormat="1" ht="15.75" customHeight="1" x14ac:dyDescent="0.25">
      <c r="A232" s="106">
        <f>A231+1</f>
        <v>3</v>
      </c>
      <c r="B232" s="107"/>
      <c r="C232" s="83" t="s">
        <v>377</v>
      </c>
      <c r="D232" s="83">
        <f>(45.99)*10.764</f>
        <v>495.03636</v>
      </c>
      <c r="E232" s="83">
        <f>(1.2*(2.7+2.75)+2.25*0.75+3.05*1)*10.764</f>
        <v>121.39100999999999</v>
      </c>
      <c r="F232" s="83">
        <f>D232+E232</f>
        <v>616.42737</v>
      </c>
      <c r="G232" s="83">
        <v>0</v>
      </c>
      <c r="H232" s="83">
        <f>F232*(($H$184)+1)+(IF(G232&lt;101,G232,IF(G232&lt;201,G232/2,IF(G232&lt;=301,G232/3,G232/4))))</f>
        <v>924.64105500000005</v>
      </c>
      <c r="I232" s="35"/>
      <c r="L232" s="108"/>
      <c r="M232" s="108"/>
      <c r="N232" s="35"/>
    </row>
    <row r="233" spans="1:20" s="82" customFormat="1" ht="15.75" customHeight="1" x14ac:dyDescent="0.25">
      <c r="A233" s="106">
        <f>A232+1</f>
        <v>4</v>
      </c>
      <c r="B233" s="107"/>
      <c r="C233" s="83" t="s">
        <v>377</v>
      </c>
      <c r="D233" s="83">
        <f>(46.11)*10.764</f>
        <v>496.32803999999999</v>
      </c>
      <c r="E233" s="83">
        <f>(1.2*(2.7+2.25+2.7)+3.05*1)*10.764</f>
        <v>131.64372</v>
      </c>
      <c r="F233" s="83">
        <f>D233+E233</f>
        <v>627.97176000000002</v>
      </c>
      <c r="G233" s="83">
        <v>0</v>
      </c>
      <c r="H233" s="83">
        <f>F233*(($H$184)+1)+(IF(G233&lt;101,G233,IF(G233&lt;201,G233/2,IF(G233&lt;=301,G233/3,G233/4))))</f>
        <v>941.95764000000008</v>
      </c>
      <c r="I233" s="35">
        <f>3.55*4.5+2.3*2.3+2.75*(3.3+2)+1.2*(2+1.95)+0.9*(1+3.65)+0.85*0.4</f>
        <v>45.105000000000011</v>
      </c>
      <c r="L233" s="108"/>
      <c r="M233" s="108"/>
      <c r="N233" s="35"/>
      <c r="T233" s="20"/>
    </row>
    <row r="234" spans="1:20" s="82" customFormat="1" x14ac:dyDescent="0.25">
      <c r="A234" s="109" t="s">
        <v>381</v>
      </c>
      <c r="B234" s="110"/>
      <c r="C234" s="110"/>
      <c r="D234" s="110"/>
      <c r="E234" s="110"/>
      <c r="F234" s="110"/>
      <c r="G234" s="110"/>
      <c r="H234" s="111"/>
      <c r="J234" s="35"/>
    </row>
    <row r="235" spans="1:20" s="82" customFormat="1" ht="15.75" customHeight="1" x14ac:dyDescent="0.25">
      <c r="A235" s="106">
        <v>1</v>
      </c>
      <c r="B235" s="107"/>
      <c r="C235" s="83" t="s">
        <v>382</v>
      </c>
      <c r="D235" s="83">
        <f>(36.09)*10.764</f>
        <v>388.47275999999999</v>
      </c>
      <c r="E235" s="83">
        <f>(1.2*(2.7+2.3+2.75))*10.764</f>
        <v>100.10519999999998</v>
      </c>
      <c r="F235" s="83">
        <f>D235+E235</f>
        <v>488.57795999999996</v>
      </c>
      <c r="G235" s="83">
        <v>0</v>
      </c>
      <c r="H235" s="83">
        <f>F235*(($H$184)+1)+(IF(G235&lt;101,G235,IF(G235&lt;201,G235/2,IF(G235&lt;=301,G235/3,G235/4))))</f>
        <v>732.86693999999989</v>
      </c>
      <c r="I235" s="35"/>
      <c r="L235" s="108"/>
      <c r="M235" s="108"/>
      <c r="N235" s="35"/>
    </row>
    <row r="236" spans="1:20" s="82" customFormat="1" ht="15.75" customHeight="1" x14ac:dyDescent="0.25">
      <c r="A236" s="106">
        <f>A235+1</f>
        <v>2</v>
      </c>
      <c r="B236" s="107"/>
      <c r="C236" s="83" t="s">
        <v>382</v>
      </c>
      <c r="D236" s="83">
        <f>(40.48)*10.764</f>
        <v>435.72671999999994</v>
      </c>
      <c r="E236" s="83">
        <f>(2.1*0.75+1.2*2.75)*10.764</f>
        <v>52.474499999999999</v>
      </c>
      <c r="F236" s="83">
        <f>D236+E236</f>
        <v>488.20121999999992</v>
      </c>
      <c r="G236" s="83">
        <v>0</v>
      </c>
      <c r="H236" s="83">
        <f>F236*(($H$184)+1)+(IF(G236&lt;101,G236,IF(G236&lt;201,G236/2,IF(G236&lt;=301,G236/3,G236/4))))</f>
        <v>732.30182999999988</v>
      </c>
      <c r="I236" s="35">
        <f>2.75*(4.35+3.1)+2.1*3+1.2*(2.25+2.1)+0.9*(2.45+1.3+2.75)+1.2*0.85</f>
        <v>38.877500000000005</v>
      </c>
      <c r="L236" s="108"/>
      <c r="M236" s="108"/>
      <c r="N236" s="35"/>
    </row>
    <row r="237" spans="1:20" s="82" customFormat="1" ht="15.75" customHeight="1" x14ac:dyDescent="0.25">
      <c r="A237" s="106">
        <f>A236+1</f>
        <v>3</v>
      </c>
      <c r="B237" s="107"/>
      <c r="C237" s="83" t="s">
        <v>377</v>
      </c>
      <c r="D237" s="83">
        <f>(45.99)*10.764</f>
        <v>495.03636</v>
      </c>
      <c r="E237" s="83">
        <f>(1.2*(2.7+2.75)+2.25*0.75+3.05*1)*10.764</f>
        <v>121.39100999999999</v>
      </c>
      <c r="F237" s="83">
        <f>D237+E237</f>
        <v>616.42737</v>
      </c>
      <c r="G237" s="83">
        <v>0</v>
      </c>
      <c r="H237" s="83">
        <f>F237*(($H$184)+1)+(IF(G237&lt;101,G237,IF(G237&lt;201,G237/2,IF(G237&lt;=301,G237/3,G237/4))))</f>
        <v>924.64105500000005</v>
      </c>
      <c r="I237" s="35"/>
      <c r="L237" s="108"/>
      <c r="M237" s="108"/>
      <c r="N237" s="35"/>
    </row>
    <row r="238" spans="1:20" s="82" customFormat="1" ht="15.75" customHeight="1" x14ac:dyDescent="0.25">
      <c r="A238" s="106">
        <f>A237+1</f>
        <v>4</v>
      </c>
      <c r="B238" s="107"/>
      <c r="C238" s="83" t="s">
        <v>377</v>
      </c>
      <c r="D238" s="83">
        <f>(46.11)*10.764</f>
        <v>496.32803999999999</v>
      </c>
      <c r="E238" s="83">
        <f>(1.2*(2.7+2.25+2.7)+3.05*1)*10.764</f>
        <v>131.64372</v>
      </c>
      <c r="F238" s="83">
        <f>D238+E238</f>
        <v>627.97176000000002</v>
      </c>
      <c r="G238" s="83">
        <v>0</v>
      </c>
      <c r="H238" s="83">
        <f>F238*(($H$184)+1)+(IF(G238&lt;101,G238,IF(G238&lt;201,G238/2,IF(G238&lt;=301,G238/3,G238/4))))</f>
        <v>941.95764000000008</v>
      </c>
      <c r="I238" s="35"/>
      <c r="L238" s="108"/>
      <c r="M238" s="108"/>
      <c r="N238" s="35"/>
      <c r="T238" s="20"/>
    </row>
    <row r="239" spans="1:20" s="36" customFormat="1" hidden="1" x14ac:dyDescent="0.25">
      <c r="A239" s="244" t="s">
        <v>117</v>
      </c>
      <c r="B239" s="244"/>
      <c r="C239" s="244"/>
      <c r="D239" s="244"/>
      <c r="E239" s="244"/>
      <c r="F239" s="244"/>
      <c r="G239" s="244"/>
      <c r="H239" s="244"/>
      <c r="I239" s="35"/>
      <c r="L239" s="108"/>
      <c r="M239" s="108"/>
    </row>
    <row r="240" spans="1:20" s="36" customFormat="1" hidden="1" x14ac:dyDescent="0.25">
      <c r="A240" s="159">
        <f>LEFT(A239,SUM(LEN(A239)-LEN(SUBSTITUTE(A239,{"0","1","2","3","4","5","6","7","8","9"},""))))*100+1</f>
        <v>201</v>
      </c>
      <c r="B240" s="159"/>
      <c r="C240" s="41"/>
      <c r="D240" s="41"/>
      <c r="E240" s="52">
        <v>0</v>
      </c>
      <c r="F240" s="52">
        <f>D240+E240</f>
        <v>0</v>
      </c>
      <c r="G240" s="52">
        <v>0</v>
      </c>
      <c r="H240" s="52">
        <f>F240*(($H$184)+1)+(IF(G240&lt;101,G240,IF(G240&lt;201,G240/2,IF(G240&lt;=301,G240/3,G240/4))))</f>
        <v>0</v>
      </c>
      <c r="I240" s="35"/>
      <c r="N240" s="35"/>
    </row>
    <row r="241" spans="1:14" s="36" customFormat="1" hidden="1" x14ac:dyDescent="0.25">
      <c r="A241" s="159">
        <f>A240+1</f>
        <v>202</v>
      </c>
      <c r="B241" s="159"/>
      <c r="C241" s="41"/>
      <c r="D241" s="41"/>
      <c r="E241" s="52">
        <v>0</v>
      </c>
      <c r="F241" s="52">
        <f>D241+E241</f>
        <v>0</v>
      </c>
      <c r="G241" s="52">
        <v>0</v>
      </c>
      <c r="H241" s="52">
        <f>F241*(($H$184)+1)+(IF(G241&lt;101,G241,IF(G241&lt;201,G241/2,IF(G241&lt;=301,G241/3,G241/4))))</f>
        <v>0</v>
      </c>
      <c r="I241" s="35"/>
      <c r="N241" s="35"/>
    </row>
    <row r="242" spans="1:14" s="36" customFormat="1" hidden="1" x14ac:dyDescent="0.25">
      <c r="A242" s="159">
        <f>A241+1</f>
        <v>203</v>
      </c>
      <c r="B242" s="159"/>
      <c r="C242" s="41"/>
      <c r="D242" s="41"/>
      <c r="E242" s="52">
        <v>0</v>
      </c>
      <c r="F242" s="52">
        <f>D242+E242</f>
        <v>0</v>
      </c>
      <c r="G242" s="52">
        <v>0</v>
      </c>
      <c r="H242" s="52">
        <f>F242*(($H$184)+1)+(IF(G242&lt;101,G242,IF(G242&lt;201,G242/2,IF(G242&lt;=301,G242/3,G242/4))))</f>
        <v>0</v>
      </c>
      <c r="I242" s="35"/>
      <c r="N242" s="35"/>
    </row>
    <row r="243" spans="1:14" s="36" customFormat="1" hidden="1" x14ac:dyDescent="0.25">
      <c r="A243" s="159">
        <f>A242+1</f>
        <v>204</v>
      </c>
      <c r="B243" s="159"/>
      <c r="C243" s="41"/>
      <c r="D243" s="41"/>
      <c r="E243" s="52">
        <v>0</v>
      </c>
      <c r="F243" s="52">
        <f>D243+E243</f>
        <v>0</v>
      </c>
      <c r="G243" s="52">
        <v>0</v>
      </c>
      <c r="H243" s="52">
        <f>F243*(($H$184)+1)+(IF(G243&lt;101,G243,IF(G243&lt;201,G243/2,IF(G243&lt;=301,G243/3,G243/4))))</f>
        <v>0</v>
      </c>
      <c r="I243" s="35"/>
      <c r="N243" s="35"/>
    </row>
    <row r="244" spans="1:14" s="36" customFormat="1" hidden="1" x14ac:dyDescent="0.25">
      <c r="A244" s="159">
        <f>A243+1</f>
        <v>205</v>
      </c>
      <c r="B244" s="159"/>
      <c r="C244" s="41"/>
      <c r="D244" s="41"/>
      <c r="E244" s="52">
        <v>0</v>
      </c>
      <c r="F244" s="52">
        <f>D244+E244</f>
        <v>0</v>
      </c>
      <c r="G244" s="52">
        <v>0</v>
      </c>
      <c r="H244" s="52">
        <f>F244*(($H$184)+1)+(IF(G244&lt;101,G244,IF(G244&lt;201,G244/2,IF(G244&lt;=301,G244/3,G244/4))))</f>
        <v>0</v>
      </c>
      <c r="I244" s="35"/>
      <c r="N244" s="35"/>
    </row>
    <row r="245" spans="1:14" s="36" customFormat="1" ht="15.75" hidden="1" customHeight="1" x14ac:dyDescent="0.25">
      <c r="A245" s="109" t="s">
        <v>148</v>
      </c>
      <c r="B245" s="110"/>
      <c r="C245" s="110"/>
      <c r="D245" s="110"/>
      <c r="E245" s="110"/>
      <c r="F245" s="110"/>
      <c r="G245" s="110"/>
      <c r="H245" s="111"/>
      <c r="I245" s="35"/>
    </row>
    <row r="246" spans="1:14" s="36" customFormat="1" ht="15.75" hidden="1" customHeight="1" x14ac:dyDescent="0.25">
      <c r="A246" s="106"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10^ROW(INDIRECT("1:"&amp;LEN((LEFT(A245,SUM(LEN(A245)-LEN(SUBSTITUTE(A245,{"0","1","2"},""))))))))/10))*100+1&amp;""&amp;" ,..,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",LEN(A245))),LEN(A245)))))))/10))*100+1</f>
        <v>301 ,.., 1501</v>
      </c>
      <c r="B246" s="107"/>
      <c r="C246" s="41"/>
      <c r="D246" s="41"/>
      <c r="E246" s="52">
        <v>0</v>
      </c>
      <c r="F246" s="52">
        <f>D246+E246</f>
        <v>0</v>
      </c>
      <c r="G246" s="52">
        <v>0</v>
      </c>
      <c r="H246" s="52">
        <f>F246*(($H$184)+1)+(IF(G246&lt;101,G246,IF(G246&lt;201,G246/2,IF(G246&lt;=301,G246/3,G246/4))))</f>
        <v>0</v>
      </c>
      <c r="I246" s="35"/>
    </row>
    <row r="247" spans="1:14" s="36" customFormat="1" ht="15.75" hidden="1" customHeight="1" x14ac:dyDescent="0.25">
      <c r="A247" s="106"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302 ,.., 1502</v>
      </c>
      <c r="B247" s="107"/>
      <c r="C247" s="41"/>
      <c r="D247" s="41"/>
      <c r="E247" s="52">
        <v>0</v>
      </c>
      <c r="F247" s="52">
        <f>D247+E247</f>
        <v>0</v>
      </c>
      <c r="G247" s="52">
        <v>0</v>
      </c>
      <c r="H247" s="52">
        <f>F247*(($H$184)+1)+(IF(G247&lt;101,G247,IF(G247&lt;201,G247/2,IF(G247&lt;=301,G247/3,G247/4))))</f>
        <v>0</v>
      </c>
      <c r="I247" s="35"/>
    </row>
    <row r="248" spans="1:14" s="36" customFormat="1" ht="15.75" hidden="1" customHeight="1" x14ac:dyDescent="0.25">
      <c r="A248" s="106"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303 ,.., 1503</v>
      </c>
      <c r="B248" s="107"/>
      <c r="C248" s="41"/>
      <c r="D248" s="41"/>
      <c r="E248" s="52">
        <v>0</v>
      </c>
      <c r="F248" s="52">
        <f>D248+E248</f>
        <v>0</v>
      </c>
      <c r="G248" s="52">
        <v>0</v>
      </c>
      <c r="H248" s="52">
        <f>F248*(($H$184)+1)+(IF(G248&lt;101,G248,IF(G248&lt;201,G248/2,IF(G248&lt;=301,G248/3,G248/4))))</f>
        <v>0</v>
      </c>
      <c r="I248" s="35"/>
    </row>
    <row r="249" spans="1:14" s="36" customFormat="1" ht="15.75" hidden="1" customHeight="1" x14ac:dyDescent="0.25">
      <c r="A249" s="106"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304 ,.., 1504</v>
      </c>
      <c r="B249" s="107"/>
      <c r="C249" s="41"/>
      <c r="D249" s="41"/>
      <c r="E249" s="52">
        <v>0</v>
      </c>
      <c r="F249" s="52">
        <f>D249+E249</f>
        <v>0</v>
      </c>
      <c r="G249" s="52">
        <v>0</v>
      </c>
      <c r="H249" s="52">
        <f>F249*(($H$184)+1)+(IF(G249&lt;101,G249,IF(G249&lt;201,G249/2,IF(G249&lt;=301,G249/3,G249/4))))</f>
        <v>0</v>
      </c>
      <c r="I249" s="35"/>
    </row>
    <row r="250" spans="1:14" s="36" customFormat="1" ht="15.75" hidden="1" customHeight="1" x14ac:dyDescent="0.25">
      <c r="A250" s="106"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305 ,.., 1505</v>
      </c>
      <c r="B250" s="107"/>
      <c r="C250" s="41"/>
      <c r="D250" s="41"/>
      <c r="E250" s="52">
        <v>0</v>
      </c>
      <c r="F250" s="52">
        <f>D250+E250</f>
        <v>0</v>
      </c>
      <c r="G250" s="52">
        <v>0</v>
      </c>
      <c r="H250" s="52">
        <f>F250*(($H$184)+1)+(IF(G250&lt;101,G250,IF(G250&lt;201,G250/2,IF(G250&lt;=301,G250/3,G250/4))))</f>
        <v>0</v>
      </c>
      <c r="I250" s="35"/>
    </row>
    <row r="251" spans="1:14" s="36" customFormat="1" hidden="1" x14ac:dyDescent="0.25">
      <c r="A251" s="109" t="s">
        <v>142</v>
      </c>
      <c r="B251" s="110"/>
      <c r="C251" s="110"/>
      <c r="D251" s="110"/>
      <c r="E251" s="110"/>
      <c r="F251" s="110"/>
      <c r="G251" s="110"/>
      <c r="H251" s="111"/>
      <c r="I251" s="35"/>
    </row>
    <row r="252" spans="1:14" s="36" customFormat="1" ht="15.75" hidden="1" customHeight="1" x14ac:dyDescent="0.25">
      <c r="A252" s="106"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10^ROW(INDIRECT("1:"&amp;LEN((LEFT(A251,SUM(LEN(A251)-LEN(SUBSTITUTE(A251,{"0","1","2"},""))))))))/10))*100+1&amp;""&amp;" to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",LEN(A251))),LEN(A251)))))))/10))*100+1</f>
        <v>201 to 501</v>
      </c>
      <c r="B252" s="107"/>
      <c r="C252" s="41"/>
      <c r="D252" s="41"/>
      <c r="E252" s="52">
        <v>0</v>
      </c>
      <c r="F252" s="52">
        <f>D252+E252</f>
        <v>0</v>
      </c>
      <c r="G252" s="52">
        <v>0</v>
      </c>
      <c r="H252" s="52">
        <f>F252*(($H$184)+1)+(IF(G252&lt;101,G252,IF(G252&lt;201,G252/2,IF(G252&lt;=301,G252/3,G252/4))))</f>
        <v>0</v>
      </c>
      <c r="I252" s="35"/>
    </row>
    <row r="253" spans="1:14" s="36" customFormat="1" ht="15.75" hidden="1" customHeight="1" x14ac:dyDescent="0.25">
      <c r="A253" s="106"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to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202 to 502</v>
      </c>
      <c r="B253" s="107"/>
      <c r="C253" s="41"/>
      <c r="D253" s="41"/>
      <c r="E253" s="52">
        <v>0</v>
      </c>
      <c r="F253" s="52">
        <f>D253+E253</f>
        <v>0</v>
      </c>
      <c r="G253" s="52">
        <v>0</v>
      </c>
      <c r="H253" s="52">
        <f>F253*(($H$184)+1)+(IF(G253&lt;101,G253,IF(G253&lt;201,G253/2,IF(G253&lt;=301,G253/3,G253/4))))</f>
        <v>0</v>
      </c>
      <c r="I253" s="35"/>
    </row>
    <row r="254" spans="1:14" s="36" customFormat="1" ht="15.75" hidden="1" customHeight="1" x14ac:dyDescent="0.25">
      <c r="A254" s="106"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to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203 to 503</v>
      </c>
      <c r="B254" s="107"/>
      <c r="C254" s="41"/>
      <c r="D254" s="41"/>
      <c r="E254" s="52">
        <v>0</v>
      </c>
      <c r="F254" s="52">
        <f>D254+E254</f>
        <v>0</v>
      </c>
      <c r="G254" s="52">
        <v>0</v>
      </c>
      <c r="H254" s="52">
        <f>F254*(($H$184)+1)+(IF(G254&lt;101,G254,IF(G254&lt;201,G254/2,IF(G254&lt;=301,G254/3,G254/4))))</f>
        <v>0</v>
      </c>
      <c r="I254" s="35"/>
    </row>
    <row r="255" spans="1:14" s="36" customFormat="1" ht="15.75" hidden="1" customHeight="1" x14ac:dyDescent="0.25">
      <c r="A255" s="106"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to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204 to 504</v>
      </c>
      <c r="B255" s="107"/>
      <c r="C255" s="41"/>
      <c r="D255" s="41"/>
      <c r="E255" s="52">
        <v>0</v>
      </c>
      <c r="F255" s="52">
        <f>D255+E255</f>
        <v>0</v>
      </c>
      <c r="G255" s="52">
        <v>0</v>
      </c>
      <c r="H255" s="52">
        <f>F255*(($H$184)+1)+(IF(G255&lt;101,G255,IF(G255&lt;201,G255/2,IF(G255&lt;=301,G255/3,G255/4))))</f>
        <v>0</v>
      </c>
      <c r="I255" s="35"/>
    </row>
    <row r="256" spans="1:14" s="36" customFormat="1" ht="15.75" hidden="1" customHeight="1" x14ac:dyDescent="0.25">
      <c r="A256" s="106"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to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205 to 505</v>
      </c>
      <c r="B256" s="107"/>
      <c r="C256" s="41"/>
      <c r="D256" s="41"/>
      <c r="E256" s="52">
        <v>0</v>
      </c>
      <c r="F256" s="52">
        <f>D256+E256</f>
        <v>0</v>
      </c>
      <c r="G256" s="52">
        <v>0</v>
      </c>
      <c r="H256" s="52">
        <f>F256*(($H$184)+1)+(IF(G256&lt;101,G256,IF(G256&lt;201,G256/2,IF(G256&lt;=301,G256/3,G256/4))))</f>
        <v>0</v>
      </c>
      <c r="I256" s="35"/>
    </row>
    <row r="257" spans="1:20" s="36" customFormat="1" hidden="1" x14ac:dyDescent="0.25">
      <c r="A257" s="109" t="s">
        <v>143</v>
      </c>
      <c r="B257" s="110"/>
      <c r="C257" s="110"/>
      <c r="D257" s="110"/>
      <c r="E257" s="110"/>
      <c r="F257" s="110"/>
      <c r="G257" s="110"/>
      <c r="H257" s="111"/>
      <c r="I257" s="35"/>
    </row>
    <row r="258" spans="1:20" s="36" customFormat="1" ht="15.75" hidden="1" customHeight="1" x14ac:dyDescent="0.25">
      <c r="A258" s="106"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10^ROW(INDIRECT("1:"&amp;LEN((LEFT(A257,SUM(LEN(A257)-LEN(SUBSTITUTE(A257,{"0","1","2"},""))))))))/10))*100+1&amp;""&amp;" &amp;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",LEN(A257))),LEN(A257)))))))/10))*100+1</f>
        <v>201 &amp; 501</v>
      </c>
      <c r="B258" s="107"/>
      <c r="C258" s="41"/>
      <c r="D258" s="41"/>
      <c r="E258" s="52">
        <v>0</v>
      </c>
      <c r="F258" s="52">
        <f>D258+E258</f>
        <v>0</v>
      </c>
      <c r="G258" s="52">
        <v>0</v>
      </c>
      <c r="H258" s="52">
        <f>F258*(($H$184)+1)+(IF(G258&lt;101,G258,IF(G258&lt;201,G258/2,IF(G258&lt;=301,G258/3,G258/4))))</f>
        <v>0</v>
      </c>
      <c r="I258" s="35"/>
    </row>
    <row r="259" spans="1:20" s="36" customFormat="1" ht="15.75" hidden="1" customHeight="1" x14ac:dyDescent="0.25">
      <c r="A259" s="106"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10^ROW(INDIRECT("1:"&amp;LEN((LEFT(A258,SUM(LEN(A258)-LEN(SUBSTITUTE(A258,{"0","1","2"},""))))))))/10))*1+1&amp;""&amp;" &amp;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",LEN(A258))),LEN(A258)))))))/10))*1+1</f>
        <v>202 &amp; 502</v>
      </c>
      <c r="B259" s="107"/>
      <c r="C259" s="41"/>
      <c r="D259" s="41"/>
      <c r="E259" s="52">
        <v>0</v>
      </c>
      <c r="F259" s="52">
        <f>D259+E259</f>
        <v>0</v>
      </c>
      <c r="G259" s="52">
        <v>0</v>
      </c>
      <c r="H259" s="52">
        <f>F259*(($H$184)+1)+(IF(G259&lt;101,G259,IF(G259&lt;201,G259/2,IF(G259&lt;=301,G259/3,G259/4))))</f>
        <v>0</v>
      </c>
      <c r="I259" s="35"/>
    </row>
    <row r="260" spans="1:20" s="36" customFormat="1" ht="15.75" hidden="1" customHeight="1" x14ac:dyDescent="0.25">
      <c r="A260" s="106"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10^ROW(INDIRECT("1:"&amp;LEN((LEFT(A259,SUM(LEN(A259)-LEN(SUBSTITUTE(A259,{"0","1","2"},""))))))))/10))*1+1&amp;""&amp;" &amp;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",LEN(A259))),LEN(A259)))))))/10))*1+1</f>
        <v>203 &amp; 503</v>
      </c>
      <c r="B260" s="107"/>
      <c r="C260" s="41"/>
      <c r="D260" s="41"/>
      <c r="E260" s="52">
        <v>0</v>
      </c>
      <c r="F260" s="52">
        <f>D260+E260</f>
        <v>0</v>
      </c>
      <c r="G260" s="52">
        <v>0</v>
      </c>
      <c r="H260" s="52">
        <f>F260*(($H$184)+1)+(IF(G260&lt;101,G260,IF(G260&lt;201,G260/2,IF(G260&lt;=301,G260/3,G260/4))))</f>
        <v>0</v>
      </c>
      <c r="I260" s="35"/>
    </row>
    <row r="261" spans="1:20" s="36" customFormat="1" ht="15.75" hidden="1" customHeight="1" x14ac:dyDescent="0.25">
      <c r="A261" s="106"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10^ROW(INDIRECT("1:"&amp;LEN((LEFT(A260,SUM(LEN(A260)-LEN(SUBSTITUTE(A260,{"0","1","2"},""))))))))/10))*1+1&amp;""&amp;" &amp;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",LEN(A260))),LEN(A260)))))))/10))*1+1</f>
        <v>204 &amp; 504</v>
      </c>
      <c r="B261" s="107"/>
      <c r="C261" s="41"/>
      <c r="D261" s="41"/>
      <c r="E261" s="52">
        <v>0</v>
      </c>
      <c r="F261" s="52">
        <f>D261+E261</f>
        <v>0</v>
      </c>
      <c r="G261" s="52">
        <v>0</v>
      </c>
      <c r="H261" s="52">
        <f>F261*(($H$184)+1)+(IF(G261&lt;101,G261,IF(G261&lt;201,G261/2,IF(G261&lt;=301,G261/3,G261/4))))</f>
        <v>0</v>
      </c>
      <c r="I261" s="35"/>
    </row>
    <row r="262" spans="1:20" s="36" customFormat="1" ht="15.75" hidden="1" customHeight="1" x14ac:dyDescent="0.25">
      <c r="A262" s="106"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&amp;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205 &amp; 505</v>
      </c>
      <c r="B262" s="107"/>
      <c r="C262" s="41"/>
      <c r="D262" s="41"/>
      <c r="E262" s="52">
        <v>0</v>
      </c>
      <c r="F262" s="52">
        <f>D262+E262</f>
        <v>0</v>
      </c>
      <c r="G262" s="52">
        <v>0</v>
      </c>
      <c r="H262" s="52">
        <f>F262*(($H$184)+1)+(IF(G262&lt;101,G262,IF(G262&lt;201,G262/2,IF(G262&lt;=301,G262/3,G262/4))))</f>
        <v>0</v>
      </c>
      <c r="I262" s="35"/>
    </row>
    <row r="263" spans="1:20" s="34" customFormat="1" x14ac:dyDescent="0.25">
      <c r="A263" s="291" t="s">
        <v>65</v>
      </c>
      <c r="B263" s="291"/>
      <c r="C263" s="291"/>
      <c r="D263" s="291"/>
      <c r="E263" s="291"/>
      <c r="F263" s="291"/>
      <c r="G263" s="291"/>
      <c r="H263" s="291"/>
      <c r="I263" s="34">
        <f>12*4</f>
        <v>48</v>
      </c>
      <c r="T263" s="36"/>
    </row>
    <row r="264" spans="1:20" s="34" customFormat="1" x14ac:dyDescent="0.25">
      <c r="A264" s="43" t="s">
        <v>152</v>
      </c>
      <c r="B264" s="253" t="s">
        <v>414</v>
      </c>
      <c r="C264" s="254"/>
      <c r="D264" s="254"/>
      <c r="E264" s="254"/>
      <c r="F264" s="254"/>
      <c r="G264" s="254"/>
      <c r="H264" s="255"/>
      <c r="T264" s="36"/>
    </row>
    <row r="265" spans="1:20" s="34" customFormat="1" x14ac:dyDescent="0.25">
      <c r="A265" s="43" t="s">
        <v>152</v>
      </c>
      <c r="B265" s="156" t="str">
        <f>(IF(H183="Saleable area Loading :","We have considered Saleable area of Flats as per our Calculation.","We considered Saleable area of Flat as per Builder area Sheet."))</f>
        <v>We have considered Saleable area of Flats as per our Calculation.</v>
      </c>
      <c r="C265" s="157"/>
      <c r="D265" s="157"/>
      <c r="E265" s="157"/>
      <c r="F265" s="157"/>
      <c r="G265" s="157"/>
      <c r="H265" s="158"/>
      <c r="T265" s="36"/>
    </row>
    <row r="266" spans="1:20" s="34" customFormat="1" x14ac:dyDescent="0.25">
      <c r="A266" s="43" t="s">
        <v>152</v>
      </c>
      <c r="B266" s="156" t="str">
        <f>(IF(H160="Saleable area Loading :","We have considered Saleable area of Commercial as per our Calculation.","We considered Saleable area of Commercial as per Builder area Sheet."))</f>
        <v>We have considered Saleable area of Commercial as per our Calculation.</v>
      </c>
      <c r="C266" s="157"/>
      <c r="D266" s="157"/>
      <c r="E266" s="157"/>
      <c r="F266" s="157"/>
      <c r="G266" s="157"/>
      <c r="H266" s="158"/>
      <c r="T266" s="36"/>
    </row>
    <row r="267" spans="1:20" s="34" customFormat="1" x14ac:dyDescent="0.25">
      <c r="A267" s="43" t="s">
        <v>152</v>
      </c>
      <c r="B267" s="246" t="s">
        <v>119</v>
      </c>
      <c r="C267" s="247"/>
      <c r="D267" s="247"/>
      <c r="E267" s="247"/>
      <c r="F267" s="247"/>
      <c r="G267" s="247"/>
      <c r="H267" s="248"/>
      <c r="T267" s="36"/>
    </row>
    <row r="268" spans="1:20" s="34" customFormat="1" x14ac:dyDescent="0.25">
      <c r="A268" s="43" t="s">
        <v>152</v>
      </c>
      <c r="B268" s="246" t="s">
        <v>389</v>
      </c>
      <c r="C268" s="247"/>
      <c r="D268" s="247"/>
      <c r="E268" s="247"/>
      <c r="F268" s="247"/>
      <c r="G268" s="247"/>
      <c r="H268" s="248"/>
      <c r="T268" s="36"/>
    </row>
    <row r="269" spans="1:20" s="34" customFormat="1" x14ac:dyDescent="0.25">
      <c r="A269" s="43" t="s">
        <v>152</v>
      </c>
      <c r="B269" s="246" t="s">
        <v>151</v>
      </c>
      <c r="C269" s="247"/>
      <c r="D269" s="247"/>
      <c r="E269" s="247"/>
      <c r="F269" s="247"/>
      <c r="G269" s="247"/>
      <c r="H269" s="248"/>
    </row>
    <row r="270" spans="1:20" s="34" customFormat="1" x14ac:dyDescent="0.25">
      <c r="A270" s="43" t="s">
        <v>152</v>
      </c>
      <c r="B270" s="246" t="s">
        <v>120</v>
      </c>
      <c r="C270" s="247"/>
      <c r="D270" s="247"/>
      <c r="E270" s="247"/>
      <c r="F270" s="247"/>
      <c r="G270" s="247"/>
      <c r="H270" s="248"/>
    </row>
    <row r="271" spans="1:20" s="34" customFormat="1" ht="34.5" hidden="1" customHeight="1" x14ac:dyDescent="0.25">
      <c r="A271" s="43" t="s">
        <v>152</v>
      </c>
      <c r="B271" s="246" t="s">
        <v>153</v>
      </c>
      <c r="C271" s="247"/>
      <c r="D271" s="247"/>
      <c r="E271" s="247"/>
      <c r="F271" s="247"/>
      <c r="G271" s="247"/>
      <c r="H271" s="248"/>
    </row>
    <row r="272" spans="1:20" s="34" customFormat="1" x14ac:dyDescent="0.25">
      <c r="A272" s="43" t="s">
        <v>152</v>
      </c>
      <c r="B272" s="246" t="s">
        <v>121</v>
      </c>
      <c r="C272" s="247"/>
      <c r="D272" s="247"/>
      <c r="E272" s="247"/>
      <c r="F272" s="247"/>
      <c r="G272" s="247"/>
      <c r="H272" s="248"/>
    </row>
    <row r="273" spans="1:20" s="34" customFormat="1" ht="32.25" customHeight="1" x14ac:dyDescent="0.25">
      <c r="A273" s="92" t="s">
        <v>152</v>
      </c>
      <c r="B273" s="253" t="s">
        <v>178</v>
      </c>
      <c r="C273" s="254"/>
      <c r="D273" s="254"/>
      <c r="E273" s="254"/>
      <c r="F273" s="254"/>
      <c r="G273" s="254"/>
      <c r="H273" s="255"/>
    </row>
    <row r="274" spans="1:20" s="34" customFormat="1" x14ac:dyDescent="0.25">
      <c r="A274" s="49" t="s">
        <v>152</v>
      </c>
      <c r="B274" s="253" t="s">
        <v>408</v>
      </c>
      <c r="C274" s="254"/>
      <c r="D274" s="254"/>
      <c r="E274" s="254"/>
      <c r="F274" s="254"/>
      <c r="G274" s="254"/>
      <c r="H274" s="255"/>
    </row>
    <row r="275" spans="1:20" s="34" customFormat="1" hidden="1" x14ac:dyDescent="0.25">
      <c r="A275" s="53" t="s">
        <v>152</v>
      </c>
      <c r="B275" s="140" t="s">
        <v>233</v>
      </c>
      <c r="C275" s="141"/>
      <c r="D275" s="141"/>
      <c r="E275" s="141"/>
      <c r="F275" s="141"/>
      <c r="G275" s="141"/>
      <c r="H275" s="142"/>
    </row>
    <row r="276" spans="1:20" x14ac:dyDescent="0.25">
      <c r="A276" s="245" t="s">
        <v>58</v>
      </c>
      <c r="B276" s="245"/>
      <c r="C276" s="245"/>
      <c r="D276" s="245"/>
      <c r="E276" s="245"/>
      <c r="F276" s="245"/>
      <c r="G276" s="245"/>
      <c r="H276" s="245"/>
      <c r="T276" s="34"/>
    </row>
    <row r="277" spans="1:20" x14ac:dyDescent="0.25">
      <c r="A277" s="143" t="s">
        <v>59</v>
      </c>
      <c r="B277" s="143"/>
      <c r="C277" s="143"/>
      <c r="D277" s="143"/>
      <c r="E277" s="143"/>
      <c r="F277" s="143"/>
      <c r="G277" s="143"/>
      <c r="H277" s="143"/>
      <c r="T277" s="34"/>
    </row>
    <row r="278" spans="1:20" ht="15.75" customHeight="1" x14ac:dyDescent="0.25">
      <c r="A278" s="258" t="s">
        <v>60</v>
      </c>
      <c r="B278" s="258"/>
      <c r="C278" s="258"/>
      <c r="D278" s="258"/>
      <c r="E278" s="258"/>
      <c r="F278" s="258"/>
      <c r="G278" s="258"/>
      <c r="H278" s="258"/>
      <c r="T278" s="34"/>
    </row>
    <row r="279" spans="1:20" x14ac:dyDescent="0.25">
      <c r="A279" s="143" t="s">
        <v>61</v>
      </c>
      <c r="B279" s="143"/>
      <c r="C279" s="143"/>
      <c r="D279" s="143"/>
      <c r="E279" s="143"/>
      <c r="F279" s="143"/>
      <c r="G279" s="143"/>
      <c r="H279" s="143"/>
      <c r="T279" s="34"/>
    </row>
    <row r="280" spans="1:20" x14ac:dyDescent="0.25">
      <c r="A280" s="143" t="s">
        <v>62</v>
      </c>
      <c r="B280" s="143"/>
      <c r="C280" s="143"/>
      <c r="D280" s="143"/>
      <c r="E280" s="143"/>
      <c r="F280" s="143"/>
      <c r="G280" s="143"/>
      <c r="H280" s="143"/>
      <c r="T280" s="34"/>
    </row>
    <row r="281" spans="1:20" x14ac:dyDescent="0.25">
      <c r="A281" s="143" t="s">
        <v>122</v>
      </c>
      <c r="B281" s="143"/>
      <c r="C281" s="143"/>
      <c r="D281" s="143"/>
      <c r="E281" s="143"/>
      <c r="F281" s="143"/>
      <c r="G281" s="143"/>
      <c r="H281" s="143"/>
      <c r="T281" s="34"/>
    </row>
    <row r="282" spans="1:20" ht="33.950000000000003" customHeight="1" x14ac:dyDescent="0.25">
      <c r="A282" s="235" t="s">
        <v>123</v>
      </c>
      <c r="B282" s="235"/>
      <c r="C282" s="235"/>
      <c r="D282" s="235"/>
      <c r="E282" s="235"/>
      <c r="F282" s="235"/>
      <c r="G282" s="235"/>
      <c r="H282" s="235"/>
    </row>
    <row r="283" spans="1:20" x14ac:dyDescent="0.25">
      <c r="A283" s="241" t="s">
        <v>74</v>
      </c>
      <c r="B283" s="241"/>
      <c r="C283" s="241" t="s">
        <v>394</v>
      </c>
      <c r="D283" s="241"/>
      <c r="E283" s="241" t="s">
        <v>104</v>
      </c>
      <c r="F283" s="241"/>
      <c r="G283" s="242" t="s">
        <v>413</v>
      </c>
      <c r="H283" s="242"/>
    </row>
    <row r="284" spans="1:20" x14ac:dyDescent="0.25">
      <c r="A284" s="240" t="s">
        <v>76</v>
      </c>
      <c r="B284" s="240"/>
      <c r="C284" s="240"/>
      <c r="D284" s="240"/>
      <c r="E284" s="240"/>
      <c r="F284" s="240"/>
      <c r="G284" s="240"/>
      <c r="H284" s="240"/>
    </row>
    <row r="285" spans="1:20" x14ac:dyDescent="0.25">
      <c r="A285" s="240"/>
      <c r="B285" s="240"/>
      <c r="C285" s="240"/>
      <c r="D285" s="240"/>
      <c r="E285" s="240"/>
      <c r="F285" s="240"/>
      <c r="G285" s="240"/>
      <c r="H285" s="240"/>
    </row>
    <row r="286" spans="1:20" x14ac:dyDescent="0.25">
      <c r="A286" s="240"/>
      <c r="B286" s="240"/>
      <c r="C286" s="240"/>
      <c r="D286" s="240"/>
      <c r="E286" s="240"/>
      <c r="F286" s="240"/>
      <c r="G286" s="240"/>
      <c r="H286" s="240"/>
    </row>
    <row r="287" spans="1:20" x14ac:dyDescent="0.25">
      <c r="A287" s="240"/>
      <c r="B287" s="240"/>
      <c r="C287" s="240"/>
      <c r="D287" s="240"/>
      <c r="E287" s="240"/>
      <c r="F287" s="240"/>
      <c r="G287" s="240"/>
      <c r="H287" s="240"/>
    </row>
    <row r="288" spans="1:20" x14ac:dyDescent="0.25">
      <c r="A288" s="37" t="s">
        <v>63</v>
      </c>
      <c r="B288" s="38"/>
      <c r="C288" s="38"/>
      <c r="D288" s="37" t="str">
        <f>E9</f>
        <v>Trident Avalon</v>
      </c>
      <c r="F288" s="38"/>
      <c r="G288" s="38"/>
      <c r="H288" s="38"/>
    </row>
    <row r="289" spans="1:8" x14ac:dyDescent="0.25">
      <c r="A289" s="38"/>
      <c r="B289" s="38"/>
      <c r="C289" s="38"/>
      <c r="D289" s="38"/>
      <c r="E289" s="38"/>
      <c r="F289" s="38"/>
      <c r="G289" s="38"/>
      <c r="H289" s="38"/>
    </row>
    <row r="290" spans="1:8" x14ac:dyDescent="0.25">
      <c r="A290" s="38"/>
      <c r="B290" s="38"/>
      <c r="C290" s="38"/>
      <c r="D290" s="38"/>
      <c r="E290" s="38"/>
      <c r="F290" s="38"/>
      <c r="G290" s="38"/>
      <c r="H290" s="38"/>
    </row>
    <row r="291" spans="1:8" ht="15" customHeight="1" x14ac:dyDescent="0.25"/>
    <row r="331" spans="1:1" x14ac:dyDescent="0.25">
      <c r="A331" s="40" t="s">
        <v>163</v>
      </c>
    </row>
    <row r="374" spans="1:1" x14ac:dyDescent="0.25">
      <c r="A374" s="40" t="s">
        <v>64</v>
      </c>
    </row>
  </sheetData>
  <mergeCells count="498">
    <mergeCell ref="B267:H267"/>
    <mergeCell ref="B271:H271"/>
    <mergeCell ref="L239:M239"/>
    <mergeCell ref="A244:B244"/>
    <mergeCell ref="A241:B241"/>
    <mergeCell ref="L200:M200"/>
    <mergeCell ref="A194:B194"/>
    <mergeCell ref="L194:M194"/>
    <mergeCell ref="A195:B195"/>
    <mergeCell ref="L195:M195"/>
    <mergeCell ref="B273:H273"/>
    <mergeCell ref="A204:B204"/>
    <mergeCell ref="L204:M204"/>
    <mergeCell ref="A205:B205"/>
    <mergeCell ref="L205:M205"/>
    <mergeCell ref="A206:B206"/>
    <mergeCell ref="L206:M206"/>
    <mergeCell ref="A207:B207"/>
    <mergeCell ref="L207:M207"/>
    <mergeCell ref="A263:H263"/>
    <mergeCell ref="A255:B255"/>
    <mergeCell ref="A256:B256"/>
    <mergeCell ref="A251:H251"/>
    <mergeCell ref="A245:H245"/>
    <mergeCell ref="A260:B260"/>
    <mergeCell ref="A257:H257"/>
    <mergeCell ref="A261:B261"/>
    <mergeCell ref="B264:H264"/>
    <mergeCell ref="B265:H265"/>
    <mergeCell ref="A180:B180"/>
    <mergeCell ref="L180:M180"/>
    <mergeCell ref="A181:B181"/>
    <mergeCell ref="L181:M181"/>
    <mergeCell ref="A196:H196"/>
    <mergeCell ref="A197:B197"/>
    <mergeCell ref="L197:M197"/>
    <mergeCell ref="A198:B198"/>
    <mergeCell ref="L198:M198"/>
    <mergeCell ref="B183:B184"/>
    <mergeCell ref="A186:H186"/>
    <mergeCell ref="A187:H187"/>
    <mergeCell ref="A188:H188"/>
    <mergeCell ref="L193:M193"/>
    <mergeCell ref="L190:M190"/>
    <mergeCell ref="L191:M191"/>
    <mergeCell ref="L192:M192"/>
    <mergeCell ref="A175:B175"/>
    <mergeCell ref="L175:M175"/>
    <mergeCell ref="A176:B176"/>
    <mergeCell ref="L176:M176"/>
    <mergeCell ref="A177:B177"/>
    <mergeCell ref="L177:M177"/>
    <mergeCell ref="A178:B178"/>
    <mergeCell ref="L178:M178"/>
    <mergeCell ref="A179:B179"/>
    <mergeCell ref="L179:M179"/>
    <mergeCell ref="L169:M169"/>
    <mergeCell ref="A170:B170"/>
    <mergeCell ref="L170:M170"/>
    <mergeCell ref="A171:H171"/>
    <mergeCell ref="A172:B172"/>
    <mergeCell ref="L172:M172"/>
    <mergeCell ref="A173:B173"/>
    <mergeCell ref="L173:M173"/>
    <mergeCell ref="A174:B174"/>
    <mergeCell ref="L174:M174"/>
    <mergeCell ref="A163:H163"/>
    <mergeCell ref="A162:H162"/>
    <mergeCell ref="A169:B169"/>
    <mergeCell ref="C53:H53"/>
    <mergeCell ref="A89:B89"/>
    <mergeCell ref="C89:H89"/>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72:C72"/>
    <mergeCell ref="D73:H73"/>
    <mergeCell ref="A79:B79"/>
    <mergeCell ref="G78:H78"/>
    <mergeCell ref="A47:D47"/>
    <mergeCell ref="D69:H69"/>
    <mergeCell ref="A44:D44"/>
    <mergeCell ref="E44:H44"/>
    <mergeCell ref="D66:H66"/>
    <mergeCell ref="G52:H52"/>
    <mergeCell ref="A61:H61"/>
    <mergeCell ref="A62:C62"/>
    <mergeCell ref="A103:B104"/>
    <mergeCell ref="C103:D104"/>
    <mergeCell ref="E103:F104"/>
    <mergeCell ref="G103:H104"/>
    <mergeCell ref="C52:E52"/>
    <mergeCell ref="A77:B77"/>
    <mergeCell ref="A75:B75"/>
    <mergeCell ref="C75:H75"/>
    <mergeCell ref="A70:C70"/>
    <mergeCell ref="D70:H70"/>
    <mergeCell ref="C77:H77"/>
    <mergeCell ref="A71:C71"/>
    <mergeCell ref="D71:H71"/>
    <mergeCell ref="A74:C74"/>
    <mergeCell ref="D74:H74"/>
    <mergeCell ref="A73:C73"/>
    <mergeCell ref="A87:B87"/>
    <mergeCell ref="A88:B88"/>
    <mergeCell ref="A83:B83"/>
    <mergeCell ref="A80:B80"/>
    <mergeCell ref="A82:B82"/>
    <mergeCell ref="E78:F78"/>
    <mergeCell ref="A85:B85"/>
    <mergeCell ref="A116:B116"/>
    <mergeCell ref="A117:B117"/>
    <mergeCell ref="A136:E136"/>
    <mergeCell ref="A133:E133"/>
    <mergeCell ref="F137:H137"/>
    <mergeCell ref="G108:H108"/>
    <mergeCell ref="I15:P15"/>
    <mergeCell ref="F143:H143"/>
    <mergeCell ref="F141:H141"/>
    <mergeCell ref="A247:B247"/>
    <mergeCell ref="A159:H159"/>
    <mergeCell ref="G147:H147"/>
    <mergeCell ref="A142:E142"/>
    <mergeCell ref="A166:B166"/>
    <mergeCell ref="A60:B60"/>
    <mergeCell ref="C60:E60"/>
    <mergeCell ref="D62:H62"/>
    <mergeCell ref="F142:H142"/>
    <mergeCell ref="E147:F147"/>
    <mergeCell ref="A147:B147"/>
    <mergeCell ref="A149:B149"/>
    <mergeCell ref="C152:D152"/>
    <mergeCell ref="D72:H72"/>
    <mergeCell ref="D63:H63"/>
    <mergeCell ref="G60:H60"/>
    <mergeCell ref="A54:B55"/>
    <mergeCell ref="C54:E54"/>
    <mergeCell ref="G54:H54"/>
    <mergeCell ref="A56:B57"/>
    <mergeCell ref="C56:E56"/>
    <mergeCell ref="A281:H281"/>
    <mergeCell ref="A278:H278"/>
    <mergeCell ref="A240:B240"/>
    <mergeCell ref="A152:B152"/>
    <mergeCell ref="D183:D184"/>
    <mergeCell ref="E183:E184"/>
    <mergeCell ref="A113:B113"/>
    <mergeCell ref="A115:B115"/>
    <mergeCell ref="F134:H134"/>
    <mergeCell ref="G148:H148"/>
    <mergeCell ref="A118:B118"/>
    <mergeCell ref="F140:H140"/>
    <mergeCell ref="C147:D147"/>
    <mergeCell ref="C156:D156"/>
    <mergeCell ref="A189:H189"/>
    <mergeCell ref="A249:B249"/>
    <mergeCell ref="B268:H268"/>
    <mergeCell ref="A258:B258"/>
    <mergeCell ref="A259:B259"/>
    <mergeCell ref="A262:B262"/>
    <mergeCell ref="A277:H277"/>
    <mergeCell ref="F133:H133"/>
    <mergeCell ref="F138:H138"/>
    <mergeCell ref="A190:B190"/>
    <mergeCell ref="A168:B168"/>
    <mergeCell ref="A167:B167"/>
    <mergeCell ref="A139:E139"/>
    <mergeCell ref="F139:H139"/>
    <mergeCell ref="A141:E141"/>
    <mergeCell ref="F136:H136"/>
    <mergeCell ref="A140:E140"/>
    <mergeCell ref="A182:H182"/>
    <mergeCell ref="E152:F152"/>
    <mergeCell ref="A158:H158"/>
    <mergeCell ref="A183:A184"/>
    <mergeCell ref="F183:F184"/>
    <mergeCell ref="A246:B246"/>
    <mergeCell ref="A165:B165"/>
    <mergeCell ref="B274:H274"/>
    <mergeCell ref="A157:B157"/>
    <mergeCell ref="C157:D157"/>
    <mergeCell ref="E157:F157"/>
    <mergeCell ref="B272:H272"/>
    <mergeCell ref="B270:H270"/>
    <mergeCell ref="A284:H287"/>
    <mergeCell ref="A283:B283"/>
    <mergeCell ref="E283:F283"/>
    <mergeCell ref="C283:D283"/>
    <mergeCell ref="G283:H283"/>
    <mergeCell ref="A146:H146"/>
    <mergeCell ref="A144:E144"/>
    <mergeCell ref="F144:H144"/>
    <mergeCell ref="A145:E145"/>
    <mergeCell ref="F145:H145"/>
    <mergeCell ref="A239:H239"/>
    <mergeCell ref="A153:B153"/>
    <mergeCell ref="A248:B248"/>
    <mergeCell ref="A148:B148"/>
    <mergeCell ref="A279:H279"/>
    <mergeCell ref="A151:H151"/>
    <mergeCell ref="A282:H282"/>
    <mergeCell ref="A280:H280"/>
    <mergeCell ref="A276:H276"/>
    <mergeCell ref="G152:H152"/>
    <mergeCell ref="B269:H269"/>
    <mergeCell ref="A254:B254"/>
    <mergeCell ref="A243:B243"/>
    <mergeCell ref="A250:B25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63:C63"/>
    <mergeCell ref="A114:B114"/>
    <mergeCell ref="A38:H38"/>
    <mergeCell ref="A78:B78"/>
    <mergeCell ref="A107:B107"/>
    <mergeCell ref="E45:H45"/>
    <mergeCell ref="E46:H46"/>
    <mergeCell ref="E47:H47"/>
    <mergeCell ref="C57:H57"/>
    <mergeCell ref="C59:H59"/>
    <mergeCell ref="A48:H48"/>
    <mergeCell ref="D64:H64"/>
    <mergeCell ref="A64:C64"/>
    <mergeCell ref="A45:D45"/>
    <mergeCell ref="A49:B49"/>
    <mergeCell ref="C49:H49"/>
    <mergeCell ref="A100:B100"/>
    <mergeCell ref="A101:B101"/>
    <mergeCell ref="A102:B102"/>
    <mergeCell ref="E43:H43"/>
    <mergeCell ref="A43:D43"/>
    <mergeCell ref="A84:B84"/>
    <mergeCell ref="A50:B50"/>
    <mergeCell ref="D67:H67"/>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65:C67"/>
    <mergeCell ref="D65:H65"/>
    <mergeCell ref="L168:M168"/>
    <mergeCell ref="L167:M167"/>
    <mergeCell ref="L166:M166"/>
    <mergeCell ref="L165:M165"/>
    <mergeCell ref="A86:B86"/>
    <mergeCell ref="C153:D153"/>
    <mergeCell ref="E153:F153"/>
    <mergeCell ref="G153:H153"/>
    <mergeCell ref="A134:E134"/>
    <mergeCell ref="A105:B105"/>
    <mergeCell ref="C105:H105"/>
    <mergeCell ref="A164:H164"/>
    <mergeCell ref="E160:E161"/>
    <mergeCell ref="A109:B109"/>
    <mergeCell ref="C107:H107"/>
    <mergeCell ref="A110:B110"/>
    <mergeCell ref="A111:B111"/>
    <mergeCell ref="G109:H118"/>
    <mergeCell ref="A112:B112"/>
    <mergeCell ref="F135:H135"/>
    <mergeCell ref="A135:E135"/>
    <mergeCell ref="D160:D161"/>
    <mergeCell ref="A137:E137"/>
    <mergeCell ref="A131:B131"/>
    <mergeCell ref="A242:B242"/>
    <mergeCell ref="A252:B252"/>
    <mergeCell ref="A40:B40"/>
    <mergeCell ref="C40:H40"/>
    <mergeCell ref="F160:F161"/>
    <mergeCell ref="C148:D148"/>
    <mergeCell ref="E148:F148"/>
    <mergeCell ref="B160:B161"/>
    <mergeCell ref="A160:A161"/>
    <mergeCell ref="C183:C184"/>
    <mergeCell ref="G183:G184"/>
    <mergeCell ref="A191:B191"/>
    <mergeCell ref="G157:H157"/>
    <mergeCell ref="A192:B192"/>
    <mergeCell ref="C55:H55"/>
    <mergeCell ref="A193:B193"/>
    <mergeCell ref="G160:G161"/>
    <mergeCell ref="A108:B108"/>
    <mergeCell ref="E108:F108"/>
    <mergeCell ref="E109:F118"/>
    <mergeCell ref="A119:B119"/>
    <mergeCell ref="C119:H119"/>
    <mergeCell ref="A121:B121"/>
    <mergeCell ref="C121:H121"/>
    <mergeCell ref="A253:B253"/>
    <mergeCell ref="A81:B81"/>
    <mergeCell ref="E79:F88"/>
    <mergeCell ref="G79:H88"/>
    <mergeCell ref="B275:H275"/>
    <mergeCell ref="A138:E138"/>
    <mergeCell ref="A156:B156"/>
    <mergeCell ref="E156:F156"/>
    <mergeCell ref="A143:E143"/>
    <mergeCell ref="G156:H156"/>
    <mergeCell ref="C149:D149"/>
    <mergeCell ref="E149:F149"/>
    <mergeCell ref="G149:H149"/>
    <mergeCell ref="A150:B150"/>
    <mergeCell ref="C150:D150"/>
    <mergeCell ref="E150:F150"/>
    <mergeCell ref="G150:H150"/>
    <mergeCell ref="A154:B154"/>
    <mergeCell ref="C154:D154"/>
    <mergeCell ref="E154:F154"/>
    <mergeCell ref="G154:H154"/>
    <mergeCell ref="A132:B132"/>
    <mergeCell ref="C160:C161"/>
    <mergeCell ref="B266:H266"/>
    <mergeCell ref="A122:B122"/>
    <mergeCell ref="E122:F122"/>
    <mergeCell ref="G122:H122"/>
    <mergeCell ref="A123:B123"/>
    <mergeCell ref="E123:F132"/>
    <mergeCell ref="G123:H132"/>
    <mergeCell ref="A124:B124"/>
    <mergeCell ref="A125:B125"/>
    <mergeCell ref="A126:B126"/>
    <mergeCell ref="A127:B127"/>
    <mergeCell ref="A128:B128"/>
    <mergeCell ref="A129:B129"/>
    <mergeCell ref="A130:B130"/>
    <mergeCell ref="A212:H212"/>
    <mergeCell ref="A213:B213"/>
    <mergeCell ref="A185:H185"/>
    <mergeCell ref="L213:M213"/>
    <mergeCell ref="A214:B214"/>
    <mergeCell ref="L214:M214"/>
    <mergeCell ref="A215:B215"/>
    <mergeCell ref="L215:M215"/>
    <mergeCell ref="A216:B216"/>
    <mergeCell ref="L216:M216"/>
    <mergeCell ref="A208:B208"/>
    <mergeCell ref="L208:M208"/>
    <mergeCell ref="A209:B209"/>
    <mergeCell ref="L209:M209"/>
    <mergeCell ref="A210:H210"/>
    <mergeCell ref="A211:H211"/>
    <mergeCell ref="A203:H203"/>
    <mergeCell ref="A201:B201"/>
    <mergeCell ref="L201:M201"/>
    <mergeCell ref="A202:B202"/>
    <mergeCell ref="L202:M202"/>
    <mergeCell ref="A199:B199"/>
    <mergeCell ref="L199:M199"/>
    <mergeCell ref="A200:B200"/>
    <mergeCell ref="A217:H217"/>
    <mergeCell ref="A218:B218"/>
    <mergeCell ref="L218:M218"/>
    <mergeCell ref="A219:B219"/>
    <mergeCell ref="L219:M219"/>
    <mergeCell ref="A220:B220"/>
    <mergeCell ref="L220:M220"/>
    <mergeCell ref="A221:B221"/>
    <mergeCell ref="L221:M221"/>
    <mergeCell ref="A222:H222"/>
    <mergeCell ref="A223:B223"/>
    <mergeCell ref="L223:M223"/>
    <mergeCell ref="A224:B224"/>
    <mergeCell ref="L224:M224"/>
    <mergeCell ref="A225:B225"/>
    <mergeCell ref="L225:M225"/>
    <mergeCell ref="A226:B226"/>
    <mergeCell ref="L226:M226"/>
    <mergeCell ref="A236:B236"/>
    <mergeCell ref="L236:M236"/>
    <mergeCell ref="A237:B237"/>
    <mergeCell ref="L237:M237"/>
    <mergeCell ref="A238:B238"/>
    <mergeCell ref="L238:M238"/>
    <mergeCell ref="A227:H227"/>
    <mergeCell ref="A228:H228"/>
    <mergeCell ref="A155:B155"/>
    <mergeCell ref="C155:D155"/>
    <mergeCell ref="E155:F155"/>
    <mergeCell ref="G155:H155"/>
    <mergeCell ref="A234:H234"/>
    <mergeCell ref="A235:B235"/>
    <mergeCell ref="L235:M235"/>
    <mergeCell ref="A229:H229"/>
    <mergeCell ref="A230:B230"/>
    <mergeCell ref="L230:M230"/>
    <mergeCell ref="A231:B231"/>
    <mergeCell ref="L231:M231"/>
    <mergeCell ref="A232:B232"/>
    <mergeCell ref="L232:M232"/>
    <mergeCell ref="A233:B233"/>
    <mergeCell ref="L233:M23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60:E161">
      <formula1>"Attached Loft area,Attached Otla area,Attached Mezzanine area"</formula1>
    </dataValidation>
    <dataValidation type="list" allowBlank="1" showInputMessage="1" showErrorMessage="1" sqref="G283:H283">
      <formula1>"Kunal Kadam,Pranita Mhatre,Shruti Fule,Pooja Kawale,Gaurav Panchal,Shruti Tathare, Hitakshi Mhatre, Sachin Sawant"</formula1>
    </dataValidation>
    <dataValidation type="list" allowBlank="1" showInputMessage="1" showErrorMessage="1" sqref="F133:H133">
      <formula1>"On Saleable Area,On Builtup Area,On Carpet Area,On Plot Area"</formula1>
    </dataValidation>
    <dataValidation type="list" allowBlank="1" showInputMessage="1" showErrorMessage="1" sqref="F144:H144">
      <formula1>OFFSET($S$133,1,MATCH($G20,$S$133:$W$133,0)-1,15,1)</formula1>
    </dataValidation>
    <dataValidation type="list" allowBlank="1" showInputMessage="1" showErrorMessage="1" sqref="B160:B161">
      <formula1>"Shop No. (Sale Plan),Sale / Rehab,Sale / Mhada"</formula1>
    </dataValidation>
    <dataValidation type="list" allowBlank="1" showInputMessage="1" showErrorMessage="1" sqref="B183:B18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83:E184">
      <formula1>"Fungible area,AP Area+Encl.Balcony Area,Chajja Area,Cornice Area,AP Area,WS Area"</formula1>
    </dataValidation>
    <dataValidation type="list" allowBlank="1" showInputMessage="1" showErrorMessage="1" sqref="H161 H18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C114 C98">
      <formula1>0</formula1>
      <formula2>H76</formula2>
    </dataValidation>
    <dataValidation type="list" allowBlank="1" showInputMessage="1" showErrorMessage="1" sqref="H160 H183">
      <formula1>"Saleable area Loading :,Builder Saleable Area"</formula1>
    </dataValidation>
    <dataValidation type="list" allowBlank="1" showInputMessage="1" showErrorMessage="1" sqref="D160:D161 D183:D184">
      <formula1>"Carpet area,RERA Carpet area"</formula1>
    </dataValidation>
  </dataValidations>
  <hyperlinks>
    <hyperlink ref="C40" r:id="rId1"/>
    <hyperlink ref="N71"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5" manualBreakCount="5">
    <brk id="74" max="7" man="1"/>
    <brk id="221" max="7" man="1"/>
    <brk id="287" max="16383" man="1"/>
    <brk id="330" max="16383" man="1"/>
    <brk id="373"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92" t="s">
        <v>105</v>
      </c>
      <c r="C3" s="292"/>
      <c r="D3" s="292"/>
      <c r="E3" s="292"/>
      <c r="F3" s="292"/>
      <c r="G3" s="292"/>
      <c r="H3" s="292"/>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0"/>
      <c r="C4" s="50" t="s">
        <v>11</v>
      </c>
      <c r="D4" s="51" t="s">
        <v>179</v>
      </c>
      <c r="E4" s="51" t="s">
        <v>189</v>
      </c>
      <c r="F4" s="51" t="s">
        <v>172</v>
      </c>
      <c r="G4" s="51" t="s">
        <v>194</v>
      </c>
      <c r="H4" s="51" t="s">
        <v>212</v>
      </c>
      <c r="J4" t="s">
        <v>194</v>
      </c>
      <c r="K4" t="s">
        <v>210</v>
      </c>
    </row>
    <row r="5" spans="2:11" x14ac:dyDescent="0.25">
      <c r="B5" s="50"/>
      <c r="C5" s="50"/>
      <c r="D5" s="51" t="s">
        <v>180</v>
      </c>
      <c r="E5" s="51" t="s">
        <v>187</v>
      </c>
      <c r="F5" s="51" t="s">
        <v>209</v>
      </c>
      <c r="G5" s="51" t="s">
        <v>195</v>
      </c>
      <c r="H5" s="51" t="s">
        <v>213</v>
      </c>
    </row>
    <row r="6" spans="2:11" x14ac:dyDescent="0.25">
      <c r="B6" s="50"/>
      <c r="C6" s="50"/>
      <c r="D6" s="51" t="s">
        <v>181</v>
      </c>
      <c r="E6" s="51" t="s">
        <v>188</v>
      </c>
      <c r="F6" s="51" t="s">
        <v>210</v>
      </c>
      <c r="G6" s="51" t="s">
        <v>196</v>
      </c>
      <c r="H6" s="51" t="s">
        <v>226</v>
      </c>
    </row>
    <row r="7" spans="2:11" x14ac:dyDescent="0.25">
      <c r="B7" s="50"/>
      <c r="C7" s="50"/>
      <c r="D7" s="51" t="s">
        <v>182</v>
      </c>
      <c r="E7" s="51" t="s">
        <v>190</v>
      </c>
      <c r="F7" s="51" t="s">
        <v>211</v>
      </c>
      <c r="G7" s="51" t="s">
        <v>197</v>
      </c>
      <c r="H7" s="51" t="s">
        <v>214</v>
      </c>
    </row>
    <row r="8" spans="2:11" x14ac:dyDescent="0.25">
      <c r="B8" s="50"/>
      <c r="C8" s="50"/>
      <c r="D8" s="51" t="s">
        <v>183</v>
      </c>
      <c r="E8" s="51" t="s">
        <v>191</v>
      </c>
      <c r="F8" s="51"/>
      <c r="G8" s="51" t="s">
        <v>198</v>
      </c>
      <c r="H8" s="51" t="s">
        <v>215</v>
      </c>
    </row>
    <row r="9" spans="2:11" x14ac:dyDescent="0.25">
      <c r="B9" s="50"/>
      <c r="C9" s="50"/>
      <c r="D9" s="51" t="s">
        <v>184</v>
      </c>
      <c r="E9" s="51" t="s">
        <v>189</v>
      </c>
      <c r="F9" s="51"/>
      <c r="G9" s="51" t="s">
        <v>199</v>
      </c>
      <c r="H9" s="51" t="s">
        <v>216</v>
      </c>
    </row>
    <row r="10" spans="2:11" x14ac:dyDescent="0.25">
      <c r="B10" s="50"/>
      <c r="C10" s="50"/>
      <c r="D10" s="51" t="s">
        <v>185</v>
      </c>
      <c r="E10" s="51" t="s">
        <v>192</v>
      </c>
      <c r="F10" s="51"/>
      <c r="G10" s="51" t="s">
        <v>200</v>
      </c>
      <c r="H10" s="51" t="s">
        <v>217</v>
      </c>
    </row>
    <row r="11" spans="2:11" x14ac:dyDescent="0.25">
      <c r="B11" s="50"/>
      <c r="C11" s="50"/>
      <c r="D11" s="51" t="s">
        <v>186</v>
      </c>
      <c r="E11" s="51" t="s">
        <v>193</v>
      </c>
      <c r="F11" s="51"/>
      <c r="G11" s="51" t="s">
        <v>201</v>
      </c>
      <c r="H11" s="51" t="s">
        <v>218</v>
      </c>
    </row>
    <row r="12" spans="2:11" x14ac:dyDescent="0.25">
      <c r="B12" s="50"/>
      <c r="C12" s="50"/>
      <c r="D12" s="51"/>
      <c r="E12" s="51"/>
      <c r="F12" s="51"/>
      <c r="G12" s="51" t="s">
        <v>202</v>
      </c>
      <c r="H12" s="51" t="s">
        <v>219</v>
      </c>
    </row>
    <row r="13" spans="2:11" x14ac:dyDescent="0.25">
      <c r="B13" s="50"/>
      <c r="C13" s="50"/>
      <c r="D13" s="51"/>
      <c r="E13" s="51"/>
      <c r="F13" s="51"/>
      <c r="G13" s="51" t="s">
        <v>203</v>
      </c>
      <c r="H13" s="51" t="s">
        <v>220</v>
      </c>
    </row>
    <row r="14" spans="2:11" x14ac:dyDescent="0.25">
      <c r="B14" s="50"/>
      <c r="C14" s="50"/>
      <c r="D14" s="51"/>
      <c r="E14" s="51"/>
      <c r="F14" s="51"/>
      <c r="G14" s="51" t="s">
        <v>204</v>
      </c>
      <c r="H14" s="51" t="s">
        <v>221</v>
      </c>
    </row>
    <row r="15" spans="2:11" x14ac:dyDescent="0.25">
      <c r="B15" s="50"/>
      <c r="C15" s="50"/>
      <c r="D15" s="51"/>
      <c r="E15" s="51"/>
      <c r="F15" s="51"/>
      <c r="G15" s="51" t="s">
        <v>205</v>
      </c>
      <c r="H15" s="51" t="s">
        <v>222</v>
      </c>
    </row>
    <row r="16" spans="2:11" x14ac:dyDescent="0.25">
      <c r="B16" s="50"/>
      <c r="C16" s="50"/>
      <c r="D16" s="51"/>
      <c r="E16" s="51"/>
      <c r="F16" s="51"/>
      <c r="G16" s="51" t="s">
        <v>206</v>
      </c>
      <c r="H16" s="51" t="s">
        <v>223</v>
      </c>
    </row>
    <row r="17" spans="2:8" x14ac:dyDescent="0.25">
      <c r="B17" s="50"/>
      <c r="C17" s="50"/>
      <c r="D17" s="51"/>
      <c r="E17" s="51"/>
      <c r="F17" s="51"/>
      <c r="G17" s="51" t="s">
        <v>207</v>
      </c>
      <c r="H17" s="51" t="s">
        <v>224</v>
      </c>
    </row>
    <row r="18" spans="2:8" x14ac:dyDescent="0.25">
      <c r="B18" s="50"/>
      <c r="C18" s="50"/>
      <c r="D18" s="51"/>
      <c r="E18" s="51"/>
      <c r="F18" s="51"/>
      <c r="G18" s="51" t="s">
        <v>208</v>
      </c>
      <c r="H18" s="51" t="s">
        <v>225</v>
      </c>
    </row>
    <row r="24" spans="2:8" x14ac:dyDescent="0.25">
      <c r="C24" t="s">
        <v>169</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169</v>
      </c>
    </row>
    <row r="33" spans="3:11" x14ac:dyDescent="0.25">
      <c r="J33">
        <v>1</v>
      </c>
      <c r="K33">
        <v>2</v>
      </c>
    </row>
    <row r="34" spans="3:11" x14ac:dyDescent="0.25">
      <c r="C34" s="54" t="s">
        <v>237</v>
      </c>
      <c r="D34" s="51" t="s">
        <v>235</v>
      </c>
      <c r="E34" s="51" t="s">
        <v>240</v>
      </c>
      <c r="F34" s="51" t="s">
        <v>238</v>
      </c>
      <c r="G34" s="51" t="s">
        <v>239</v>
      </c>
      <c r="H34" s="51" t="s">
        <v>241</v>
      </c>
      <c r="J34" t="s">
        <v>194</v>
      </c>
      <c r="K34" t="s">
        <v>210</v>
      </c>
    </row>
    <row r="35" spans="3:11" x14ac:dyDescent="0.25">
      <c r="C35" s="50" t="s">
        <v>236</v>
      </c>
      <c r="D35" s="51" t="s">
        <v>170</v>
      </c>
      <c r="E35" s="51" t="s">
        <v>245</v>
      </c>
      <c r="F35" s="51" t="s">
        <v>247</v>
      </c>
      <c r="G35" s="51" t="s">
        <v>249</v>
      </c>
      <c r="H35" s="51"/>
    </row>
    <row r="36" spans="3:11" x14ac:dyDescent="0.25">
      <c r="C36" s="50"/>
      <c r="D36" s="51" t="s">
        <v>242</v>
      </c>
      <c r="E36" s="51" t="s">
        <v>246</v>
      </c>
      <c r="F36" s="51" t="s">
        <v>248</v>
      </c>
      <c r="G36" s="51" t="s">
        <v>250</v>
      </c>
      <c r="H36" s="51"/>
    </row>
    <row r="37" spans="3:11" x14ac:dyDescent="0.25">
      <c r="C37" s="50"/>
      <c r="D37" s="51" t="s">
        <v>243</v>
      </c>
      <c r="E37" s="51"/>
      <c r="F37" s="51"/>
      <c r="G37" s="51" t="s">
        <v>251</v>
      </c>
      <c r="H37" s="51"/>
    </row>
    <row r="38" spans="3:11" x14ac:dyDescent="0.25">
      <c r="C38" s="50"/>
      <c r="D38" s="51" t="s">
        <v>244</v>
      </c>
      <c r="E38" s="51"/>
      <c r="F38" s="51"/>
      <c r="G38" s="51" t="s">
        <v>251</v>
      </c>
      <c r="H38" s="51"/>
    </row>
    <row r="39" spans="3:11" x14ac:dyDescent="0.25">
      <c r="C39" s="50"/>
      <c r="D39" s="51"/>
      <c r="E39" s="51"/>
      <c r="F39" s="51"/>
      <c r="G39" s="51" t="s">
        <v>252</v>
      </c>
      <c r="H39" s="51"/>
    </row>
    <row r="40" spans="3:11" x14ac:dyDescent="0.25">
      <c r="C40" s="50"/>
      <c r="D40" s="51"/>
      <c r="E40" s="51"/>
      <c r="F40" s="51"/>
      <c r="G40" s="51" t="s">
        <v>253</v>
      </c>
      <c r="H40" s="51"/>
    </row>
    <row r="41" spans="3:11" x14ac:dyDescent="0.25">
      <c r="C41" s="50"/>
      <c r="D41" s="51"/>
      <c r="E41" s="51"/>
      <c r="F41" s="51"/>
      <c r="G41" s="51"/>
      <c r="H41" s="51"/>
    </row>
    <row r="43" spans="3:11" x14ac:dyDescent="0.25">
      <c r="C43" t="s">
        <v>254</v>
      </c>
    </row>
    <row r="44" spans="3:11" x14ac:dyDescent="0.25">
      <c r="C44" t="s">
        <v>172</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179</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194</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189</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5">
        <v>1</v>
      </c>
      <c r="C2" s="58" t="s">
        <v>285</v>
      </c>
    </row>
    <row r="3" spans="2:3" x14ac:dyDescent="0.25">
      <c r="B3" s="55">
        <v>2</v>
      </c>
      <c r="C3" s="56" t="s">
        <v>286</v>
      </c>
    </row>
    <row r="4" spans="2:3" x14ac:dyDescent="0.25">
      <c r="B4" s="55">
        <v>3</v>
      </c>
      <c r="C4" s="57" t="s">
        <v>287</v>
      </c>
    </row>
    <row r="5" spans="2:3" x14ac:dyDescent="0.25">
      <c r="B5" s="55">
        <v>4</v>
      </c>
      <c r="C5" s="56" t="s">
        <v>288</v>
      </c>
    </row>
    <row r="6" spans="2:3" x14ac:dyDescent="0.25">
      <c r="B6" s="55">
        <v>5</v>
      </c>
      <c r="C6" s="57" t="s">
        <v>289</v>
      </c>
    </row>
    <row r="7" spans="2:3" ht="30" x14ac:dyDescent="0.25">
      <c r="B7" s="55">
        <v>6</v>
      </c>
      <c r="C7" s="56" t="s">
        <v>290</v>
      </c>
    </row>
    <row r="8" spans="2:3" ht="75" x14ac:dyDescent="0.25">
      <c r="B8" s="55">
        <v>7</v>
      </c>
      <c r="C8" s="56" t="s">
        <v>291</v>
      </c>
    </row>
    <row r="9" spans="2:3" x14ac:dyDescent="0.25">
      <c r="B9" s="55">
        <v>8</v>
      </c>
      <c r="C9" s="57" t="s">
        <v>292</v>
      </c>
    </row>
    <row r="10" spans="2:3" x14ac:dyDescent="0.25">
      <c r="B10" s="55">
        <v>9</v>
      </c>
      <c r="C10" s="57" t="s">
        <v>293</v>
      </c>
    </row>
    <row r="11" spans="2:3" x14ac:dyDescent="0.25">
      <c r="B11" s="55">
        <v>10</v>
      </c>
      <c r="C11" s="57" t="s">
        <v>294</v>
      </c>
    </row>
    <row r="12" spans="2:3" x14ac:dyDescent="0.25">
      <c r="B12" s="55">
        <v>11</v>
      </c>
      <c r="C12" s="57" t="s">
        <v>295</v>
      </c>
    </row>
    <row r="13" spans="2:3" x14ac:dyDescent="0.25">
      <c r="B13" s="55">
        <v>12</v>
      </c>
      <c r="C13" s="57" t="s">
        <v>296</v>
      </c>
    </row>
    <row r="14" spans="2:3" x14ac:dyDescent="0.25">
      <c r="B14" s="55">
        <v>13</v>
      </c>
      <c r="C14" s="57" t="s">
        <v>297</v>
      </c>
    </row>
    <row r="15" spans="2:3" x14ac:dyDescent="0.25">
      <c r="B15" s="55">
        <v>14</v>
      </c>
      <c r="C15" s="57" t="s">
        <v>287</v>
      </c>
    </row>
    <row r="16" spans="2:3" x14ac:dyDescent="0.25">
      <c r="B16" s="55">
        <v>15</v>
      </c>
      <c r="C16" s="57" t="s">
        <v>299</v>
      </c>
    </row>
    <row r="17" spans="2:3" x14ac:dyDescent="0.25">
      <c r="B17" s="78">
        <v>16</v>
      </c>
      <c r="C17" s="63" t="s">
        <v>300</v>
      </c>
    </row>
    <row r="18" spans="2:3" x14ac:dyDescent="0.25">
      <c r="B18" s="62">
        <v>17</v>
      </c>
      <c r="C18" s="63" t="s">
        <v>301</v>
      </c>
    </row>
    <row r="19" spans="2:3" x14ac:dyDescent="0.25">
      <c r="B19" s="61">
        <v>18</v>
      </c>
      <c r="C19" s="55" t="s">
        <v>302</v>
      </c>
    </row>
    <row r="20" spans="2:3" x14ac:dyDescent="0.25">
      <c r="B20" s="62">
        <v>19</v>
      </c>
      <c r="C20" s="55" t="s">
        <v>338</v>
      </c>
    </row>
    <row r="21" spans="2:3" x14ac:dyDescent="0.25">
      <c r="B21" s="64">
        <v>20</v>
      </c>
      <c r="C21" s="55" t="s">
        <v>303</v>
      </c>
    </row>
    <row r="22" spans="2:3" x14ac:dyDescent="0.25">
      <c r="B22" s="62">
        <v>21</v>
      </c>
      <c r="C22" s="55" t="s">
        <v>302</v>
      </c>
    </row>
    <row r="23" spans="2:3" s="72" customFormat="1" ht="29.25" customHeight="1" x14ac:dyDescent="0.25">
      <c r="B23" s="71">
        <v>22</v>
      </c>
      <c r="C23" s="58" t="s">
        <v>330</v>
      </c>
    </row>
    <row r="24" spans="2:3" s="72" customFormat="1" ht="30.75" customHeight="1" x14ac:dyDescent="0.25">
      <c r="B24" s="73">
        <v>23</v>
      </c>
      <c r="C24" s="58" t="s">
        <v>331</v>
      </c>
    </row>
    <row r="25" spans="2:3" x14ac:dyDescent="0.25">
      <c r="B25" s="64">
        <v>24</v>
      </c>
      <c r="C25" s="55" t="s">
        <v>334</v>
      </c>
    </row>
    <row r="26" spans="2:3" x14ac:dyDescent="0.25">
      <c r="B26" s="62">
        <v>25</v>
      </c>
      <c r="C26" s="55" t="s">
        <v>332</v>
      </c>
    </row>
    <row r="27" spans="2:3" x14ac:dyDescent="0.25">
      <c r="B27" s="73">
        <v>26</v>
      </c>
      <c r="C27" s="64" t="s">
        <v>333</v>
      </c>
    </row>
    <row r="28" spans="2:3" x14ac:dyDescent="0.25">
      <c r="B28" s="74">
        <v>27</v>
      </c>
      <c r="C28" s="55" t="s">
        <v>335</v>
      </c>
    </row>
    <row r="29" spans="2:3" ht="60" x14ac:dyDescent="0.25">
      <c r="B29" s="77">
        <v>28</v>
      </c>
      <c r="C29" s="56" t="s">
        <v>336</v>
      </c>
    </row>
    <row r="30" spans="2:3" x14ac:dyDescent="0.25">
      <c r="B30" s="73">
        <v>29</v>
      </c>
      <c r="C30" s="55" t="s">
        <v>337</v>
      </c>
    </row>
    <row r="31" spans="2:3" ht="30" x14ac:dyDescent="0.25">
      <c r="B31" s="79">
        <v>30</v>
      </c>
      <c r="C31" s="56" t="s">
        <v>339</v>
      </c>
    </row>
    <row r="32" spans="2:3" x14ac:dyDescent="0.25">
      <c r="B32" s="73">
        <v>31</v>
      </c>
      <c r="C32" s="55" t="s">
        <v>340</v>
      </c>
    </row>
    <row r="33" spans="2:3" x14ac:dyDescent="0.25">
      <c r="B33" s="73">
        <v>32</v>
      </c>
      <c r="C33" s="55" t="s">
        <v>341</v>
      </c>
    </row>
    <row r="34" spans="2:3" ht="36.75" customHeight="1" x14ac:dyDescent="0.25">
      <c r="B34" s="79">
        <v>33</v>
      </c>
      <c r="C34" s="63" t="s">
        <v>342</v>
      </c>
    </row>
    <row r="35" spans="2:3" x14ac:dyDescent="0.25">
      <c r="B35" s="73">
        <v>34</v>
      </c>
      <c r="C35"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0"/>
    <col min="2" max="2" width="12.28515625" style="50" customWidth="1"/>
    <col min="3" max="16384" width="9.140625" style="50"/>
  </cols>
  <sheetData>
    <row r="2" spans="1:12" x14ac:dyDescent="0.25">
      <c r="B2" s="65" t="s">
        <v>304</v>
      </c>
      <c r="C2" s="293"/>
      <c r="D2" s="293"/>
    </row>
    <row r="3" spans="1:12" x14ac:dyDescent="0.25">
      <c r="D3" s="66"/>
      <c r="E3" s="66"/>
      <c r="F3" s="66"/>
      <c r="G3" s="66"/>
      <c r="H3" s="66"/>
      <c r="I3" s="66"/>
    </row>
    <row r="4" spans="1:12" x14ac:dyDescent="0.25">
      <c r="A4" s="65" t="s">
        <v>66</v>
      </c>
      <c r="B4" s="67" t="s">
        <v>305</v>
      </c>
      <c r="C4" s="294" t="s">
        <v>306</v>
      </c>
      <c r="D4" s="294"/>
      <c r="E4" s="294"/>
      <c r="F4" s="67"/>
      <c r="G4" s="295" t="s">
        <v>307</v>
      </c>
      <c r="H4" s="295"/>
      <c r="I4" s="295"/>
      <c r="J4" s="296" t="s">
        <v>308</v>
      </c>
      <c r="K4" s="296"/>
      <c r="L4" s="296"/>
    </row>
    <row r="5" spans="1:12" x14ac:dyDescent="0.25">
      <c r="A5" s="65"/>
      <c r="B5" s="67"/>
      <c r="C5" s="67" t="s">
        <v>309</v>
      </c>
      <c r="D5" s="67" t="s">
        <v>310</v>
      </c>
      <c r="E5" s="67" t="s">
        <v>311</v>
      </c>
      <c r="F5" s="67"/>
      <c r="G5" s="67" t="s">
        <v>309</v>
      </c>
      <c r="H5" s="67" t="s">
        <v>310</v>
      </c>
      <c r="I5" s="67" t="s">
        <v>311</v>
      </c>
      <c r="J5" s="67" t="s">
        <v>309</v>
      </c>
      <c r="K5" s="67" t="s">
        <v>310</v>
      </c>
      <c r="L5" s="67" t="s">
        <v>311</v>
      </c>
    </row>
    <row r="6" spans="1:12" x14ac:dyDescent="0.25">
      <c r="B6" s="51" t="s">
        <v>312</v>
      </c>
      <c r="C6" s="51"/>
      <c r="D6" s="51"/>
      <c r="E6" s="51">
        <f>C6*D6</f>
        <v>0</v>
      </c>
      <c r="F6" s="51" t="s">
        <v>329</v>
      </c>
      <c r="G6" s="51"/>
      <c r="H6" s="51"/>
      <c r="I6" s="51">
        <f>G6*H6</f>
        <v>0</v>
      </c>
      <c r="J6" s="51"/>
      <c r="K6" s="51"/>
      <c r="L6" s="51">
        <f>J6*K6</f>
        <v>0</v>
      </c>
    </row>
    <row r="7" spans="1:12" x14ac:dyDescent="0.25">
      <c r="B7" s="51"/>
      <c r="C7" s="51"/>
      <c r="D7" s="51"/>
      <c r="E7" s="51">
        <f t="shared" ref="E7:E41" si="0">C7*D7</f>
        <v>0</v>
      </c>
      <c r="F7" s="51" t="s">
        <v>329</v>
      </c>
      <c r="G7" s="51"/>
      <c r="H7" s="51"/>
      <c r="I7" s="51">
        <f t="shared" ref="I7:I35" si="1">G7*H7</f>
        <v>0</v>
      </c>
      <c r="J7" s="51"/>
      <c r="K7" s="51"/>
      <c r="L7" s="51">
        <f t="shared" ref="L7:L35" si="2">J7*K7</f>
        <v>0</v>
      </c>
    </row>
    <row r="8" spans="1:12" x14ac:dyDescent="0.25">
      <c r="B8" s="51"/>
      <c r="C8" s="51"/>
      <c r="D8" s="51"/>
      <c r="E8" s="51">
        <f t="shared" si="0"/>
        <v>0</v>
      </c>
      <c r="F8" s="51"/>
      <c r="G8" s="51"/>
      <c r="H8" s="51"/>
      <c r="I8" s="51">
        <f t="shared" si="1"/>
        <v>0</v>
      </c>
      <c r="J8" s="51"/>
      <c r="K8" s="51"/>
      <c r="L8" s="51">
        <f t="shared" si="2"/>
        <v>0</v>
      </c>
    </row>
    <row r="9" spans="1:12" x14ac:dyDescent="0.25">
      <c r="B9" s="51"/>
      <c r="C9" s="51"/>
      <c r="D9" s="51"/>
      <c r="E9" s="51">
        <f t="shared" si="0"/>
        <v>0</v>
      </c>
      <c r="F9" s="51" t="s">
        <v>313</v>
      </c>
      <c r="G9" s="51"/>
      <c r="H9" s="51"/>
      <c r="I9" s="51">
        <f t="shared" si="1"/>
        <v>0</v>
      </c>
      <c r="J9" s="51"/>
      <c r="K9" s="51"/>
      <c r="L9" s="51">
        <f t="shared" si="2"/>
        <v>0</v>
      </c>
    </row>
    <row r="10" spans="1:12" x14ac:dyDescent="0.25">
      <c r="B10" s="51" t="s">
        <v>314</v>
      </c>
      <c r="C10" s="51"/>
      <c r="D10" s="51"/>
      <c r="E10" s="51">
        <f t="shared" si="0"/>
        <v>0</v>
      </c>
      <c r="F10" s="51" t="s">
        <v>313</v>
      </c>
      <c r="G10" s="51"/>
      <c r="H10" s="51"/>
      <c r="I10" s="51">
        <f t="shared" si="1"/>
        <v>0</v>
      </c>
      <c r="J10" s="51"/>
      <c r="K10" s="51"/>
      <c r="L10" s="51">
        <f t="shared" si="2"/>
        <v>0</v>
      </c>
    </row>
    <row r="11" spans="1:12" x14ac:dyDescent="0.25">
      <c r="B11" s="51"/>
      <c r="C11" s="51"/>
      <c r="D11" s="51"/>
      <c r="E11" s="51">
        <f t="shared" si="0"/>
        <v>0</v>
      </c>
      <c r="F11" s="51" t="s">
        <v>315</v>
      </c>
      <c r="G11" s="51"/>
      <c r="H11" s="51"/>
      <c r="I11" s="51">
        <f t="shared" si="1"/>
        <v>0</v>
      </c>
      <c r="J11" s="51"/>
      <c r="K11" s="51"/>
      <c r="L11" s="51">
        <f t="shared" si="2"/>
        <v>0</v>
      </c>
    </row>
    <row r="12" spans="1:12" x14ac:dyDescent="0.25">
      <c r="B12" s="51"/>
      <c r="C12" s="51"/>
      <c r="D12" s="51"/>
      <c r="E12" s="51">
        <f t="shared" si="0"/>
        <v>0</v>
      </c>
      <c r="F12" s="51"/>
      <c r="G12" s="51"/>
      <c r="H12" s="51"/>
      <c r="I12" s="51">
        <f t="shared" si="1"/>
        <v>0</v>
      </c>
      <c r="J12" s="51"/>
      <c r="K12" s="51"/>
      <c r="L12" s="51">
        <f t="shared" si="2"/>
        <v>0</v>
      </c>
    </row>
    <row r="13" spans="1:12" x14ac:dyDescent="0.25">
      <c r="B13" s="51"/>
      <c r="C13" s="51"/>
      <c r="D13" s="51"/>
      <c r="E13" s="51">
        <f t="shared" si="0"/>
        <v>0</v>
      </c>
      <c r="F13" s="51"/>
      <c r="G13" s="51"/>
      <c r="H13" s="51"/>
      <c r="I13" s="51">
        <f t="shared" si="1"/>
        <v>0</v>
      </c>
      <c r="J13" s="51"/>
      <c r="K13" s="51"/>
      <c r="L13" s="51">
        <f t="shared" si="2"/>
        <v>0</v>
      </c>
    </row>
    <row r="14" spans="1:12" x14ac:dyDescent="0.25">
      <c r="B14" s="51" t="s">
        <v>316</v>
      </c>
      <c r="C14" s="51"/>
      <c r="D14" s="51"/>
      <c r="E14" s="51">
        <f t="shared" si="0"/>
        <v>0</v>
      </c>
      <c r="F14" s="51" t="s">
        <v>313</v>
      </c>
      <c r="G14" s="51"/>
      <c r="H14" s="51"/>
      <c r="I14" s="51">
        <f t="shared" si="1"/>
        <v>0</v>
      </c>
      <c r="J14" s="51"/>
      <c r="K14" s="51"/>
      <c r="L14" s="51">
        <f t="shared" si="2"/>
        <v>0</v>
      </c>
    </row>
    <row r="15" spans="1:12" x14ac:dyDescent="0.25">
      <c r="B15" s="51"/>
      <c r="C15" s="51"/>
      <c r="D15" s="51"/>
      <c r="E15" s="51">
        <f t="shared" si="0"/>
        <v>0</v>
      </c>
      <c r="F15" s="51" t="s">
        <v>315</v>
      </c>
      <c r="G15" s="51"/>
      <c r="H15" s="51"/>
      <c r="I15" s="51">
        <f t="shared" si="1"/>
        <v>0</v>
      </c>
      <c r="J15" s="51"/>
      <c r="K15" s="51"/>
      <c r="L15" s="51">
        <f t="shared" si="2"/>
        <v>0</v>
      </c>
    </row>
    <row r="16" spans="1:12" x14ac:dyDescent="0.25">
      <c r="B16" s="51"/>
      <c r="C16" s="51"/>
      <c r="D16" s="51"/>
      <c r="E16" s="51">
        <f t="shared" si="0"/>
        <v>0</v>
      </c>
      <c r="F16" s="51"/>
      <c r="G16" s="51"/>
      <c r="H16" s="51"/>
      <c r="I16" s="51">
        <f t="shared" si="1"/>
        <v>0</v>
      </c>
      <c r="J16" s="51"/>
      <c r="K16" s="51"/>
      <c r="L16" s="51">
        <f t="shared" si="2"/>
        <v>0</v>
      </c>
    </row>
    <row r="17" spans="2:12" x14ac:dyDescent="0.25">
      <c r="B17" s="51"/>
      <c r="C17" s="51"/>
      <c r="D17" s="51"/>
      <c r="E17" s="51">
        <f t="shared" si="0"/>
        <v>0</v>
      </c>
      <c r="F17" s="51"/>
      <c r="G17" s="51"/>
      <c r="H17" s="51"/>
      <c r="I17" s="51">
        <f t="shared" si="1"/>
        <v>0</v>
      </c>
      <c r="J17" s="51"/>
      <c r="K17" s="51"/>
      <c r="L17" s="51">
        <f t="shared" si="2"/>
        <v>0</v>
      </c>
    </row>
    <row r="18" spans="2:12" x14ac:dyDescent="0.25">
      <c r="B18" s="51" t="s">
        <v>317</v>
      </c>
      <c r="C18" s="51"/>
      <c r="D18" s="51"/>
      <c r="E18" s="51">
        <f t="shared" si="0"/>
        <v>0</v>
      </c>
      <c r="F18" s="51" t="s">
        <v>313</v>
      </c>
      <c r="G18" s="51"/>
      <c r="H18" s="51"/>
      <c r="I18" s="51">
        <f t="shared" si="1"/>
        <v>0</v>
      </c>
      <c r="J18" s="51"/>
      <c r="K18" s="51"/>
      <c r="L18" s="51">
        <f t="shared" si="2"/>
        <v>0</v>
      </c>
    </row>
    <row r="19" spans="2:12" x14ac:dyDescent="0.25">
      <c r="B19" s="51"/>
      <c r="C19" s="51"/>
      <c r="D19" s="51"/>
      <c r="E19" s="51">
        <f t="shared" si="0"/>
        <v>0</v>
      </c>
      <c r="F19" s="51" t="s">
        <v>315</v>
      </c>
      <c r="G19" s="51"/>
      <c r="H19" s="51"/>
      <c r="I19" s="51">
        <f t="shared" si="1"/>
        <v>0</v>
      </c>
      <c r="J19" s="51"/>
      <c r="K19" s="51"/>
      <c r="L19" s="51">
        <f t="shared" si="2"/>
        <v>0</v>
      </c>
    </row>
    <row r="20" spans="2:12" x14ac:dyDescent="0.25">
      <c r="B20" s="51"/>
      <c r="C20" s="51"/>
      <c r="D20" s="51"/>
      <c r="E20" s="51">
        <f t="shared" si="0"/>
        <v>0</v>
      </c>
      <c r="F20" s="51"/>
      <c r="G20" s="51"/>
      <c r="H20" s="51"/>
      <c r="I20" s="51">
        <f t="shared" si="1"/>
        <v>0</v>
      </c>
      <c r="J20" s="51"/>
      <c r="K20" s="51"/>
      <c r="L20" s="51">
        <f t="shared" si="2"/>
        <v>0</v>
      </c>
    </row>
    <row r="21" spans="2:12" x14ac:dyDescent="0.25">
      <c r="B21" s="51" t="s">
        <v>318</v>
      </c>
      <c r="C21" s="51"/>
      <c r="D21" s="51"/>
      <c r="E21" s="51">
        <f t="shared" si="0"/>
        <v>0</v>
      </c>
      <c r="F21" s="51" t="s">
        <v>313</v>
      </c>
      <c r="G21" s="51"/>
      <c r="H21" s="51"/>
      <c r="I21" s="51">
        <f t="shared" si="1"/>
        <v>0</v>
      </c>
      <c r="J21" s="51"/>
      <c r="K21" s="51"/>
      <c r="L21" s="51">
        <f t="shared" si="2"/>
        <v>0</v>
      </c>
    </row>
    <row r="22" spans="2:12" x14ac:dyDescent="0.25">
      <c r="B22" s="51"/>
      <c r="C22" s="51"/>
      <c r="D22" s="51"/>
      <c r="E22" s="51">
        <f t="shared" si="0"/>
        <v>0</v>
      </c>
      <c r="F22" s="51" t="s">
        <v>315</v>
      </c>
      <c r="G22" s="51"/>
      <c r="H22" s="51"/>
      <c r="I22" s="51">
        <f t="shared" si="1"/>
        <v>0</v>
      </c>
      <c r="J22" s="51"/>
      <c r="K22" s="51"/>
      <c r="L22" s="51">
        <f t="shared" si="2"/>
        <v>0</v>
      </c>
    </row>
    <row r="23" spans="2:12" x14ac:dyDescent="0.25">
      <c r="B23" s="51"/>
      <c r="C23" s="51"/>
      <c r="D23" s="51"/>
      <c r="E23" s="51">
        <f t="shared" si="0"/>
        <v>0</v>
      </c>
      <c r="F23" s="51"/>
      <c r="G23" s="51"/>
      <c r="H23" s="51"/>
      <c r="I23" s="51">
        <f t="shared" si="1"/>
        <v>0</v>
      </c>
      <c r="J23" s="51"/>
      <c r="K23" s="51"/>
      <c r="L23" s="51">
        <f t="shared" si="2"/>
        <v>0</v>
      </c>
    </row>
    <row r="24" spans="2:12" x14ac:dyDescent="0.25">
      <c r="B24" s="51" t="s">
        <v>319</v>
      </c>
      <c r="C24" s="51"/>
      <c r="D24" s="51"/>
      <c r="E24" s="51">
        <f t="shared" si="0"/>
        <v>0</v>
      </c>
      <c r="F24" s="51" t="s">
        <v>320</v>
      </c>
      <c r="G24" s="51"/>
      <c r="H24" s="51"/>
      <c r="I24" s="51">
        <f t="shared" si="1"/>
        <v>0</v>
      </c>
      <c r="J24" s="51"/>
      <c r="K24" s="51"/>
      <c r="L24" s="51">
        <f t="shared" si="2"/>
        <v>0</v>
      </c>
    </row>
    <row r="25" spans="2:12" x14ac:dyDescent="0.25">
      <c r="B25" s="51"/>
      <c r="C25" s="51"/>
      <c r="D25" s="51"/>
      <c r="E25" s="51">
        <f t="shared" ref="E25:E27" si="3">C25*D25</f>
        <v>0</v>
      </c>
      <c r="F25" s="51" t="s">
        <v>320</v>
      </c>
      <c r="G25" s="51"/>
      <c r="H25" s="51"/>
      <c r="I25" s="51">
        <f t="shared" ref="I25:I27" si="4">G25*H25</f>
        <v>0</v>
      </c>
      <c r="J25" s="51"/>
      <c r="K25" s="51"/>
      <c r="L25" s="51">
        <f t="shared" ref="L25:L27" si="5">J25*K25</f>
        <v>0</v>
      </c>
    </row>
    <row r="26" spans="2:12" x14ac:dyDescent="0.25">
      <c r="B26" s="51"/>
      <c r="C26" s="51"/>
      <c r="D26" s="51"/>
      <c r="E26" s="51">
        <f t="shared" si="3"/>
        <v>0</v>
      </c>
      <c r="F26" s="51" t="s">
        <v>320</v>
      </c>
      <c r="G26" s="51"/>
      <c r="H26" s="51"/>
      <c r="I26" s="51">
        <f t="shared" si="4"/>
        <v>0</v>
      </c>
      <c r="J26" s="51"/>
      <c r="K26" s="51"/>
      <c r="L26" s="51">
        <f t="shared" si="5"/>
        <v>0</v>
      </c>
    </row>
    <row r="27" spans="2:12" x14ac:dyDescent="0.25">
      <c r="B27" s="51"/>
      <c r="C27" s="51"/>
      <c r="D27" s="51"/>
      <c r="E27" s="51">
        <f t="shared" si="3"/>
        <v>0</v>
      </c>
      <c r="F27" s="51" t="s">
        <v>320</v>
      </c>
      <c r="G27" s="51"/>
      <c r="H27" s="51"/>
      <c r="I27" s="51">
        <f t="shared" si="4"/>
        <v>0</v>
      </c>
      <c r="J27" s="51"/>
      <c r="K27" s="51"/>
      <c r="L27" s="51">
        <f t="shared" si="5"/>
        <v>0</v>
      </c>
    </row>
    <row r="28" spans="2:12" x14ac:dyDescent="0.25">
      <c r="B28" s="51" t="s">
        <v>321</v>
      </c>
      <c r="C28" s="51"/>
      <c r="D28" s="51"/>
      <c r="E28" s="51">
        <f t="shared" si="0"/>
        <v>0</v>
      </c>
      <c r="F28" s="51" t="s">
        <v>320</v>
      </c>
      <c r="G28" s="51"/>
      <c r="H28" s="51"/>
      <c r="I28" s="51">
        <f t="shared" si="1"/>
        <v>0</v>
      </c>
      <c r="J28" s="51"/>
      <c r="K28" s="51"/>
      <c r="L28" s="51">
        <f t="shared" si="2"/>
        <v>0</v>
      </c>
    </row>
    <row r="29" spans="2:12" x14ac:dyDescent="0.25">
      <c r="B29" s="51" t="s">
        <v>322</v>
      </c>
      <c r="C29" s="51"/>
      <c r="D29" s="51"/>
      <c r="E29" s="51">
        <f t="shared" si="0"/>
        <v>0</v>
      </c>
      <c r="F29" s="51" t="s">
        <v>320</v>
      </c>
      <c r="G29" s="51"/>
      <c r="H29" s="51"/>
      <c r="I29" s="51">
        <f t="shared" si="1"/>
        <v>0</v>
      </c>
      <c r="J29" s="51"/>
      <c r="K29" s="51"/>
      <c r="L29" s="51">
        <f t="shared" si="2"/>
        <v>0</v>
      </c>
    </row>
    <row r="30" spans="2:12" x14ac:dyDescent="0.25">
      <c r="B30" s="51" t="s">
        <v>326</v>
      </c>
      <c r="C30" s="51"/>
      <c r="D30" s="51"/>
      <c r="E30" s="51">
        <f t="shared" si="0"/>
        <v>0</v>
      </c>
      <c r="F30" s="51"/>
      <c r="G30" s="51"/>
      <c r="H30" s="51"/>
      <c r="I30" s="51">
        <f t="shared" si="1"/>
        <v>0</v>
      </c>
      <c r="J30" s="51"/>
      <c r="K30" s="51"/>
      <c r="L30" s="51">
        <f t="shared" si="2"/>
        <v>0</v>
      </c>
    </row>
    <row r="31" spans="2:12" x14ac:dyDescent="0.25">
      <c r="B31" s="51"/>
      <c r="C31" s="51"/>
      <c r="D31" s="51"/>
      <c r="E31" s="51">
        <f t="shared" ref="E31:E32" si="6">C31*D31</f>
        <v>0</v>
      </c>
      <c r="F31" s="51"/>
      <c r="G31" s="51"/>
      <c r="H31" s="51"/>
      <c r="I31" s="51">
        <f t="shared" ref="I31:I32" si="7">G31*H31</f>
        <v>0</v>
      </c>
      <c r="J31" s="51"/>
      <c r="K31" s="51"/>
      <c r="L31" s="51">
        <f t="shared" ref="L31:L32" si="8">J31*K31</f>
        <v>0</v>
      </c>
    </row>
    <row r="32" spans="2:12" x14ac:dyDescent="0.25">
      <c r="B32" s="51"/>
      <c r="C32" s="51"/>
      <c r="D32" s="51"/>
      <c r="E32" s="51">
        <f t="shared" si="6"/>
        <v>0</v>
      </c>
      <c r="F32" s="51"/>
      <c r="G32" s="51"/>
      <c r="H32" s="51"/>
      <c r="I32" s="51">
        <f t="shared" si="7"/>
        <v>0</v>
      </c>
      <c r="J32" s="51"/>
      <c r="K32" s="51"/>
      <c r="L32" s="51">
        <f t="shared" si="8"/>
        <v>0</v>
      </c>
    </row>
    <row r="33" spans="2:12" x14ac:dyDescent="0.25">
      <c r="B33" s="51" t="s">
        <v>323</v>
      </c>
      <c r="C33" s="51"/>
      <c r="D33" s="51"/>
      <c r="E33" s="51">
        <f t="shared" si="0"/>
        <v>0</v>
      </c>
      <c r="F33" s="51"/>
      <c r="G33" s="51"/>
      <c r="H33" s="51"/>
      <c r="I33" s="51">
        <f t="shared" si="1"/>
        <v>0</v>
      </c>
      <c r="J33" s="51"/>
      <c r="K33" s="51"/>
      <c r="L33" s="51">
        <f t="shared" si="2"/>
        <v>0</v>
      </c>
    </row>
    <row r="34" spans="2:12" x14ac:dyDescent="0.25">
      <c r="B34" s="51" t="s">
        <v>327</v>
      </c>
      <c r="C34" s="51"/>
      <c r="D34" s="51"/>
      <c r="E34" s="51">
        <f t="shared" si="0"/>
        <v>0</v>
      </c>
      <c r="F34" s="51"/>
      <c r="G34" s="51"/>
      <c r="H34" s="51"/>
      <c r="I34" s="51">
        <f t="shared" si="1"/>
        <v>0</v>
      </c>
      <c r="J34" s="51"/>
      <c r="K34" s="51"/>
      <c r="L34" s="51">
        <f t="shared" si="2"/>
        <v>0</v>
      </c>
    </row>
    <row r="35" spans="2:12" x14ac:dyDescent="0.25">
      <c r="B35" s="51" t="s">
        <v>324</v>
      </c>
      <c r="C35" s="51"/>
      <c r="D35" s="51"/>
      <c r="E35" s="51">
        <f t="shared" si="0"/>
        <v>0</v>
      </c>
      <c r="F35" s="51"/>
      <c r="G35" s="51"/>
      <c r="H35" s="51"/>
      <c r="I35" s="51">
        <f t="shared" si="1"/>
        <v>0</v>
      </c>
      <c r="J35" s="51"/>
      <c r="K35" s="51"/>
      <c r="L35" s="51">
        <f t="shared" si="2"/>
        <v>0</v>
      </c>
    </row>
    <row r="36" spans="2:12" x14ac:dyDescent="0.25">
      <c r="B36" s="51" t="s">
        <v>325</v>
      </c>
      <c r="C36" s="51"/>
      <c r="D36" s="51"/>
      <c r="E36" s="51">
        <f t="shared" si="0"/>
        <v>0</v>
      </c>
      <c r="F36" s="51"/>
      <c r="G36" s="51"/>
      <c r="H36" s="51"/>
      <c r="I36" s="51">
        <f>G36*H36</f>
        <v>0</v>
      </c>
      <c r="J36" s="51"/>
      <c r="K36" s="51"/>
      <c r="L36" s="51">
        <f>J36*K36</f>
        <v>0</v>
      </c>
    </row>
    <row r="37" spans="2:12" x14ac:dyDescent="0.25">
      <c r="B37" s="51"/>
      <c r="C37" s="51"/>
      <c r="D37" s="51"/>
      <c r="E37" s="51">
        <f t="shared" ref="E37:E38" si="9">C37*D37</f>
        <v>0</v>
      </c>
      <c r="F37" s="51"/>
      <c r="G37" s="51"/>
      <c r="H37" s="51"/>
      <c r="I37" s="51">
        <f t="shared" ref="I37:I38" si="10">G37*H37</f>
        <v>0</v>
      </c>
      <c r="J37" s="51"/>
      <c r="K37" s="51"/>
      <c r="L37" s="51">
        <f t="shared" ref="L37:L38" si="11">J37*K37</f>
        <v>0</v>
      </c>
    </row>
    <row r="38" spans="2:12" x14ac:dyDescent="0.25">
      <c r="B38" s="51" t="s">
        <v>328</v>
      </c>
      <c r="C38" s="51"/>
      <c r="D38" s="51"/>
      <c r="E38" s="51">
        <f t="shared" si="9"/>
        <v>0</v>
      </c>
      <c r="F38" s="51"/>
      <c r="G38" s="51"/>
      <c r="H38" s="51"/>
      <c r="I38" s="51">
        <f t="shared" si="10"/>
        <v>0</v>
      </c>
      <c r="J38" s="51"/>
      <c r="K38" s="51"/>
      <c r="L38" s="51">
        <f t="shared" si="11"/>
        <v>0</v>
      </c>
    </row>
    <row r="39" spans="2:12" x14ac:dyDescent="0.25">
      <c r="B39" s="51"/>
      <c r="C39" s="51"/>
      <c r="D39" s="51"/>
      <c r="E39" s="51">
        <f t="shared" si="0"/>
        <v>0</v>
      </c>
      <c r="F39" s="51"/>
      <c r="G39" s="51"/>
      <c r="H39" s="51"/>
      <c r="I39" s="51">
        <f>G39*H39</f>
        <v>0</v>
      </c>
      <c r="J39" s="51"/>
      <c r="K39" s="51"/>
      <c r="L39" s="51">
        <f>J39*K39</f>
        <v>0</v>
      </c>
    </row>
    <row r="40" spans="2:12" x14ac:dyDescent="0.25">
      <c r="B40" s="51"/>
      <c r="C40" s="51"/>
      <c r="D40" s="51"/>
      <c r="E40" s="51">
        <f t="shared" si="0"/>
        <v>0</v>
      </c>
      <c r="F40" s="51"/>
      <c r="G40" s="51"/>
      <c r="H40" s="51"/>
      <c r="I40" s="51">
        <f>G40*H40</f>
        <v>0</v>
      </c>
      <c r="J40" s="51"/>
      <c r="K40" s="51"/>
      <c r="L40" s="51">
        <f>J40*K40</f>
        <v>0</v>
      </c>
    </row>
    <row r="41" spans="2:12" x14ac:dyDescent="0.25">
      <c r="B41" s="51"/>
      <c r="C41" s="51"/>
      <c r="D41" s="51"/>
      <c r="E41" s="51">
        <f t="shared" si="0"/>
        <v>0</v>
      </c>
      <c r="F41" s="51"/>
      <c r="G41" s="51"/>
      <c r="H41" s="51"/>
      <c r="I41" s="51">
        <f>G41*H41</f>
        <v>0</v>
      </c>
      <c r="J41" s="51"/>
      <c r="K41" s="51"/>
      <c r="L41" s="51">
        <f>J41*K41</f>
        <v>0</v>
      </c>
    </row>
    <row r="42" spans="2:12" x14ac:dyDescent="0.25">
      <c r="B42" s="51" t="s">
        <v>149</v>
      </c>
      <c r="C42" s="51"/>
      <c r="D42" s="51">
        <f>E42*10.764</f>
        <v>0</v>
      </c>
      <c r="E42" s="70">
        <f>SUM(E6:E41)</f>
        <v>0</v>
      </c>
      <c r="F42" s="51"/>
      <c r="G42" s="51"/>
      <c r="H42" s="51">
        <f>I42*10.764</f>
        <v>0</v>
      </c>
      <c r="I42" s="69">
        <f>SUM(I6:I41)</f>
        <v>0</v>
      </c>
      <c r="J42" s="51"/>
      <c r="K42" s="51">
        <f>L42*10.764</f>
        <v>0</v>
      </c>
      <c r="L42" s="68">
        <f>SUM(L6:L41)</f>
        <v>0</v>
      </c>
    </row>
    <row r="44" spans="2:12" x14ac:dyDescent="0.25">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2025-10-06T09:41:24Z</cp:lastPrinted>
  <dcterms:created xsi:type="dcterms:W3CDTF">2019-07-16T09:29:46Z</dcterms:created>
  <dcterms:modified xsi:type="dcterms:W3CDTF">2025-10-06T09:47:14Z</dcterms:modified>
</cp:coreProperties>
</file>